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5.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6.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7.xml" ContentType="application/vnd.ms-excel.threadedcomments+xml"/>
  <Override PartName="/xl/comments11.xml" ContentType="application/vnd.openxmlformats-officedocument.spreadsheetml.comments+xml"/>
  <Override PartName="/xl/threadedComments/threadedComment8.xml" ContentType="application/vnd.ms-excel.threaded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threadedComments/threadedComment9.xml" ContentType="application/vnd.ms-excel.threadedcomments+xml"/>
  <Override PartName="/xl/drawings/drawing21.xml" ContentType="application/vnd.openxmlformats-officedocument.drawing+xml"/>
  <Override PartName="/xl/comments18.xml" ContentType="application/vnd.openxmlformats-officedocument.spreadsheetml.comments+xml"/>
  <Override PartName="/xl/threadedComments/threadedComment10.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omments19.xml" ContentType="application/vnd.openxmlformats-officedocument.spreadsheetml.comments+xml"/>
  <Override PartName="/xl/threadedComments/threadedComment11.xml" ContentType="application/vnd.ms-excel.threadedcomments+xml"/>
  <Override PartName="/xl/drawings/drawing23.xml" ContentType="application/vnd.openxmlformats-officedocument.drawing+xml"/>
  <Override PartName="/xl/comments20.xml" ContentType="application/vnd.openxmlformats-officedocument.spreadsheetml.comments+xml"/>
  <Override PartName="/xl/threadedComments/threadedComment12.xml" ContentType="application/vnd.ms-excel.threadedcomments+xml"/>
  <Override PartName="/xl/drawings/drawing24.xml" ContentType="application/vnd.openxmlformats-officedocument.drawing+xml"/>
  <Override PartName="/xl/comments21.xml" ContentType="application/vnd.openxmlformats-officedocument.spreadsheetml.comments+xml"/>
  <Override PartName="/xl/threadedComments/threadedComment13.xml" ContentType="application/vnd.ms-excel.threadedcomments+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energir-my.sharepoint.com/personal/blanche_prevot_energir_com/Documents/Téléchargements/"/>
    </mc:Choice>
  </mc:AlternateContent>
  <xr:revisionPtr revIDLastSave="372" documentId="13_ncr:1_{9C3B4EFC-16B6-46E4-8154-0230A3D27C60}" xr6:coauthVersionLast="47" xr6:coauthVersionMax="47" xr10:uidLastSave="{B5127EC0-B8BB-452F-9FDE-FEC7E26F2481}"/>
  <workbookProtection workbookAlgorithmName="SHA-512" workbookHashValue="nO/KeF6M4Jw+EcpANGjcvpC8+rZULYSZUB04BBOSnB5qgySo0xHmZPDqIqA539pcf9lXVP84BFZAlr4lk5L1lg==" workbookSaltValue="l9GpTIKpNVrHKPS5lsBjfw==" workbookSpinCount="100000" lockStructure="1"/>
  <bookViews>
    <workbookView xWindow="-28920" yWindow="-120" windowWidth="29040" windowHeight="15720" tabRatio="785" firstSheet="1" activeTab="1" xr2:uid="{D99836D5-6611-4400-BC70-860CECC4BA0C}"/>
  </bookViews>
  <sheets>
    <sheet name="Onglet Énergir" sheetId="60" state="hidden" r:id="rId1"/>
    <sheet name="1. Informations générales" sheetId="67" r:id="rId2"/>
    <sheet name="2. Rapport détaillé des coûts" sheetId="68" r:id="rId3"/>
    <sheet name="3a.Calculateur - Instructions" sheetId="62" r:id="rId4"/>
    <sheet name="3b. Calculateur - MEÉ 1" sheetId="55" r:id="rId5"/>
    <sheet name="3c. Calculateur MEÉ 2-3-4" sheetId="15" r:id="rId6"/>
    <sheet name="4. Demande de versement" sheetId="66" r:id="rId7"/>
    <sheet name="Subvention" sheetId="9" state="hidden" r:id="rId8"/>
    <sheet name="Menus déroulants" sheetId="14" state="hidden" r:id="rId9"/>
    <sheet name="Détail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Économiseur condensant " sheetId="37" state="hidden" r:id="rId24"/>
    <sheet name="Économiseur non-condensant" sheetId="39" state="hidden" r:id="rId25"/>
    <sheet name="Micromodulation et sonde O2" sheetId="11" state="hidden" r:id="rId26"/>
    <sheet name="Combustion_Chaud1 (Micro)" sheetId="47" state="hidden" r:id="rId27"/>
    <sheet name="Combustion_Chaud2 (Micro)" sheetId="45" state="hidden" r:id="rId28"/>
    <sheet name="Combustion_Chaud3 (Micro)" sheetId="48" state="hidden" r:id="rId29"/>
    <sheet name="Combustion_Chaud4 (Micro)" sheetId="49" state="hidden" r:id="rId30"/>
    <sheet name="Tables vapeur" sheetId="3" state="hidden" r:id="rId31"/>
    <sheet name="Facteurs conversion" sheetId="4" state="hidden" r:id="rId32"/>
    <sheet name="normales 1981-2010" sheetId="50" state="hidden" r:id="rId33"/>
    <sheet name="T° eau" sheetId="69" state="hidden" r:id="rId34"/>
    <sheet name="Cond_valid" sheetId="40" state="hidden" r:id="rId35"/>
    <sheet name="Détails calcul isolation" sheetId="63" state="hidden" r:id="rId36"/>
  </sheets>
  <definedNames>
    <definedName name="\0" localSheetId="19">#REF!</definedName>
    <definedName name="\0" localSheetId="26">#REF!</definedName>
    <definedName name="\0" localSheetId="20">#REF!</definedName>
    <definedName name="\0" localSheetId="27">#REF!</definedName>
    <definedName name="\0" localSheetId="21">#REF!</definedName>
    <definedName name="\0" localSheetId="28">#REF!</definedName>
    <definedName name="\0" localSheetId="22">#REF!</definedName>
    <definedName name="\0" localSheetId="29">#REF!</definedName>
    <definedName name="\0">#REF!</definedName>
    <definedName name="\a" localSheetId="19">#REF!</definedName>
    <definedName name="\a" localSheetId="26">#REF!</definedName>
    <definedName name="\a" localSheetId="20">#REF!</definedName>
    <definedName name="\a" localSheetId="27">#REF!</definedName>
    <definedName name="\a" localSheetId="21">#REF!</definedName>
    <definedName name="\a" localSheetId="28">#REF!</definedName>
    <definedName name="\a" localSheetId="22">#REF!</definedName>
    <definedName name="\a" localSheetId="29">#REF!</definedName>
    <definedName name="\a">#REF!</definedName>
    <definedName name="\b" localSheetId="19">#REF!</definedName>
    <definedName name="\b" localSheetId="26">#REF!</definedName>
    <definedName name="\b" localSheetId="20">#REF!</definedName>
    <definedName name="\b" localSheetId="27">#REF!</definedName>
    <definedName name="\b" localSheetId="21">#REF!</definedName>
    <definedName name="\b" localSheetId="28">#REF!</definedName>
    <definedName name="\b" localSheetId="22">#REF!</definedName>
    <definedName name="\b" localSheetId="29">#REF!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6" hidden="1">'Combustion_Chaud1 (Micro)'!$U$7</definedName>
    <definedName name="solver_adj" localSheetId="27" hidden="1">'Combustion_Chaud2 (Micro)'!$U$7</definedName>
    <definedName name="solver_adj" localSheetId="28" hidden="1">'Combustion_Chaud3 (Micro)'!$U$7</definedName>
    <definedName name="solver_adj" localSheetId="29" hidden="1">'Combustion_Chaud4 (Micro)'!$U$7</definedName>
    <definedName name="solver_opt" localSheetId="26" hidden="1">'Combustion_Chaud1 (Micro)'!$G$2</definedName>
    <definedName name="solver_opt" localSheetId="27" hidden="1">'Combustion_Chaud2 (Micro)'!$G$2</definedName>
    <definedName name="solver_opt" localSheetId="28" hidden="1">'Combustion_Chaud3 (Micro)'!$G$2</definedName>
    <definedName name="solver_opt" localSheetId="29" hidden="1">'Combustion_Chaud4 (Micro)'!$G$2</definedName>
    <definedName name="solver_typ" localSheetId="26" hidden="1">3</definedName>
    <definedName name="solver_typ" localSheetId="27" hidden="1">3</definedName>
    <definedName name="solver_typ" localSheetId="28" hidden="1">3</definedName>
    <definedName name="solver_typ" localSheetId="29"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1" i="60" l="1" a="1"/>
  <c r="H151" i="60" s="1"/>
  <c r="O88" i="60"/>
  <c r="O94" i="60"/>
  <c r="O95" i="60"/>
  <c r="O93" i="60"/>
  <c r="K151" i="60" a="1"/>
  <c r="K151" i="60" s="1"/>
  <c r="J151" i="60" a="1"/>
  <c r="J151" i="60" s="1"/>
  <c r="I151" i="60" a="1"/>
  <c r="I151" i="60" s="1"/>
  <c r="O150" i="60" l="1" a="1"/>
  <c r="O150" i="60" s="1"/>
  <c r="H79" i="60"/>
  <c r="I150" i="60" l="1"/>
  <c r="J150" i="60"/>
  <c r="K150" i="60"/>
  <c r="K104" i="60"/>
  <c r="K105" i="60" s="1" a="1"/>
  <c r="K105" i="60" s="1"/>
  <c r="J104" i="60"/>
  <c r="J105" i="60" s="1" a="1"/>
  <c r="J105" i="60" s="1"/>
  <c r="I104" i="60"/>
  <c r="I105" i="60" s="1" a="1"/>
  <c r="I105" i="60" s="1"/>
  <c r="H104" i="60"/>
  <c r="H105" i="60" s="1" a="1"/>
  <c r="H105" i="60" s="1"/>
  <c r="E131" i="68"/>
  <c r="H92" i="60"/>
  <c r="J92" i="60" s="1"/>
  <c r="H93" i="58"/>
  <c r="M93" i="58" s="1"/>
  <c r="H94" i="58"/>
  <c r="H95" i="58"/>
  <c r="H96" i="58"/>
  <c r="M96" i="58" s="1"/>
  <c r="H97" i="58"/>
  <c r="H98" i="58"/>
  <c r="H99" i="58"/>
  <c r="M99" i="58" s="1"/>
  <c r="H100" i="58"/>
  <c r="M100" i="58" s="1"/>
  <c r="H101" i="58"/>
  <c r="M101" i="58" s="1"/>
  <c r="H92" i="58"/>
  <c r="M92" i="58" s="1"/>
  <c r="W92" i="58" s="1"/>
  <c r="R89" i="57"/>
  <c r="M94" i="58"/>
  <c r="M95" i="58"/>
  <c r="M97" i="58"/>
  <c r="M98" i="58"/>
  <c r="I17" i="55" l="1"/>
  <c r="C92" i="58" l="1"/>
  <c r="U92" i="58" s="1"/>
  <c r="H28" i="55" l="1"/>
  <c r="G28" i="55"/>
  <c r="F28" i="55"/>
  <c r="E28" i="55"/>
  <c r="I20" i="55" l="1"/>
  <c r="I171" i="55" s="1"/>
  <c r="I23" i="55"/>
  <c r="I26" i="55"/>
  <c r="AG107" i="57" a="1"/>
  <c r="AG107" i="57" s="1"/>
  <c r="AG106" i="57" a="1"/>
  <c r="AG106" i="57" s="1"/>
  <c r="S106" i="57"/>
  <c r="R106" i="57"/>
  <c r="V107" i="57" s="1"/>
  <c r="AG105" i="57" a="1"/>
  <c r="AG105" i="57" s="1"/>
  <c r="S105" i="57"/>
  <c r="R105" i="57"/>
  <c r="V106" i="57" s="1"/>
  <c r="AG104" i="57" a="1"/>
  <c r="AG104" i="57" s="1"/>
  <c r="S104" i="57"/>
  <c r="R104" i="57"/>
  <c r="V105" i="57" s="1"/>
  <c r="AG103" i="57" a="1"/>
  <c r="AG103" i="57" s="1"/>
  <c r="S103" i="57"/>
  <c r="R103" i="57"/>
  <c r="V104" i="57" s="1"/>
  <c r="AG102" i="57" a="1"/>
  <c r="AG102" i="57" s="1"/>
  <c r="S102" i="57"/>
  <c r="R102" i="57"/>
  <c r="V103" i="57" s="1"/>
  <c r="AG101" i="57" a="1"/>
  <c r="AG101" i="57" s="1"/>
  <c r="S101" i="57"/>
  <c r="R101" i="57"/>
  <c r="V102" i="57" s="1"/>
  <c r="AG100" i="57" a="1"/>
  <c r="AG100" i="57" s="1"/>
  <c r="S100" i="57"/>
  <c r="R100" i="57"/>
  <c r="V101" i="57" s="1"/>
  <c r="AG99" i="57" a="1"/>
  <c r="AG99" i="57" s="1"/>
  <c r="AG98" i="57" a="1"/>
  <c r="AG98" i="57" s="1"/>
  <c r="AG107" i="56" a="1"/>
  <c r="AG107" i="56" s="1"/>
  <c r="AG106" i="56" a="1"/>
  <c r="AG106" i="56" s="1"/>
  <c r="S106" i="56"/>
  <c r="R106" i="56"/>
  <c r="V107" i="56" s="1"/>
  <c r="AG105" i="56" a="1"/>
  <c r="AG105" i="56" s="1"/>
  <c r="S105" i="56"/>
  <c r="R105" i="56"/>
  <c r="V106" i="56" s="1"/>
  <c r="AG104" i="56" a="1"/>
  <c r="AG104" i="56" s="1"/>
  <c r="S104" i="56"/>
  <c r="R104" i="56"/>
  <c r="V105" i="56" s="1"/>
  <c r="AG103" i="56" a="1"/>
  <c r="AG103" i="56" s="1"/>
  <c r="S103" i="56"/>
  <c r="R103" i="56"/>
  <c r="V104" i="56" s="1"/>
  <c r="AG102" i="56" a="1"/>
  <c r="AG102" i="56" s="1"/>
  <c r="S102" i="56"/>
  <c r="R102" i="56"/>
  <c r="V103" i="56" s="1"/>
  <c r="AG101" i="56" a="1"/>
  <c r="AG101" i="56" s="1"/>
  <c r="S101" i="56"/>
  <c r="R101" i="56"/>
  <c r="V102" i="56" s="1"/>
  <c r="AG100" i="56" a="1"/>
  <c r="AG100" i="56" s="1"/>
  <c r="S100" i="56"/>
  <c r="R100" i="56"/>
  <c r="V101" i="56" s="1"/>
  <c r="AG99" i="56" a="1"/>
  <c r="AG99" i="56" s="1"/>
  <c r="AG98" i="56" a="1"/>
  <c r="AG98" i="56" s="1"/>
  <c r="I28" i="55" l="1"/>
  <c r="AG99" i="52" a="1"/>
  <c r="AG99" i="52" s="1"/>
  <c r="AG100" i="52" a="1"/>
  <c r="AG100" i="52" s="1"/>
  <c r="AG101" i="52" a="1"/>
  <c r="AG101" i="52" s="1"/>
  <c r="AG102" i="52" a="1"/>
  <c r="AG102" i="52" s="1"/>
  <c r="AG103" i="52" a="1"/>
  <c r="AG103" i="52" s="1"/>
  <c r="AG104" i="52" a="1"/>
  <c r="AG104" i="52" s="1"/>
  <c r="AG105" i="52" a="1"/>
  <c r="AG105" i="52" s="1"/>
  <c r="AG106" i="52" a="1"/>
  <c r="AG106" i="52" s="1"/>
  <c r="AG107" i="52" a="1"/>
  <c r="AG107" i="52" s="1"/>
  <c r="AG98" i="52" a="1"/>
  <c r="AG98" i="52" s="1"/>
  <c r="S104" i="52"/>
  <c r="S106" i="52"/>
  <c r="R106" i="52"/>
  <c r="V107" i="52" s="1"/>
  <c r="S105" i="52"/>
  <c r="R105" i="52"/>
  <c r="V106" i="52" s="1"/>
  <c r="R104" i="52"/>
  <c r="V105" i="52" s="1"/>
  <c r="S103" i="52"/>
  <c r="R103" i="52"/>
  <c r="V104" i="52" s="1"/>
  <c r="S102" i="52"/>
  <c r="R102" i="52"/>
  <c r="V103" i="52" s="1"/>
  <c r="S101" i="52"/>
  <c r="R101" i="52"/>
  <c r="V102" i="52" s="1"/>
  <c r="S100" i="52"/>
  <c r="R100" i="52"/>
  <c r="V101" i="52" s="1"/>
  <c r="S99" i="52"/>
  <c r="R99" i="52"/>
  <c r="V100" i="52" s="1"/>
  <c r="S98" i="52"/>
  <c r="R98" i="52"/>
  <c r="V99" i="52" s="1"/>
  <c r="I93" i="58"/>
  <c r="I94" i="58"/>
  <c r="I95" i="58"/>
  <c r="I96" i="58"/>
  <c r="I97" i="58"/>
  <c r="I98" i="58"/>
  <c r="I99" i="58"/>
  <c r="I100" i="58"/>
  <c r="I101" i="58"/>
  <c r="I92" i="58"/>
  <c r="F93" i="58"/>
  <c r="F94" i="58"/>
  <c r="F95" i="58"/>
  <c r="F96" i="58"/>
  <c r="F97" i="58"/>
  <c r="F98" i="58"/>
  <c r="F99" i="58"/>
  <c r="F100" i="58"/>
  <c r="F101" i="58"/>
  <c r="F92" i="58"/>
  <c r="D92" i="58"/>
  <c r="C93" i="58"/>
  <c r="D93" i="58"/>
  <c r="C94" i="58"/>
  <c r="D94" i="58"/>
  <c r="C95" i="58"/>
  <c r="D95" i="58"/>
  <c r="C96" i="58"/>
  <c r="D96" i="58"/>
  <c r="C97" i="58"/>
  <c r="D97" i="58"/>
  <c r="C98" i="58"/>
  <c r="D98" i="58"/>
  <c r="C99" i="58"/>
  <c r="D99" i="58"/>
  <c r="C100" i="58"/>
  <c r="D100" i="58"/>
  <c r="C101" i="58"/>
  <c r="D101" i="58"/>
  <c r="V92" i="58"/>
  <c r="C84" i="9" a="1"/>
  <c r="C84" i="9" s="1"/>
  <c r="H10" i="66"/>
  <c r="J148" i="55"/>
  <c r="J153" i="55"/>
  <c r="J152" i="55"/>
  <c r="P152" i="55" s="1"/>
  <c r="J151" i="55"/>
  <c r="A110" i="55"/>
  <c r="A111" i="55" s="1"/>
  <c r="A112" i="55" s="1"/>
  <c r="A113" i="55" s="1"/>
  <c r="A114" i="55" s="1"/>
  <c r="A115" i="55" s="1"/>
  <c r="A116" i="55" s="1"/>
  <c r="A117" i="55" s="1"/>
  <c r="A118" i="55" s="1"/>
  <c r="U101" i="58" l="1"/>
  <c r="V101" i="58" s="1"/>
  <c r="W101" i="58" s="1"/>
  <c r="J100" i="58"/>
  <c r="U100" i="58"/>
  <c r="J98" i="58"/>
  <c r="U98" i="58"/>
  <c r="J99" i="58"/>
  <c r="U99" i="58"/>
  <c r="V99" i="58" s="1"/>
  <c r="W99" i="58" s="1"/>
  <c r="J96" i="58"/>
  <c r="U96" i="58"/>
  <c r="V96" i="58" s="1"/>
  <c r="W96" i="58" s="1"/>
  <c r="J97" i="58"/>
  <c r="U97" i="58"/>
  <c r="V97" i="58" s="1"/>
  <c r="W97" i="58" s="1"/>
  <c r="K94" i="58"/>
  <c r="U94" i="58"/>
  <c r="V94" i="58" s="1"/>
  <c r="W94" i="58" s="1"/>
  <c r="U93" i="58"/>
  <c r="V93" i="58" s="1"/>
  <c r="W93" i="58" s="1"/>
  <c r="J95" i="58"/>
  <c r="U95" i="58"/>
  <c r="J94" i="58"/>
  <c r="V95" i="58"/>
  <c r="W95" i="58" s="1"/>
  <c r="K92" i="58"/>
  <c r="J92" i="58"/>
  <c r="K97" i="58"/>
  <c r="K95" i="58"/>
  <c r="K101" i="58"/>
  <c r="K93" i="58"/>
  <c r="J101" i="58"/>
  <c r="J93" i="58"/>
  <c r="K100" i="58"/>
  <c r="G152" i="55"/>
  <c r="K99" i="58"/>
  <c r="K98" i="58"/>
  <c r="K96" i="58"/>
  <c r="V100" i="58"/>
  <c r="W100" i="58" s="1"/>
  <c r="V98" i="58"/>
  <c r="W98" i="58" s="1"/>
  <c r="G157" i="60" l="1" a="1"/>
  <c r="G157" i="60" s="1"/>
  <c r="G156" i="60" a="1"/>
  <c r="G156" i="60" s="1"/>
  <c r="E156" i="60" a="1"/>
  <c r="E156" i="60" s="1"/>
  <c r="F157" i="60" a="1"/>
  <c r="F157" i="60" s="1"/>
  <c r="F156" i="60" a="1"/>
  <c r="F156" i="60" s="1"/>
  <c r="E157" i="60" a="1"/>
  <c r="E157" i="60" s="1"/>
  <c r="D157" i="60" a="1"/>
  <c r="D157" i="60" s="1"/>
  <c r="D156" i="60" a="1"/>
  <c r="D156" i="60" s="1"/>
  <c r="O104" i="60" l="1" a="1"/>
  <c r="O104" i="60" s="1"/>
  <c r="O156" i="60"/>
  <c r="I8" i="60" s="1"/>
  <c r="J150" i="55"/>
  <c r="J149" i="55"/>
  <c r="C40" i="66" l="1"/>
  <c r="C41" i="66"/>
  <c r="C39" i="66"/>
  <c r="G143" i="15" l="1"/>
  <c r="D33" i="66" s="1"/>
  <c r="C171" i="60" l="1"/>
  <c r="D171" i="60"/>
  <c r="E171" i="60"/>
  <c r="F171" i="60"/>
  <c r="G171" i="60"/>
  <c r="C172" i="60"/>
  <c r="D172" i="60"/>
  <c r="E172" i="60"/>
  <c r="C173" i="60"/>
  <c r="D173" i="60"/>
  <c r="E173" i="60"/>
  <c r="C174" i="60"/>
  <c r="D174" i="60"/>
  <c r="E174" i="60"/>
  <c r="C175" i="60"/>
  <c r="D175" i="60"/>
  <c r="E175" i="60"/>
  <c r="C176" i="60"/>
  <c r="D176" i="60"/>
  <c r="E176" i="60"/>
  <c r="C177" i="60"/>
  <c r="D177" i="60"/>
  <c r="E177" i="60"/>
  <c r="C178" i="60"/>
  <c r="D178" i="60"/>
  <c r="E178" i="60"/>
  <c r="C179" i="60"/>
  <c r="D179" i="60"/>
  <c r="E179" i="60"/>
  <c r="C180" i="60"/>
  <c r="D180" i="60"/>
  <c r="E180" i="60"/>
  <c r="C181" i="60"/>
  <c r="D181" i="60"/>
  <c r="E181" i="60"/>
  <c r="C182" i="60"/>
  <c r="D182" i="60"/>
  <c r="E182" i="60"/>
  <c r="G182" i="60"/>
  <c r="C183" i="60"/>
  <c r="D183" i="60"/>
  <c r="E183" i="60"/>
  <c r="G183" i="60"/>
  <c r="C184" i="60"/>
  <c r="D184" i="60"/>
  <c r="E184" i="60"/>
  <c r="C185" i="60"/>
  <c r="D185" i="60"/>
  <c r="E185" i="60"/>
  <c r="G185" i="60"/>
  <c r="C186" i="60"/>
  <c r="D186" i="60"/>
  <c r="E186" i="60"/>
  <c r="G186" i="60"/>
  <c r="C187" i="60"/>
  <c r="D187" i="60"/>
  <c r="E187" i="60"/>
  <c r="C188" i="60"/>
  <c r="D188" i="60"/>
  <c r="E188" i="60"/>
  <c r="G188" i="60"/>
  <c r="C189" i="60"/>
  <c r="D189" i="60"/>
  <c r="E189" i="60"/>
  <c r="G189" i="60"/>
  <c r="C190" i="60"/>
  <c r="D190" i="60"/>
  <c r="E190" i="60"/>
  <c r="J167" i="60"/>
  <c r="E167" i="60"/>
  <c r="G154" i="15" l="1" a="1"/>
  <c r="G154" i="15" s="1"/>
  <c r="K154" i="15" a="1"/>
  <c r="K154" i="15" s="1"/>
  <c r="M154" i="15" a="1"/>
  <c r="M154" i="15" s="1"/>
  <c r="I154" i="15" a="1"/>
  <c r="I154" i="15" s="1"/>
  <c r="I110" i="60" l="1"/>
  <c r="I111" i="60" s="1"/>
  <c r="H110" i="60"/>
  <c r="H111" i="60" s="1"/>
  <c r="G110" i="60"/>
  <c r="G111" i="60" s="1"/>
  <c r="F110" i="60"/>
  <c r="F111" i="60" s="1"/>
  <c r="I112" i="60"/>
  <c r="H112" i="60"/>
  <c r="G112" i="60"/>
  <c r="F112" i="60"/>
  <c r="H97" i="60"/>
  <c r="H113" i="60" l="1"/>
  <c r="I113" i="60"/>
  <c r="G113" i="60"/>
  <c r="F113" i="60"/>
  <c r="G111" i="15"/>
  <c r="G112" i="15" s="1"/>
  <c r="G108" i="15"/>
  <c r="G110" i="15" s="1"/>
  <c r="F46" i="60"/>
  <c r="F43" i="60"/>
  <c r="F188" i="60" s="1"/>
  <c r="F40" i="60"/>
  <c r="F185" i="60" s="1"/>
  <c r="F37" i="60"/>
  <c r="F182" i="60" s="1"/>
  <c r="H185" i="60" l="1" a="1"/>
  <c r="H185" i="60" s="1"/>
  <c r="I185" i="60" s="1"/>
  <c r="H188" i="60" a="1"/>
  <c r="H188" i="60" s="1"/>
  <c r="I188" i="60" s="1"/>
  <c r="H182" i="60" a="1"/>
  <c r="H182" i="60" s="1"/>
  <c r="I182" i="60" s="1"/>
  <c r="I95" i="60"/>
  <c r="G109" i="15"/>
  <c r="G162" i="39" l="1"/>
  <c r="P9" i="69" l="1"/>
  <c r="E33" i="28"/>
  <c r="E32" i="28" l="1"/>
  <c r="P22" i="69"/>
  <c r="D29" i="28" s="1"/>
  <c r="P23" i="69"/>
  <c r="D30" i="28" s="1"/>
  <c r="P10" i="69"/>
  <c r="P11" i="69"/>
  <c r="P12" i="69"/>
  <c r="P13" i="69"/>
  <c r="P14" i="69"/>
  <c r="P15" i="69"/>
  <c r="P16" i="69"/>
  <c r="P17" i="69"/>
  <c r="P18" i="69"/>
  <c r="P19" i="69"/>
  <c r="P20"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102" i="69"/>
  <c r="C103" i="69"/>
  <c r="C104" i="69"/>
  <c r="C105" i="69"/>
  <c r="C106" i="69"/>
  <c r="C107" i="69"/>
  <c r="C108" i="69"/>
  <c r="C109" i="69"/>
  <c r="C110" i="69"/>
  <c r="C111" i="69"/>
  <c r="C112" i="69"/>
  <c r="C113" i="69"/>
  <c r="C114" i="69"/>
  <c r="C115" i="69"/>
  <c r="C116" i="69"/>
  <c r="C117" i="69"/>
  <c r="C118" i="69"/>
  <c r="C119" i="69"/>
  <c r="C120" i="69"/>
  <c r="C121" i="69"/>
  <c r="C122" i="69"/>
  <c r="C123" i="69"/>
  <c r="C124" i="69"/>
  <c r="C125" i="69"/>
  <c r="C126" i="69"/>
  <c r="C127" i="69"/>
  <c r="C128" i="69"/>
  <c r="C129" i="69"/>
  <c r="C130" i="69"/>
  <c r="C131" i="69"/>
  <c r="C132" i="69"/>
  <c r="C133" i="69"/>
  <c r="C134" i="69"/>
  <c r="C135" i="69"/>
  <c r="C136" i="69"/>
  <c r="C137" i="69"/>
  <c r="C138" i="69"/>
  <c r="C139" i="69"/>
  <c r="C140" i="69"/>
  <c r="C141" i="69"/>
  <c r="C142" i="69"/>
  <c r="C143" i="69"/>
  <c r="C144" i="69"/>
  <c r="C145" i="69"/>
  <c r="C146" i="69"/>
  <c r="C147" i="69"/>
  <c r="C148" i="69"/>
  <c r="C149" i="69"/>
  <c r="C150" i="69"/>
  <c r="C151" i="69"/>
  <c r="C152" i="69"/>
  <c r="C153" i="69"/>
  <c r="C154" i="69"/>
  <c r="C155" i="69"/>
  <c r="C156" i="69"/>
  <c r="C157" i="69"/>
  <c r="C158" i="69"/>
  <c r="C159" i="69"/>
  <c r="C160" i="69"/>
  <c r="C161" i="69"/>
  <c r="C162" i="69"/>
  <c r="C163" i="69"/>
  <c r="C164" i="69"/>
  <c r="C165" i="69"/>
  <c r="C166" i="69"/>
  <c r="C167" i="69"/>
  <c r="C168" i="69"/>
  <c r="C169" i="69"/>
  <c r="C170" i="69"/>
  <c r="C171" i="69"/>
  <c r="C172" i="69"/>
  <c r="C173" i="69"/>
  <c r="C174" i="69"/>
  <c r="C175" i="69"/>
  <c r="C176" i="69"/>
  <c r="C177" i="69"/>
  <c r="C178" i="69"/>
  <c r="C179" i="69"/>
  <c r="C180" i="69"/>
  <c r="C181" i="69"/>
  <c r="C182" i="69"/>
  <c r="C183" i="69"/>
  <c r="C184" i="69"/>
  <c r="C185" i="69"/>
  <c r="C186" i="69"/>
  <c r="C187" i="69"/>
  <c r="C188" i="69"/>
  <c r="C189" i="69"/>
  <c r="C190" i="69"/>
  <c r="C191" i="69"/>
  <c r="C192" i="69"/>
  <c r="C193" i="69"/>
  <c r="C194" i="69"/>
  <c r="C195" i="69"/>
  <c r="C196" i="69"/>
  <c r="C197" i="69"/>
  <c r="C198" i="69"/>
  <c r="C199" i="69"/>
  <c r="C200" i="69"/>
  <c r="C201" i="69"/>
  <c r="C202" i="69"/>
  <c r="C203" i="69"/>
  <c r="C204" i="69"/>
  <c r="C205" i="69"/>
  <c r="C206" i="69"/>
  <c r="C207" i="69"/>
  <c r="C208" i="69"/>
  <c r="C209" i="69"/>
  <c r="C210" i="69"/>
  <c r="C211" i="69"/>
  <c r="C212" i="69"/>
  <c r="C213" i="69"/>
  <c r="C214" i="69"/>
  <c r="C215" i="69"/>
  <c r="C216" i="69"/>
  <c r="C217" i="69"/>
  <c r="C218" i="69"/>
  <c r="C219" i="69"/>
  <c r="C220" i="69"/>
  <c r="C221" i="69"/>
  <c r="C222" i="69"/>
  <c r="C223" i="69"/>
  <c r="C224" i="69"/>
  <c r="C225" i="69"/>
  <c r="C226" i="69"/>
  <c r="C227" i="69"/>
  <c r="C228" i="69"/>
  <c r="C229" i="69"/>
  <c r="C230" i="69"/>
  <c r="C231" i="69"/>
  <c r="C232" i="69"/>
  <c r="C233" i="69"/>
  <c r="C234" i="69"/>
  <c r="C235" i="69"/>
  <c r="C236" i="69"/>
  <c r="C237" i="69"/>
  <c r="C238" i="69"/>
  <c r="C239" i="69"/>
  <c r="C240" i="69"/>
  <c r="C241" i="69"/>
  <c r="C242" i="69"/>
  <c r="C243" i="69"/>
  <c r="C244" i="69"/>
  <c r="C245" i="69"/>
  <c r="C246" i="69"/>
  <c r="C247" i="69"/>
  <c r="C248" i="69"/>
  <c r="C249" i="69"/>
  <c r="C250" i="69"/>
  <c r="C251" i="69"/>
  <c r="C252" i="69"/>
  <c r="C253" i="69"/>
  <c r="C254" i="69"/>
  <c r="C255" i="69"/>
  <c r="C256" i="69"/>
  <c r="C257" i="69"/>
  <c r="C258" i="69"/>
  <c r="C259" i="69"/>
  <c r="C260" i="69"/>
  <c r="C261" i="69"/>
  <c r="C262" i="69"/>
  <c r="C263" i="69"/>
  <c r="C264" i="69"/>
  <c r="C265" i="69"/>
  <c r="C266" i="69"/>
  <c r="C267" i="69"/>
  <c r="C268" i="69"/>
  <c r="C269" i="69"/>
  <c r="C270" i="69"/>
  <c r="C271" i="69"/>
  <c r="C272" i="69"/>
  <c r="C273" i="69"/>
  <c r="C274" i="69"/>
  <c r="C275" i="69"/>
  <c r="C276" i="69"/>
  <c r="C277" i="69"/>
  <c r="C278" i="69"/>
  <c r="C279" i="69"/>
  <c r="C280" i="69"/>
  <c r="C281" i="69"/>
  <c r="C282" i="69"/>
  <c r="C283" i="69"/>
  <c r="C284" i="69"/>
  <c r="C285" i="69"/>
  <c r="C286" i="69"/>
  <c r="C287" i="69"/>
  <c r="C288" i="69"/>
  <c r="C289" i="69"/>
  <c r="C290" i="69"/>
  <c r="C291" i="69"/>
  <c r="C292" i="69"/>
  <c r="C293" i="69"/>
  <c r="C294" i="69"/>
  <c r="C295" i="69"/>
  <c r="C296" i="69"/>
  <c r="C297" i="69"/>
  <c r="C298" i="69"/>
  <c r="C299" i="69"/>
  <c r="C300" i="69"/>
  <c r="C301" i="69"/>
  <c r="C302" i="69"/>
  <c r="C303" i="69"/>
  <c r="C304" i="69"/>
  <c r="C305" i="69"/>
  <c r="C306" i="69"/>
  <c r="C307" i="69"/>
  <c r="C308" i="69"/>
  <c r="C309" i="69"/>
  <c r="C310" i="69"/>
  <c r="C311" i="69"/>
  <c r="C312" i="69"/>
  <c r="C313" i="69"/>
  <c r="C314" i="69"/>
  <c r="C315" i="69"/>
  <c r="C316" i="69"/>
  <c r="C317" i="69"/>
  <c r="C318" i="69"/>
  <c r="C319" i="69"/>
  <c r="C320" i="69"/>
  <c r="C321" i="69"/>
  <c r="C322" i="69"/>
  <c r="C323" i="69"/>
  <c r="C324" i="69"/>
  <c r="C325" i="69"/>
  <c r="C326" i="69"/>
  <c r="C327" i="69"/>
  <c r="C328" i="69"/>
  <c r="C329" i="69"/>
  <c r="C330" i="69"/>
  <c r="C331" i="69"/>
  <c r="C332" i="69"/>
  <c r="C333" i="69"/>
  <c r="C334" i="69"/>
  <c r="C335" i="69"/>
  <c r="C336" i="69"/>
  <c r="C337" i="69"/>
  <c r="C338" i="69"/>
  <c r="C339" i="69"/>
  <c r="C340" i="69"/>
  <c r="C341" i="69"/>
  <c r="C342" i="69"/>
  <c r="C343" i="69"/>
  <c r="C344" i="69"/>
  <c r="C345" i="69"/>
  <c r="C346" i="69"/>
  <c r="C347" i="69"/>
  <c r="C348" i="69"/>
  <c r="C349" i="69"/>
  <c r="C350" i="69"/>
  <c r="C351" i="69"/>
  <c r="C352" i="69"/>
  <c r="C353" i="69"/>
  <c r="C354" i="69"/>
  <c r="C355" i="69"/>
  <c r="C356" i="69"/>
  <c r="C357" i="69"/>
  <c r="C358" i="69"/>
  <c r="C359" i="69"/>
  <c r="C360" i="69"/>
  <c r="C361" i="69"/>
  <c r="C362" i="69"/>
  <c r="C363" i="69"/>
  <c r="C364" i="69"/>
  <c r="C365" i="69"/>
  <c r="C366" i="69"/>
  <c r="C367" i="69"/>
  <c r="C368" i="69"/>
  <c r="C369" i="69"/>
  <c r="C370" i="69"/>
  <c r="C371" i="69"/>
  <c r="C372" i="69"/>
  <c r="C373" i="69"/>
  <c r="C374" i="69"/>
  <c r="C375" i="69"/>
  <c r="C376" i="69"/>
  <c r="C377" i="69"/>
  <c r="C378" i="69"/>
  <c r="C379" i="69"/>
  <c r="C380" i="69"/>
  <c r="C381" i="69"/>
  <c r="C382" i="69"/>
  <c r="C383" i="69"/>
  <c r="C384" i="69"/>
  <c r="C385" i="69"/>
  <c r="C386" i="69"/>
  <c r="C387" i="69"/>
  <c r="C388" i="69"/>
  <c r="C389" i="69"/>
  <c r="C390" i="69"/>
  <c r="C391" i="69"/>
  <c r="C392" i="69"/>
  <c r="C393" i="69"/>
  <c r="C394" i="69"/>
  <c r="C395" i="69"/>
  <c r="C396" i="69"/>
  <c r="C397" i="69"/>
  <c r="C398" i="69"/>
  <c r="C399" i="69"/>
  <c r="C400" i="69"/>
  <c r="C401" i="69"/>
  <c r="C402" i="69"/>
  <c r="C403" i="69"/>
  <c r="C404" i="69"/>
  <c r="C405" i="69"/>
  <c r="C406" i="69"/>
  <c r="C407" i="69"/>
  <c r="C408" i="69"/>
  <c r="C409" i="69"/>
  <c r="C410" i="69"/>
  <c r="C411" i="69"/>
  <c r="C412" i="69"/>
  <c r="C413" i="69"/>
  <c r="C414" i="69"/>
  <c r="C415" i="69"/>
  <c r="C416" i="69"/>
  <c r="C417" i="69"/>
  <c r="C418" i="69"/>
  <c r="C419" i="69"/>
  <c r="C420" i="69"/>
  <c r="C421" i="69"/>
  <c r="C422" i="69"/>
  <c r="C423" i="69"/>
  <c r="C424" i="69"/>
  <c r="C425" i="69"/>
  <c r="C426" i="69"/>
  <c r="C427" i="69"/>
  <c r="C428" i="69"/>
  <c r="C429" i="69"/>
  <c r="C430" i="69"/>
  <c r="C431" i="69"/>
  <c r="C432" i="69"/>
  <c r="C433" i="69"/>
  <c r="C434" i="69"/>
  <c r="C435" i="69"/>
  <c r="C436" i="69"/>
  <c r="C437" i="69"/>
  <c r="C438" i="69"/>
  <c r="C439" i="69"/>
  <c r="C440" i="69"/>
  <c r="C441" i="69"/>
  <c r="C442" i="69"/>
  <c r="C443" i="69"/>
  <c r="C444" i="69"/>
  <c r="C445" i="69"/>
  <c r="C446" i="69"/>
  <c r="C447" i="69"/>
  <c r="C448" i="69"/>
  <c r="C449" i="69"/>
  <c r="C450" i="69"/>
  <c r="C451" i="69"/>
  <c r="C452" i="69"/>
  <c r="C453" i="69"/>
  <c r="C454" i="69"/>
  <c r="C455" i="69"/>
  <c r="C456" i="69"/>
  <c r="C457" i="69"/>
  <c r="C458" i="69"/>
  <c r="C459" i="69"/>
  <c r="C460" i="69"/>
  <c r="C461" i="69"/>
  <c r="C462" i="69"/>
  <c r="C463" i="69"/>
  <c r="C464" i="69"/>
  <c r="C465" i="69"/>
  <c r="C466" i="69"/>
  <c r="C467" i="69"/>
  <c r="C468" i="69"/>
  <c r="C469" i="69"/>
  <c r="C470" i="69"/>
  <c r="C471" i="69"/>
  <c r="C472" i="69"/>
  <c r="C473" i="69"/>
  <c r="C474" i="69"/>
  <c r="C475" i="69"/>
  <c r="C476" i="69"/>
  <c r="C477" i="69"/>
  <c r="C478" i="69"/>
  <c r="C479" i="69"/>
  <c r="C480" i="69"/>
  <c r="C481" i="69"/>
  <c r="C482" i="69"/>
  <c r="C483" i="69"/>
  <c r="C484" i="69"/>
  <c r="C485" i="69"/>
  <c r="C486" i="69"/>
  <c r="C487" i="69"/>
  <c r="C488" i="69"/>
  <c r="C489" i="69"/>
  <c r="C490" i="69"/>
  <c r="C491" i="69"/>
  <c r="C492" i="69"/>
  <c r="C493" i="69"/>
  <c r="C494" i="69"/>
  <c r="C495" i="69"/>
  <c r="C496" i="69"/>
  <c r="C497" i="69"/>
  <c r="C498" i="69"/>
  <c r="C499" i="69"/>
  <c r="C500" i="69"/>
  <c r="C501" i="69"/>
  <c r="C502" i="69"/>
  <c r="C503" i="69"/>
  <c r="C504" i="69"/>
  <c r="C505" i="69"/>
  <c r="C506" i="69"/>
  <c r="C507" i="69"/>
  <c r="C508" i="69"/>
  <c r="C509" i="69"/>
  <c r="C510" i="69"/>
  <c r="C511" i="69"/>
  <c r="C512" i="69"/>
  <c r="C513" i="69"/>
  <c r="C514" i="69"/>
  <c r="C515" i="69"/>
  <c r="C516" i="69"/>
  <c r="C517" i="69"/>
  <c r="C518" i="69"/>
  <c r="C519" i="69"/>
  <c r="C520" i="69"/>
  <c r="C521" i="69"/>
  <c r="C522" i="69"/>
  <c r="C523" i="69"/>
  <c r="C524" i="69"/>
  <c r="C525" i="69"/>
  <c r="C526" i="69"/>
  <c r="C527" i="69"/>
  <c r="C528" i="69"/>
  <c r="C529" i="69"/>
  <c r="C530" i="69"/>
  <c r="C531" i="69"/>
  <c r="C532" i="69"/>
  <c r="C533" i="69"/>
  <c r="C534" i="69"/>
  <c r="C535" i="69"/>
  <c r="C536" i="69"/>
  <c r="C537" i="69"/>
  <c r="C538" i="69"/>
  <c r="C539" i="69"/>
  <c r="C540" i="69"/>
  <c r="C541" i="69"/>
  <c r="C542" i="69"/>
  <c r="C543" i="69"/>
  <c r="C544" i="69"/>
  <c r="C545" i="69"/>
  <c r="C546" i="69"/>
  <c r="C547" i="69"/>
  <c r="C548" i="69"/>
  <c r="C549" i="69"/>
  <c r="C550" i="69"/>
  <c r="C551" i="69"/>
  <c r="C552" i="69"/>
  <c r="C553" i="69"/>
  <c r="C554" i="69"/>
  <c r="C555" i="69"/>
  <c r="C556" i="69"/>
  <c r="C557" i="69"/>
  <c r="C558" i="69"/>
  <c r="C559" i="69"/>
  <c r="C560" i="69"/>
  <c r="C561" i="69"/>
  <c r="C562" i="69"/>
  <c r="C563" i="69"/>
  <c r="C564" i="69"/>
  <c r="C565" i="69"/>
  <c r="C566" i="69"/>
  <c r="C567" i="69"/>
  <c r="C568" i="69"/>
  <c r="C569" i="69"/>
  <c r="C570" i="69"/>
  <c r="C571" i="69"/>
  <c r="C572" i="69"/>
  <c r="C573" i="69"/>
  <c r="C574" i="69"/>
  <c r="C575" i="69"/>
  <c r="C576" i="69"/>
  <c r="C577" i="69"/>
  <c r="C578" i="69"/>
  <c r="C579" i="69"/>
  <c r="C580" i="69"/>
  <c r="C581" i="69"/>
  <c r="C582" i="69"/>
  <c r="C583" i="69"/>
  <c r="C584" i="69"/>
  <c r="C585" i="69"/>
  <c r="C586" i="69"/>
  <c r="C587" i="69"/>
  <c r="C588" i="69"/>
  <c r="C589" i="69"/>
  <c r="C590" i="69"/>
  <c r="C591" i="69"/>
  <c r="C592" i="69"/>
  <c r="C593" i="69"/>
  <c r="C594" i="69"/>
  <c r="C595" i="69"/>
  <c r="C596" i="69"/>
  <c r="C597" i="69"/>
  <c r="C598" i="69"/>
  <c r="C599" i="69"/>
  <c r="C600" i="69"/>
  <c r="C601" i="69"/>
  <c r="C602" i="69"/>
  <c r="C603" i="69"/>
  <c r="C604" i="69"/>
  <c r="C605" i="69"/>
  <c r="C606" i="69"/>
  <c r="C607" i="69"/>
  <c r="C608" i="69"/>
  <c r="C609" i="69"/>
  <c r="C610" i="69"/>
  <c r="C611" i="69"/>
  <c r="C612" i="69"/>
  <c r="C613" i="69"/>
  <c r="C614" i="69"/>
  <c r="C615" i="69"/>
  <c r="C616" i="69"/>
  <c r="C617" i="69"/>
  <c r="C618" i="69"/>
  <c r="C619" i="69"/>
  <c r="C620" i="69"/>
  <c r="C621" i="69"/>
  <c r="C622" i="69"/>
  <c r="C623" i="69"/>
  <c r="C624" i="69"/>
  <c r="C625" i="69"/>
  <c r="C626" i="69"/>
  <c r="C627" i="69"/>
  <c r="C628" i="69"/>
  <c r="C629" i="69"/>
  <c r="C630" i="69"/>
  <c r="C631" i="69"/>
  <c r="C632" i="69"/>
  <c r="C633" i="69"/>
  <c r="C634" i="69"/>
  <c r="C635" i="69"/>
  <c r="C636" i="69"/>
  <c r="C637" i="69"/>
  <c r="C638" i="69"/>
  <c r="C639" i="69"/>
  <c r="C640" i="69"/>
  <c r="C641" i="69"/>
  <c r="C642" i="69"/>
  <c r="C643" i="69"/>
  <c r="C644" i="69"/>
  <c r="C645" i="69"/>
  <c r="C646" i="69"/>
  <c r="C647" i="69"/>
  <c r="C648" i="69"/>
  <c r="C649" i="69"/>
  <c r="C650" i="69"/>
  <c r="C651" i="69"/>
  <c r="C652" i="69"/>
  <c r="C653" i="69"/>
  <c r="C654" i="69"/>
  <c r="C655" i="69"/>
  <c r="C656" i="69"/>
  <c r="C657" i="69"/>
  <c r="C658" i="69"/>
  <c r="C659" i="69"/>
  <c r="C660" i="69"/>
  <c r="C661" i="69"/>
  <c r="C662" i="69"/>
  <c r="C663" i="69"/>
  <c r="C664" i="69"/>
  <c r="C665" i="69"/>
  <c r="C666" i="69"/>
  <c r="C667" i="69"/>
  <c r="C668" i="69"/>
  <c r="C669" i="69"/>
  <c r="C670" i="69"/>
  <c r="C671" i="69"/>
  <c r="C672" i="69"/>
  <c r="C673" i="69"/>
  <c r="C674" i="69"/>
  <c r="C675" i="69"/>
  <c r="C676" i="69"/>
  <c r="C677" i="69"/>
  <c r="C678" i="69"/>
  <c r="C679" i="69"/>
  <c r="C680" i="69"/>
  <c r="C681" i="69"/>
  <c r="C682" i="69"/>
  <c r="C683" i="69"/>
  <c r="C684" i="69"/>
  <c r="C685" i="69"/>
  <c r="C686" i="69"/>
  <c r="C687" i="69"/>
  <c r="C688" i="69"/>
  <c r="C689" i="69"/>
  <c r="C690" i="69"/>
  <c r="C691" i="69"/>
  <c r="C692" i="69"/>
  <c r="C693" i="69"/>
  <c r="C694" i="69"/>
  <c r="C695" i="69"/>
  <c r="C696" i="69"/>
  <c r="C697" i="69"/>
  <c r="C698" i="69"/>
  <c r="C699" i="69"/>
  <c r="C700" i="69"/>
  <c r="C701" i="69"/>
  <c r="C702" i="69"/>
  <c r="C703" i="69"/>
  <c r="C704" i="69"/>
  <c r="C705" i="69"/>
  <c r="C706" i="69"/>
  <c r="C707" i="69"/>
  <c r="C708" i="69"/>
  <c r="C709" i="69"/>
  <c r="C710" i="69"/>
  <c r="C711" i="69"/>
  <c r="C712" i="69"/>
  <c r="C713" i="69"/>
  <c r="C714" i="69"/>
  <c r="C715" i="69"/>
  <c r="C716" i="69"/>
  <c r="C717" i="69"/>
  <c r="C718" i="69"/>
  <c r="C719" i="69"/>
  <c r="C720" i="69"/>
  <c r="C721" i="69"/>
  <c r="C722" i="69"/>
  <c r="C723" i="69"/>
  <c r="C724" i="69"/>
  <c r="C725" i="69"/>
  <c r="C726" i="69"/>
  <c r="C727" i="69"/>
  <c r="C728" i="69"/>
  <c r="C729" i="69"/>
  <c r="C730" i="69"/>
  <c r="C731" i="69"/>
  <c r="C732" i="69"/>
  <c r="C733" i="69"/>
  <c r="C734" i="69"/>
  <c r="C735" i="69"/>
  <c r="C736" i="69"/>
  <c r="C737" i="69"/>
  <c r="C738" i="69"/>
  <c r="C739" i="69"/>
  <c r="C740" i="69"/>
  <c r="C741" i="69"/>
  <c r="C742" i="69"/>
  <c r="C743" i="69"/>
  <c r="C744" i="69"/>
  <c r="C745" i="69"/>
  <c r="C746" i="69"/>
  <c r="C747" i="69"/>
  <c r="C748" i="69"/>
  <c r="C749" i="69"/>
  <c r="C750" i="69"/>
  <c r="C751" i="69"/>
  <c r="C752" i="69"/>
  <c r="C753" i="69"/>
  <c r="C754" i="69"/>
  <c r="C755" i="69"/>
  <c r="C756" i="69"/>
  <c r="C757" i="69"/>
  <c r="C758" i="69"/>
  <c r="C759" i="69"/>
  <c r="C760" i="69"/>
  <c r="C761" i="69"/>
  <c r="C762" i="69"/>
  <c r="C763" i="69"/>
  <c r="C764" i="69"/>
  <c r="C765" i="69"/>
  <c r="C766" i="69"/>
  <c r="C767" i="69"/>
  <c r="C768" i="69"/>
  <c r="C769" i="69"/>
  <c r="C770" i="69"/>
  <c r="C771" i="69"/>
  <c r="C772" i="69"/>
  <c r="C773" i="69"/>
  <c r="C774" i="69"/>
  <c r="C775" i="69"/>
  <c r="C776" i="69"/>
  <c r="C777" i="69"/>
  <c r="C778" i="69"/>
  <c r="C779" i="69"/>
  <c r="C780" i="69"/>
  <c r="C781" i="69"/>
  <c r="C782" i="69"/>
  <c r="C783" i="69"/>
  <c r="C784" i="69"/>
  <c r="C785" i="69"/>
  <c r="C786" i="69"/>
  <c r="C787" i="69"/>
  <c r="C788" i="69"/>
  <c r="C789" i="69"/>
  <c r="C790" i="69"/>
  <c r="C791" i="69"/>
  <c r="C792" i="69"/>
  <c r="C793" i="69"/>
  <c r="C794" i="69"/>
  <c r="C795" i="69"/>
  <c r="C796" i="69"/>
  <c r="C797" i="69"/>
  <c r="C798" i="69"/>
  <c r="C799" i="69"/>
  <c r="C800" i="69"/>
  <c r="C801" i="69"/>
  <c r="C802" i="69"/>
  <c r="C803" i="69"/>
  <c r="C804" i="69"/>
  <c r="C805" i="69"/>
  <c r="C806" i="69"/>
  <c r="C807" i="69"/>
  <c r="C808" i="69"/>
  <c r="C809" i="69"/>
  <c r="C810" i="69"/>
  <c r="C811" i="69"/>
  <c r="C812" i="69"/>
  <c r="C813" i="69"/>
  <c r="C814" i="69"/>
  <c r="C815" i="69"/>
  <c r="C816" i="69"/>
  <c r="C817" i="69"/>
  <c r="C818" i="69"/>
  <c r="C819" i="69"/>
  <c r="C820" i="69"/>
  <c r="C821" i="69"/>
  <c r="C822" i="69"/>
  <c r="C823" i="69"/>
  <c r="C824" i="69"/>
  <c r="C825" i="69"/>
  <c r="C826" i="69"/>
  <c r="C827" i="69"/>
  <c r="C828" i="69"/>
  <c r="C829" i="69"/>
  <c r="C830" i="69"/>
  <c r="C831" i="69"/>
  <c r="C832" i="69"/>
  <c r="C833" i="69"/>
  <c r="C834" i="69"/>
  <c r="C835" i="69"/>
  <c r="C836" i="69"/>
  <c r="C837" i="69"/>
  <c r="C838" i="69"/>
  <c r="C839" i="69"/>
  <c r="C840" i="69"/>
  <c r="C841" i="69"/>
  <c r="C842" i="69"/>
  <c r="C843" i="69"/>
  <c r="C844" i="69"/>
  <c r="C845" i="69"/>
  <c r="C846" i="69"/>
  <c r="C847" i="69"/>
  <c r="C848" i="69"/>
  <c r="C849" i="69"/>
  <c r="C850" i="69"/>
  <c r="C851" i="69"/>
  <c r="C852" i="69"/>
  <c r="C853" i="69"/>
  <c r="C854" i="69"/>
  <c r="C855" i="69"/>
  <c r="C856" i="69"/>
  <c r="C857" i="69"/>
  <c r="C858" i="69"/>
  <c r="C859" i="69"/>
  <c r="C860" i="69"/>
  <c r="C861" i="69"/>
  <c r="C862" i="69"/>
  <c r="C863" i="69"/>
  <c r="C864" i="69"/>
  <c r="C865" i="69"/>
  <c r="C866" i="69"/>
  <c r="C867" i="69"/>
  <c r="C868" i="69"/>
  <c r="C869" i="69"/>
  <c r="C870" i="69"/>
  <c r="C871" i="69"/>
  <c r="C872" i="69"/>
  <c r="C873" i="69"/>
  <c r="C874" i="69"/>
  <c r="C875" i="69"/>
  <c r="C876" i="69"/>
  <c r="C877" i="69"/>
  <c r="C878" i="69"/>
  <c r="C879" i="69"/>
  <c r="C880" i="69"/>
  <c r="C881" i="69"/>
  <c r="C882" i="69"/>
  <c r="C883" i="69"/>
  <c r="C884" i="69"/>
  <c r="C885" i="69"/>
  <c r="C886" i="69"/>
  <c r="C887" i="69"/>
  <c r="C888" i="69"/>
  <c r="C889" i="69"/>
  <c r="C890" i="69"/>
  <c r="C891" i="69"/>
  <c r="C892" i="69"/>
  <c r="C893" i="69"/>
  <c r="C894" i="69"/>
  <c r="C895" i="69"/>
  <c r="C896" i="69"/>
  <c r="C897" i="69"/>
  <c r="C898" i="69"/>
  <c r="C899" i="69"/>
  <c r="C900" i="69"/>
  <c r="C901" i="69"/>
  <c r="C902" i="69"/>
  <c r="C903" i="69"/>
  <c r="C904" i="69"/>
  <c r="C905" i="69"/>
  <c r="C906" i="69"/>
  <c r="C907" i="69"/>
  <c r="C908" i="69"/>
  <c r="C909" i="69"/>
  <c r="C910" i="69"/>
  <c r="C911" i="69"/>
  <c r="C912" i="69"/>
  <c r="C913" i="69"/>
  <c r="C914" i="69"/>
  <c r="C915" i="69"/>
  <c r="C916" i="69"/>
  <c r="C917" i="69"/>
  <c r="C918" i="69"/>
  <c r="C919" i="69"/>
  <c r="C920" i="69"/>
  <c r="C921" i="69"/>
  <c r="C922" i="69"/>
  <c r="C923" i="69"/>
  <c r="C924" i="69"/>
  <c r="C925" i="69"/>
  <c r="C926" i="69"/>
  <c r="C927" i="69"/>
  <c r="C928" i="69"/>
  <c r="C929" i="69"/>
  <c r="C930" i="69"/>
  <c r="C931" i="69"/>
  <c r="C932" i="69"/>
  <c r="C933" i="69"/>
  <c r="C934" i="69"/>
  <c r="C935" i="69"/>
  <c r="C936" i="69"/>
  <c r="C937" i="69"/>
  <c r="C938" i="69"/>
  <c r="C939" i="69"/>
  <c r="C940" i="69"/>
  <c r="C941" i="69"/>
  <c r="C942" i="69"/>
  <c r="C943" i="69"/>
  <c r="C944" i="69"/>
  <c r="C945" i="69"/>
  <c r="C946" i="69"/>
  <c r="C947" i="69"/>
  <c r="C948" i="69"/>
  <c r="C949" i="69"/>
  <c r="C950" i="69"/>
  <c r="C951" i="69"/>
  <c r="C952" i="69"/>
  <c r="C953" i="69"/>
  <c r="C954" i="69"/>
  <c r="C955" i="69"/>
  <c r="C956" i="69"/>
  <c r="C957" i="69"/>
  <c r="C958" i="69"/>
  <c r="C959" i="69"/>
  <c r="C960" i="69"/>
  <c r="C961" i="69"/>
  <c r="C962" i="69"/>
  <c r="C963" i="69"/>
  <c r="C964" i="69"/>
  <c r="C965" i="69"/>
  <c r="C966" i="69"/>
  <c r="C967" i="69"/>
  <c r="C968" i="69"/>
  <c r="C969" i="69"/>
  <c r="C970" i="69"/>
  <c r="C971" i="69"/>
  <c r="C972" i="69"/>
  <c r="C973" i="69"/>
  <c r="C974" i="69"/>
  <c r="C975" i="69"/>
  <c r="C976" i="69"/>
  <c r="C977" i="69"/>
  <c r="C978" i="69"/>
  <c r="C979" i="69"/>
  <c r="C980" i="69"/>
  <c r="C981" i="69"/>
  <c r="C982" i="69"/>
  <c r="C983" i="69"/>
  <c r="C984" i="69"/>
  <c r="C985" i="69"/>
  <c r="C986" i="69"/>
  <c r="C987" i="69"/>
  <c r="C988" i="69"/>
  <c r="C989" i="69"/>
  <c r="C990" i="69"/>
  <c r="C991" i="69"/>
  <c r="C992" i="69"/>
  <c r="C993" i="69"/>
  <c r="C994" i="69"/>
  <c r="C995" i="69"/>
  <c r="C996" i="69"/>
  <c r="C997" i="69"/>
  <c r="C998" i="69"/>
  <c r="C999" i="69"/>
  <c r="C1000" i="69"/>
  <c r="C1001" i="69"/>
  <c r="C1002" i="69"/>
  <c r="C1003" i="69"/>
  <c r="C1004" i="69"/>
  <c r="C1005" i="69"/>
  <c r="C1006" i="69"/>
  <c r="C1007" i="69"/>
  <c r="C1008" i="69"/>
  <c r="C1009" i="69"/>
  <c r="C1010" i="69"/>
  <c r="C1011" i="69"/>
  <c r="C1012" i="69"/>
  <c r="C1013" i="69"/>
  <c r="C1014" i="69"/>
  <c r="C1015" i="69"/>
  <c r="C1016" i="69"/>
  <c r="C1017" i="69"/>
  <c r="C1018" i="69"/>
  <c r="C1019" i="69"/>
  <c r="C1020" i="69"/>
  <c r="C1021" i="69"/>
  <c r="C1022" i="69"/>
  <c r="C1023" i="69"/>
  <c r="C1024" i="69"/>
  <c r="C1025" i="69"/>
  <c r="C1026" i="69"/>
  <c r="C1027" i="69"/>
  <c r="C1028" i="69"/>
  <c r="C1029" i="69"/>
  <c r="C1030" i="69"/>
  <c r="C1031" i="69"/>
  <c r="C1032" i="69"/>
  <c r="C1033" i="69"/>
  <c r="C1034" i="69"/>
  <c r="C1035" i="69"/>
  <c r="C1036" i="69"/>
  <c r="C1037" i="69"/>
  <c r="C1038" i="69"/>
  <c r="C1039" i="69"/>
  <c r="C1040" i="69"/>
  <c r="C1041" i="69"/>
  <c r="C1042" i="69"/>
  <c r="C1043" i="69"/>
  <c r="C1044" i="69"/>
  <c r="C1045" i="69"/>
  <c r="C1046" i="69"/>
  <c r="C1047" i="69"/>
  <c r="C1048" i="69"/>
  <c r="C1049" i="69"/>
  <c r="C1050" i="69"/>
  <c r="C1051" i="69"/>
  <c r="C1052" i="69"/>
  <c r="C1053" i="69"/>
  <c r="C1054" i="69"/>
  <c r="C1055" i="69"/>
  <c r="C1056" i="69"/>
  <c r="C1057" i="69"/>
  <c r="C1058" i="69"/>
  <c r="C1059" i="69"/>
  <c r="C1060" i="69"/>
  <c r="C1061" i="69"/>
  <c r="C1062" i="69"/>
  <c r="C1063" i="69"/>
  <c r="C1064" i="69"/>
  <c r="C1065" i="69"/>
  <c r="C1066" i="69"/>
  <c r="C1067" i="69"/>
  <c r="C1068" i="69"/>
  <c r="C1069" i="69"/>
  <c r="C1070" i="69"/>
  <c r="C1071" i="69"/>
  <c r="C1072" i="69"/>
  <c r="C1073" i="69"/>
  <c r="C1074" i="69"/>
  <c r="C1075" i="69"/>
  <c r="C1076" i="69"/>
  <c r="C1077" i="69"/>
  <c r="C1078" i="69"/>
  <c r="C1079" i="69"/>
  <c r="C1080" i="69"/>
  <c r="C1081" i="69"/>
  <c r="C1082" i="69"/>
  <c r="C1083" i="69"/>
  <c r="C1084" i="69"/>
  <c r="C1085" i="69"/>
  <c r="C1086" i="69"/>
  <c r="C1087" i="69"/>
  <c r="C1088" i="69"/>
  <c r="C1089" i="69"/>
  <c r="C1090" i="69"/>
  <c r="C1091" i="69"/>
  <c r="C1092" i="69"/>
  <c r="C1093" i="69"/>
  <c r="C1094" i="69"/>
  <c r="C1095" i="69"/>
  <c r="C1096" i="69"/>
  <c r="C1097" i="69"/>
  <c r="C1098" i="69"/>
  <c r="C1099" i="69"/>
  <c r="C1100" i="69"/>
  <c r="C1101" i="69"/>
  <c r="C1102" i="69"/>
  <c r="C1103" i="69"/>
  <c r="C1104" i="69"/>
  <c r="C1105" i="69"/>
  <c r="C1106" i="69"/>
  <c r="C1107" i="69"/>
  <c r="C1108" i="69"/>
  <c r="C1109" i="69"/>
  <c r="C1110" i="69"/>
  <c r="C1111" i="69"/>
  <c r="C1112" i="69"/>
  <c r="C1113" i="69"/>
  <c r="C1114" i="69"/>
  <c r="C1115" i="69"/>
  <c r="C1116" i="69"/>
  <c r="C1117" i="69"/>
  <c r="C1118" i="69"/>
  <c r="C1119" i="69"/>
  <c r="C1120" i="69"/>
  <c r="C1121" i="69"/>
  <c r="C1122" i="69"/>
  <c r="C1123" i="69"/>
  <c r="C1124" i="69"/>
  <c r="C1125" i="69"/>
  <c r="C1126" i="69"/>
  <c r="C1127" i="69"/>
  <c r="C1128" i="69"/>
  <c r="C1129" i="69"/>
  <c r="C1130" i="69"/>
  <c r="C1131" i="69"/>
  <c r="C1132" i="69"/>
  <c r="C1133" i="69"/>
  <c r="C1134" i="69"/>
  <c r="C1135" i="69"/>
  <c r="C1136" i="69"/>
  <c r="C1137" i="69"/>
  <c r="C1138" i="69"/>
  <c r="C1139" i="69"/>
  <c r="C1140" i="69"/>
  <c r="C1141" i="69"/>
  <c r="C1142" i="69"/>
  <c r="C1143" i="69"/>
  <c r="C1144" i="69"/>
  <c r="C1145" i="69"/>
  <c r="C1146" i="69"/>
  <c r="C1147" i="69"/>
  <c r="C1148" i="69"/>
  <c r="C1149" i="69"/>
  <c r="C1150" i="69"/>
  <c r="C1151" i="69"/>
  <c r="C1152" i="69"/>
  <c r="C1153" i="69"/>
  <c r="C1154" i="69"/>
  <c r="C1155" i="69"/>
  <c r="C1156" i="69"/>
  <c r="C1157" i="69"/>
  <c r="C1158" i="69"/>
  <c r="C1159" i="69"/>
  <c r="C1160" i="69"/>
  <c r="C1161" i="69"/>
  <c r="C1162" i="69"/>
  <c r="C1163" i="69"/>
  <c r="C1164" i="69"/>
  <c r="C1165" i="69"/>
  <c r="C1166" i="69"/>
  <c r="C1167" i="69"/>
  <c r="C1168" i="69"/>
  <c r="C1169" i="69"/>
  <c r="C1170" i="69"/>
  <c r="C1171" i="69"/>
  <c r="C1172" i="69"/>
  <c r="C1173" i="69"/>
  <c r="C1174" i="69"/>
  <c r="C1175" i="69"/>
  <c r="C1176" i="69"/>
  <c r="C1177" i="69"/>
  <c r="C1178" i="69"/>
  <c r="C1179" i="69"/>
  <c r="C1180" i="69"/>
  <c r="C1181" i="69"/>
  <c r="C1182" i="69"/>
  <c r="C1183" i="69"/>
  <c r="C1184" i="69"/>
  <c r="C1185" i="69"/>
  <c r="C1186" i="69"/>
  <c r="C1187" i="69"/>
  <c r="C1188" i="69"/>
  <c r="C1189" i="69"/>
  <c r="C1190" i="69"/>
  <c r="C1191" i="69"/>
  <c r="C1192" i="69"/>
  <c r="C1193" i="69"/>
  <c r="C1194" i="69"/>
  <c r="C1195" i="69"/>
  <c r="C1196" i="69"/>
  <c r="C1197" i="69"/>
  <c r="C1198" i="69"/>
  <c r="C1199" i="69"/>
  <c r="C1200" i="69"/>
  <c r="C1201" i="69"/>
  <c r="C1202" i="69"/>
  <c r="C1203" i="69"/>
  <c r="C1204" i="69"/>
  <c r="C1205" i="69"/>
  <c r="C1206" i="69"/>
  <c r="C1207" i="69"/>
  <c r="C1208" i="69"/>
  <c r="C1209" i="69"/>
  <c r="C1210" i="69"/>
  <c r="C1211" i="69"/>
  <c r="C1212" i="69"/>
  <c r="C1213" i="69"/>
  <c r="C1214" i="69"/>
  <c r="C1215" i="69"/>
  <c r="C1216" i="69"/>
  <c r="C1217" i="69"/>
  <c r="C1218" i="69"/>
  <c r="C1219" i="69"/>
  <c r="C1220" i="69"/>
  <c r="C1221" i="69"/>
  <c r="C1222" i="69"/>
  <c r="C1223" i="69"/>
  <c r="C1224" i="69"/>
  <c r="C1225" i="69"/>
  <c r="C1226" i="69"/>
  <c r="C1227" i="69"/>
  <c r="C1228" i="69"/>
  <c r="C1229" i="69"/>
  <c r="C1230" i="69"/>
  <c r="C1231" i="69"/>
  <c r="C1232" i="69"/>
  <c r="C1233" i="69"/>
  <c r="C1234" i="69"/>
  <c r="C1235" i="69"/>
  <c r="C1236" i="69"/>
  <c r="C1237" i="69"/>
  <c r="C1238" i="69"/>
  <c r="C1239" i="69"/>
  <c r="C1240" i="69"/>
  <c r="C1241" i="69"/>
  <c r="C1242" i="69"/>
  <c r="C1243" i="69"/>
  <c r="C1244" i="69"/>
  <c r="C1245" i="69"/>
  <c r="C1246" i="69"/>
  <c r="C1247" i="69"/>
  <c r="C1248" i="69"/>
  <c r="C1249" i="69"/>
  <c r="C1250" i="69"/>
  <c r="C1251" i="69"/>
  <c r="C1252" i="69"/>
  <c r="C1253" i="69"/>
  <c r="C1254" i="69"/>
  <c r="C1255" i="69"/>
  <c r="C1256" i="69"/>
  <c r="C1257" i="69"/>
  <c r="C1258" i="69"/>
  <c r="C1259" i="69"/>
  <c r="C1260" i="69"/>
  <c r="C1261" i="69"/>
  <c r="C1262" i="69"/>
  <c r="C1263" i="69"/>
  <c r="C1264" i="69"/>
  <c r="C1265" i="69"/>
  <c r="C1266" i="69"/>
  <c r="C1267" i="69"/>
  <c r="C1268" i="69"/>
  <c r="C1269" i="69"/>
  <c r="C1270" i="69"/>
  <c r="C1271" i="69"/>
  <c r="C1272" i="69"/>
  <c r="C1273" i="69"/>
  <c r="C1274" i="69"/>
  <c r="C1275" i="69"/>
  <c r="C1276" i="69"/>
  <c r="C1277" i="69"/>
  <c r="C1278" i="69"/>
  <c r="C1279" i="69"/>
  <c r="C1280" i="69"/>
  <c r="C1281" i="69"/>
  <c r="C1282" i="69"/>
  <c r="C1283" i="69"/>
  <c r="C1284" i="69"/>
  <c r="C1285" i="69"/>
  <c r="C1286" i="69"/>
  <c r="C1287" i="69"/>
  <c r="C1288" i="69"/>
  <c r="C1289" i="69"/>
  <c r="C1290" i="69"/>
  <c r="C1291" i="69"/>
  <c r="C1292" i="69"/>
  <c r="C1293" i="69"/>
  <c r="C1294" i="69"/>
  <c r="C1295" i="69"/>
  <c r="C1296" i="69"/>
  <c r="C1297" i="69"/>
  <c r="C1298" i="69"/>
  <c r="C1299" i="69"/>
  <c r="C1300" i="69"/>
  <c r="C1301" i="69"/>
  <c r="C1302" i="69"/>
  <c r="C1303" i="69"/>
  <c r="C1304" i="69"/>
  <c r="C1305" i="69"/>
  <c r="C1306" i="69"/>
  <c r="C1307" i="69"/>
  <c r="C1308" i="69"/>
  <c r="C1309" i="69"/>
  <c r="C1310" i="69"/>
  <c r="C1311" i="69"/>
  <c r="C1312" i="69"/>
  <c r="C1313" i="69"/>
  <c r="C1314" i="69"/>
  <c r="C1315" i="69"/>
  <c r="C1316" i="69"/>
  <c r="C1317" i="69"/>
  <c r="C1318" i="69"/>
  <c r="C1319" i="69"/>
  <c r="C1320" i="69"/>
  <c r="C1321" i="69"/>
  <c r="C1322" i="69"/>
  <c r="C1323" i="69"/>
  <c r="C1324" i="69"/>
  <c r="C1325" i="69"/>
  <c r="C1326" i="69"/>
  <c r="C1327" i="69"/>
  <c r="C1328" i="69"/>
  <c r="C1329" i="69"/>
  <c r="C1330" i="69"/>
  <c r="C1331" i="69"/>
  <c r="C1332" i="69"/>
  <c r="C1333" i="69"/>
  <c r="C1334" i="69"/>
  <c r="C1335" i="69"/>
  <c r="C1336" i="69"/>
  <c r="C1337" i="69"/>
  <c r="C1338" i="69"/>
  <c r="C1339" i="69"/>
  <c r="C1340" i="69"/>
  <c r="C1341" i="69"/>
  <c r="C1342" i="69"/>
  <c r="C1343" i="69"/>
  <c r="C1344" i="69"/>
  <c r="C1345" i="69"/>
  <c r="C1346" i="69"/>
  <c r="C1347" i="69"/>
  <c r="C1348" i="69"/>
  <c r="C1349" i="69"/>
  <c r="C1350" i="69"/>
  <c r="C1351" i="69"/>
  <c r="C1352" i="69"/>
  <c r="C1353" i="69"/>
  <c r="C1354" i="69"/>
  <c r="C1355" i="69"/>
  <c r="C1356" i="69"/>
  <c r="C1357" i="69"/>
  <c r="C1358" i="69"/>
  <c r="C1359" i="69"/>
  <c r="C1360" i="69"/>
  <c r="C1361" i="69"/>
  <c r="C1362" i="69"/>
  <c r="C1363" i="69"/>
  <c r="C1364" i="69"/>
  <c r="C1365" i="69"/>
  <c r="C1366" i="69"/>
  <c r="C1367" i="69"/>
  <c r="C1368" i="69"/>
  <c r="C1369" i="69"/>
  <c r="C1370" i="69"/>
  <c r="C1371" i="69"/>
  <c r="C1372" i="69"/>
  <c r="C1373" i="69"/>
  <c r="C1374" i="69"/>
  <c r="C1375" i="69"/>
  <c r="C1376" i="69"/>
  <c r="C1377" i="69"/>
  <c r="C1378" i="69"/>
  <c r="C1379" i="69"/>
  <c r="C1380" i="69"/>
  <c r="C1381" i="69"/>
  <c r="C1382" i="69"/>
  <c r="C1383" i="69"/>
  <c r="C1384" i="69"/>
  <c r="C1385" i="69"/>
  <c r="C1386" i="69"/>
  <c r="C1387" i="69"/>
  <c r="C1388" i="69"/>
  <c r="C1389" i="69"/>
  <c r="C1390" i="69"/>
  <c r="C1391" i="69"/>
  <c r="C1392" i="69"/>
  <c r="C1393" i="69"/>
  <c r="C1394" i="69"/>
  <c r="C1395" i="69"/>
  <c r="C1396" i="69"/>
  <c r="C1397" i="69"/>
  <c r="C1398" i="69"/>
  <c r="C1399" i="69"/>
  <c r="C1400" i="69"/>
  <c r="C1401" i="69"/>
  <c r="C1402" i="69"/>
  <c r="C1403" i="69"/>
  <c r="C1404" i="69"/>
  <c r="C1405" i="69"/>
  <c r="C1406" i="69"/>
  <c r="C1407" i="69"/>
  <c r="C1408" i="69"/>
  <c r="C1409" i="69"/>
  <c r="C1410" i="69"/>
  <c r="C1411" i="69"/>
  <c r="C1412" i="69"/>
  <c r="C1413" i="69"/>
  <c r="C1414" i="69"/>
  <c r="C1415" i="69"/>
  <c r="C1416" i="69"/>
  <c r="C1417" i="69"/>
  <c r="C1418" i="69"/>
  <c r="C1419" i="69"/>
  <c r="C1420" i="69"/>
  <c r="C1421" i="69"/>
  <c r="C1422" i="69"/>
  <c r="C1423" i="69"/>
  <c r="C1424" i="69"/>
  <c r="C1425" i="69"/>
  <c r="C1426" i="69"/>
  <c r="C1427" i="69"/>
  <c r="C1428" i="69"/>
  <c r="C1429" i="69"/>
  <c r="C1430" i="69"/>
  <c r="C1431" i="69"/>
  <c r="C1432" i="69"/>
  <c r="C1433" i="69"/>
  <c r="C1434" i="69"/>
  <c r="C1435" i="69"/>
  <c r="C1436" i="69"/>
  <c r="C1437" i="69"/>
  <c r="C1438" i="69"/>
  <c r="C1439" i="69"/>
  <c r="C1440" i="69"/>
  <c r="C1441" i="69"/>
  <c r="C1442" i="69"/>
  <c r="C1443" i="69"/>
  <c r="C1444" i="69"/>
  <c r="C1445" i="69"/>
  <c r="C1446" i="69"/>
  <c r="C1447" i="69"/>
  <c r="C1448" i="69"/>
  <c r="C1449" i="69"/>
  <c r="C1450" i="69"/>
  <c r="C1451" i="69"/>
  <c r="C1452" i="69"/>
  <c r="C1453" i="69"/>
  <c r="C1454" i="69"/>
  <c r="C1455" i="69"/>
  <c r="C1456" i="69"/>
  <c r="C1457" i="69"/>
  <c r="C1458" i="69"/>
  <c r="C1459" i="69"/>
  <c r="C1460" i="69"/>
  <c r="C1461" i="69"/>
  <c r="C1462" i="69"/>
  <c r="C1463" i="69"/>
  <c r="C1464" i="69"/>
  <c r="C1465" i="69"/>
  <c r="C1466" i="69"/>
  <c r="C1467" i="69"/>
  <c r="C1468" i="69"/>
  <c r="C1469" i="69"/>
  <c r="C1470" i="69"/>
  <c r="C1471" i="69"/>
  <c r="C1472" i="69"/>
  <c r="C1473" i="69"/>
  <c r="C1474" i="69"/>
  <c r="C1475" i="69"/>
  <c r="C1476" i="69"/>
  <c r="C1477" i="69"/>
  <c r="C1478" i="69"/>
  <c r="C1479" i="69"/>
  <c r="C1480" i="69"/>
  <c r="C1481" i="69"/>
  <c r="C1482" i="69"/>
  <c r="C1483" i="69"/>
  <c r="C1484" i="69"/>
  <c r="C1485" i="69"/>
  <c r="C1486" i="69"/>
  <c r="C1487" i="69"/>
  <c r="C1488" i="69"/>
  <c r="C1489" i="69"/>
  <c r="C1490" i="69"/>
  <c r="C1491" i="69"/>
  <c r="C1492" i="69"/>
  <c r="C1493" i="69"/>
  <c r="C1494" i="69"/>
  <c r="C1495" i="69"/>
  <c r="C1496" i="69"/>
  <c r="C1497" i="69"/>
  <c r="C1498" i="69"/>
  <c r="C1499" i="69"/>
  <c r="C1500" i="69"/>
  <c r="C1501" i="69"/>
  <c r="C1502" i="69"/>
  <c r="C1503" i="69"/>
  <c r="C1504" i="69"/>
  <c r="C1505" i="69"/>
  <c r="C1506" i="69"/>
  <c r="C1507" i="69"/>
  <c r="C1508" i="69"/>
  <c r="C1509" i="69"/>
  <c r="C1510" i="69"/>
  <c r="C1511" i="69"/>
  <c r="C1512" i="69"/>
  <c r="C1513" i="69"/>
  <c r="C1514" i="69"/>
  <c r="C1515" i="69"/>
  <c r="C1516" i="69"/>
  <c r="C1517" i="69"/>
  <c r="C1518" i="69"/>
  <c r="C1519" i="69"/>
  <c r="C1520" i="69"/>
  <c r="C1521" i="69"/>
  <c r="C1522" i="69"/>
  <c r="C1523" i="69"/>
  <c r="C1524" i="69"/>
  <c r="C1525" i="69"/>
  <c r="C1526" i="69"/>
  <c r="C1527" i="69"/>
  <c r="C1528" i="69"/>
  <c r="C1529" i="69"/>
  <c r="C1530" i="69"/>
  <c r="C1531" i="69"/>
  <c r="C1532" i="69"/>
  <c r="C1533" i="69"/>
  <c r="C1534" i="69"/>
  <c r="C1535" i="69"/>
  <c r="C1536" i="69"/>
  <c r="C1537" i="69"/>
  <c r="C1538" i="69"/>
  <c r="C1539" i="69"/>
  <c r="C1540" i="69"/>
  <c r="C1541" i="69"/>
  <c r="C1542" i="69"/>
  <c r="C1543" i="69"/>
  <c r="C1544" i="69"/>
  <c r="C1545" i="69"/>
  <c r="C1546" i="69"/>
  <c r="C1547" i="69"/>
  <c r="C1548" i="69"/>
  <c r="C1549" i="69"/>
  <c r="C1550" i="69"/>
  <c r="C1551" i="69"/>
  <c r="C1552" i="69"/>
  <c r="C1553" i="69"/>
  <c r="C1554" i="69"/>
  <c r="C1555" i="69"/>
  <c r="C1556" i="69"/>
  <c r="C1557" i="69"/>
  <c r="C1558" i="69"/>
  <c r="C1559" i="69"/>
  <c r="C1560" i="69"/>
  <c r="C1561" i="69"/>
  <c r="C1562" i="69"/>
  <c r="C1563" i="69"/>
  <c r="C1564" i="69"/>
  <c r="C1565" i="69"/>
  <c r="C1566" i="69"/>
  <c r="C1567" i="69"/>
  <c r="C1568" i="69"/>
  <c r="C1569" i="69"/>
  <c r="C1570" i="69"/>
  <c r="C1571" i="69"/>
  <c r="C1572" i="69"/>
  <c r="C1573" i="69"/>
  <c r="C1574" i="69"/>
  <c r="C1575" i="69"/>
  <c r="C1576" i="69"/>
  <c r="C1577" i="69"/>
  <c r="C1578" i="69"/>
  <c r="C1579" i="69"/>
  <c r="C1580" i="69"/>
  <c r="C1581" i="69"/>
  <c r="C1582" i="69"/>
  <c r="C1583" i="69"/>
  <c r="C1584" i="69"/>
  <c r="C1585" i="69"/>
  <c r="C1586" i="69"/>
  <c r="C1587" i="69"/>
  <c r="C1588" i="69"/>
  <c r="C1589" i="69"/>
  <c r="C1590" i="69"/>
  <c r="C1591" i="69"/>
  <c r="C1592" i="69"/>
  <c r="C1593" i="69"/>
  <c r="C1594" i="69"/>
  <c r="C1595" i="69"/>
  <c r="C1596" i="69"/>
  <c r="C1597" i="69"/>
  <c r="C1598" i="69"/>
  <c r="C1599" i="69"/>
  <c r="C1600" i="69"/>
  <c r="C1601" i="69"/>
  <c r="C1602" i="69"/>
  <c r="C1603" i="69"/>
  <c r="C1604" i="69"/>
  <c r="C1605" i="69"/>
  <c r="C1606" i="69"/>
  <c r="C1607" i="69"/>
  <c r="C1608" i="69"/>
  <c r="C1609" i="69"/>
  <c r="C1610" i="69"/>
  <c r="C1611" i="69"/>
  <c r="C1612" i="69"/>
  <c r="C1613" i="69"/>
  <c r="C1614" i="69"/>
  <c r="C1615" i="69"/>
  <c r="C1616" i="69"/>
  <c r="C1617" i="69"/>
  <c r="C1618" i="69"/>
  <c r="C1619" i="69"/>
  <c r="C1620" i="69"/>
  <c r="C1621" i="69"/>
  <c r="C1622" i="69"/>
  <c r="C1623" i="69"/>
  <c r="C1624" i="69"/>
  <c r="C1625" i="69"/>
  <c r="C1626" i="69"/>
  <c r="C1627" i="69"/>
  <c r="C1628" i="69"/>
  <c r="C1629" i="69"/>
  <c r="C1630" i="69"/>
  <c r="C1631" i="69"/>
  <c r="C1632" i="69"/>
  <c r="C1633" i="69"/>
  <c r="C1634" i="69"/>
  <c r="C1635" i="69"/>
  <c r="C1636" i="69"/>
  <c r="C1637" i="69"/>
  <c r="C1638" i="69"/>
  <c r="C1639" i="69"/>
  <c r="C1640" i="69"/>
  <c r="C1641" i="69"/>
  <c r="C1642" i="69"/>
  <c r="C1643" i="69"/>
  <c r="C1644" i="69"/>
  <c r="C1645" i="69"/>
  <c r="C1646" i="69"/>
  <c r="C1647" i="69"/>
  <c r="C1648" i="69"/>
  <c r="C1649" i="69"/>
  <c r="C1650" i="69"/>
  <c r="C1651" i="69"/>
  <c r="C1652" i="69"/>
  <c r="C1653" i="69"/>
  <c r="C1654" i="69"/>
  <c r="C1655" i="69"/>
  <c r="C1656" i="69"/>
  <c r="C1657" i="69"/>
  <c r="C1658" i="69"/>
  <c r="C1659" i="69"/>
  <c r="C1660" i="69"/>
  <c r="C1661" i="69"/>
  <c r="C1662" i="69"/>
  <c r="C1663" i="69"/>
  <c r="C1664" i="69"/>
  <c r="C1665" i="69"/>
  <c r="C1666" i="69"/>
  <c r="C1667" i="69"/>
  <c r="C1668" i="69"/>
  <c r="C1669" i="69"/>
  <c r="C1670" i="69"/>
  <c r="C1671" i="69"/>
  <c r="C1672" i="69"/>
  <c r="C1673" i="69"/>
  <c r="C1674" i="69"/>
  <c r="C1675" i="69"/>
  <c r="C1676" i="69"/>
  <c r="C1677" i="69"/>
  <c r="C1678" i="69"/>
  <c r="C1679" i="69"/>
  <c r="C1680" i="69"/>
  <c r="C1681" i="69"/>
  <c r="C1682" i="69"/>
  <c r="C1683" i="69"/>
  <c r="C1684" i="69"/>
  <c r="C1685" i="69"/>
  <c r="C1686" i="69"/>
  <c r="C1687" i="69"/>
  <c r="C1688" i="69"/>
  <c r="C1689" i="69"/>
  <c r="C1690" i="69"/>
  <c r="C1691" i="69"/>
  <c r="C1692" i="69"/>
  <c r="C1693" i="69"/>
  <c r="C1694" i="69"/>
  <c r="C1695" i="69"/>
  <c r="C1696" i="69"/>
  <c r="C1697" i="69"/>
  <c r="C1698" i="69"/>
  <c r="C1699" i="69"/>
  <c r="C1700" i="69"/>
  <c r="C1701" i="69"/>
  <c r="C1702" i="69"/>
  <c r="C1703" i="69"/>
  <c r="C1704" i="69"/>
  <c r="C1705" i="69"/>
  <c r="C1706" i="69"/>
  <c r="C1707" i="69"/>
  <c r="C1708" i="69"/>
  <c r="C1709" i="69"/>
  <c r="C1710" i="69"/>
  <c r="C1711" i="69"/>
  <c r="C1712" i="69"/>
  <c r="C1713" i="69"/>
  <c r="C1714" i="69"/>
  <c r="C1715" i="69"/>
  <c r="C1716" i="69"/>
  <c r="C1717" i="69"/>
  <c r="C1718" i="69"/>
  <c r="C1719" i="69"/>
  <c r="C1720" i="69"/>
  <c r="C1721" i="69"/>
  <c r="C1722" i="69"/>
  <c r="C1723" i="69"/>
  <c r="C1724" i="69"/>
  <c r="C1725" i="69"/>
  <c r="C1726" i="69"/>
  <c r="C1727" i="69"/>
  <c r="C1728" i="69"/>
  <c r="C1729" i="69"/>
  <c r="C1730" i="69"/>
  <c r="C1731" i="69"/>
  <c r="C1732" i="69"/>
  <c r="C1733" i="69"/>
  <c r="C1734" i="69"/>
  <c r="C1735" i="69"/>
  <c r="C1736" i="69"/>
  <c r="C1737" i="69"/>
  <c r="C1738" i="69"/>
  <c r="C1739" i="69"/>
  <c r="C1740" i="69"/>
  <c r="C1741" i="69"/>
  <c r="C1742" i="69"/>
  <c r="C1743" i="69"/>
  <c r="C1744" i="69"/>
  <c r="C1745" i="69"/>
  <c r="C1746" i="69"/>
  <c r="C1747" i="69"/>
  <c r="C1748" i="69"/>
  <c r="C1749" i="69"/>
  <c r="C1750" i="69"/>
  <c r="C1751" i="69"/>
  <c r="C1752" i="69"/>
  <c r="C1753" i="69"/>
  <c r="C1754" i="69"/>
  <c r="C1755" i="69"/>
  <c r="C1756" i="69"/>
  <c r="C1757" i="69"/>
  <c r="C1758" i="69"/>
  <c r="C1759" i="69"/>
  <c r="C1760" i="69"/>
  <c r="C1761" i="69"/>
  <c r="C1762" i="69"/>
  <c r="C1763" i="69"/>
  <c r="C1764" i="69"/>
  <c r="C1765" i="69"/>
  <c r="C1766" i="69"/>
  <c r="C1767" i="69"/>
  <c r="C1768" i="69"/>
  <c r="C1769" i="69"/>
  <c r="C1770" i="69"/>
  <c r="C1771" i="69"/>
  <c r="C1772" i="69"/>
  <c r="C1773" i="69"/>
  <c r="C1774" i="69"/>
  <c r="C1775" i="69"/>
  <c r="C1776" i="69"/>
  <c r="C1777" i="69"/>
  <c r="C1778" i="69"/>
  <c r="C1779" i="69"/>
  <c r="C1780" i="69"/>
  <c r="C1781" i="69"/>
  <c r="C1782" i="69"/>
  <c r="C1783" i="69"/>
  <c r="C1784" i="69"/>
  <c r="C1785" i="69"/>
  <c r="C1786" i="69"/>
  <c r="C1787" i="69"/>
  <c r="C1788" i="69"/>
  <c r="C1789" i="69"/>
  <c r="C1790" i="69"/>
  <c r="C1791" i="69"/>
  <c r="C1792" i="69"/>
  <c r="C1793" i="69"/>
  <c r="C1794" i="69"/>
  <c r="C1795" i="69"/>
  <c r="C1796" i="69"/>
  <c r="C1797" i="69"/>
  <c r="C1798" i="69"/>
  <c r="C1799" i="69"/>
  <c r="C1800" i="69"/>
  <c r="C1801" i="69"/>
  <c r="C1802" i="69"/>
  <c r="C1803" i="69"/>
  <c r="C1804" i="69"/>
  <c r="C1805" i="69"/>
  <c r="C1806" i="69"/>
  <c r="C1807" i="69"/>
  <c r="C1808" i="69"/>
  <c r="C1809" i="69"/>
  <c r="C1810" i="69"/>
  <c r="C1811" i="69"/>
  <c r="C1812" i="69"/>
  <c r="C1813" i="69"/>
  <c r="C1814" i="69"/>
  <c r="C1815" i="69"/>
  <c r="C1816" i="69"/>
  <c r="C1817" i="69"/>
  <c r="C1818" i="69"/>
  <c r="C1819" i="69"/>
  <c r="C1820" i="69"/>
  <c r="C1821" i="69"/>
  <c r="C1822" i="69"/>
  <c r="C1823" i="69"/>
  <c r="C1824" i="69"/>
  <c r="C1825" i="69"/>
  <c r="C1826" i="69"/>
  <c r="C1827" i="69"/>
  <c r="C1828" i="69"/>
  <c r="C1829" i="69"/>
  <c r="C1830" i="69"/>
  <c r="C1831" i="69"/>
  <c r="C1832" i="69"/>
  <c r="C1833" i="69"/>
  <c r="C1834" i="69"/>
  <c r="C1835" i="69"/>
  <c r="C1836" i="69"/>
  <c r="C1837" i="69"/>
  <c r="C1838" i="69"/>
  <c r="C1839" i="69"/>
  <c r="C1840" i="69"/>
  <c r="C1841" i="69"/>
  <c r="C1842" i="69"/>
  <c r="C1843" i="69"/>
  <c r="C1844" i="69"/>
  <c r="C1845" i="69"/>
  <c r="C1846" i="69"/>
  <c r="C1847" i="69"/>
  <c r="C1848" i="69"/>
  <c r="C1849" i="69"/>
  <c r="C1850" i="69"/>
  <c r="C1851" i="69"/>
  <c r="C1852" i="69"/>
  <c r="C1853" i="69"/>
  <c r="C1854" i="69"/>
  <c r="C1855" i="69"/>
  <c r="C1856" i="69"/>
  <c r="C1857" i="69"/>
  <c r="C1858" i="69"/>
  <c r="C1859" i="69"/>
  <c r="C1860" i="69"/>
  <c r="C1861" i="69"/>
  <c r="C1862" i="69"/>
  <c r="C1863" i="69"/>
  <c r="C1864" i="69"/>
  <c r="C1865" i="69"/>
  <c r="C1866" i="69"/>
  <c r="C1867" i="69"/>
  <c r="C1868" i="69"/>
  <c r="C1869" i="69"/>
  <c r="C1870" i="69"/>
  <c r="C1871" i="69"/>
  <c r="C1872" i="69"/>
  <c r="C1873" i="69"/>
  <c r="C1874" i="69"/>
  <c r="C1875" i="69"/>
  <c r="C1876" i="69"/>
  <c r="C1877" i="69"/>
  <c r="C1878" i="69"/>
  <c r="C1879" i="69"/>
  <c r="C1880" i="69"/>
  <c r="C1881" i="69"/>
  <c r="C1882" i="69"/>
  <c r="C1883" i="69"/>
  <c r="C1884" i="69"/>
  <c r="C1885" i="69"/>
  <c r="C1886" i="69"/>
  <c r="C1887" i="69"/>
  <c r="C1888" i="69"/>
  <c r="C1889" i="69"/>
  <c r="C1890" i="69"/>
  <c r="C1891" i="69"/>
  <c r="C1892" i="69"/>
  <c r="C1893" i="69"/>
  <c r="C1894" i="69"/>
  <c r="C1895" i="69"/>
  <c r="C1896" i="69"/>
  <c r="C1897" i="69"/>
  <c r="C1898" i="69"/>
  <c r="C1899" i="69"/>
  <c r="C1900" i="69"/>
  <c r="C1901" i="69"/>
  <c r="C1902" i="69"/>
  <c r="C1903" i="69"/>
  <c r="C1904" i="69"/>
  <c r="C1905" i="69"/>
  <c r="C1906" i="69"/>
  <c r="C1907" i="69"/>
  <c r="C1908" i="69"/>
  <c r="C1909" i="69"/>
  <c r="C1910" i="69"/>
  <c r="C1911" i="69"/>
  <c r="C1912" i="69"/>
  <c r="C1913" i="69"/>
  <c r="C1914" i="69"/>
  <c r="C1915" i="69"/>
  <c r="C1916" i="69"/>
  <c r="C1917" i="69"/>
  <c r="C1918" i="69"/>
  <c r="C1919" i="69"/>
  <c r="C1920" i="69"/>
  <c r="C1921" i="69"/>
  <c r="C1922" i="69"/>
  <c r="C1923" i="69"/>
  <c r="C1924" i="69"/>
  <c r="C1925" i="69"/>
  <c r="C1926" i="69"/>
  <c r="C1927" i="69"/>
  <c r="C1928" i="69"/>
  <c r="C1929" i="69"/>
  <c r="C1930" i="69"/>
  <c r="C1931" i="69"/>
  <c r="C1932" i="69"/>
  <c r="C1933" i="69"/>
  <c r="C1934" i="69"/>
  <c r="C1935" i="69"/>
  <c r="C1936" i="69"/>
  <c r="C1937" i="69"/>
  <c r="C1938" i="69"/>
  <c r="C1939" i="69"/>
  <c r="C1940" i="69"/>
  <c r="C1941" i="69"/>
  <c r="C1942" i="69"/>
  <c r="C1943" i="69"/>
  <c r="C1944" i="69"/>
  <c r="C1945" i="69"/>
  <c r="C1946" i="69"/>
  <c r="C1947" i="69"/>
  <c r="C1948" i="69"/>
  <c r="C1949" i="69"/>
  <c r="C1950" i="69"/>
  <c r="C1951" i="69"/>
  <c r="C1952" i="69"/>
  <c r="C1953" i="69"/>
  <c r="C1954" i="69"/>
  <c r="C1955" i="69"/>
  <c r="C1956" i="69"/>
  <c r="C1957" i="69"/>
  <c r="C1958" i="69"/>
  <c r="C1959" i="69"/>
  <c r="C1960" i="69"/>
  <c r="C1961" i="69"/>
  <c r="C1962" i="69"/>
  <c r="C1963" i="69"/>
  <c r="C1964" i="69"/>
  <c r="C1965" i="69"/>
  <c r="C1966" i="69"/>
  <c r="C1967" i="69"/>
  <c r="C1968" i="69"/>
  <c r="C1969" i="69"/>
  <c r="C1970" i="69"/>
  <c r="C1971" i="69"/>
  <c r="C1972" i="69"/>
  <c r="C1973" i="69"/>
  <c r="C1974" i="69"/>
  <c r="C1975" i="69"/>
  <c r="C1976" i="69"/>
  <c r="C1977" i="69"/>
  <c r="C1978" i="69"/>
  <c r="C1979" i="69"/>
  <c r="C1980" i="69"/>
  <c r="C1981" i="69"/>
  <c r="C1982" i="69"/>
  <c r="C1983" i="69"/>
  <c r="C1984" i="69"/>
  <c r="C1985" i="69"/>
  <c r="C1986" i="69"/>
  <c r="C1987" i="69"/>
  <c r="C1988" i="69"/>
  <c r="C1989" i="69"/>
  <c r="C1990" i="69"/>
  <c r="C1991" i="69"/>
  <c r="C1992" i="69"/>
  <c r="C1993" i="69"/>
  <c r="C1994" i="69"/>
  <c r="C1995" i="69"/>
  <c r="C1996" i="69"/>
  <c r="C1997" i="69"/>
  <c r="C1998" i="69"/>
  <c r="C1999" i="69"/>
  <c r="C2000" i="69"/>
  <c r="C2001" i="69"/>
  <c r="C2002" i="69"/>
  <c r="C2003" i="69"/>
  <c r="C2004" i="69"/>
  <c r="C2005" i="69"/>
  <c r="C2006" i="69"/>
  <c r="C2007" i="69"/>
  <c r="C2008" i="69"/>
  <c r="C2009" i="69"/>
  <c r="C2010" i="69"/>
  <c r="C2011" i="69"/>
  <c r="C2012" i="69"/>
  <c r="C2013" i="69"/>
  <c r="C2014" i="69"/>
  <c r="C2015" i="69"/>
  <c r="C2016" i="69"/>
  <c r="C2017" i="69"/>
  <c r="C2018" i="69"/>
  <c r="C2019" i="69"/>
  <c r="C2020" i="69"/>
  <c r="C2021" i="69"/>
  <c r="C2022" i="69"/>
  <c r="C2023" i="69"/>
  <c r="C2024" i="69"/>
  <c r="C2025" i="69"/>
  <c r="C2026" i="69"/>
  <c r="C2027" i="69"/>
  <c r="C2028" i="69"/>
  <c r="C2029" i="69"/>
  <c r="C2030" i="69"/>
  <c r="C2031" i="69"/>
  <c r="C2032" i="69"/>
  <c r="C2033" i="69"/>
  <c r="C2034" i="69"/>
  <c r="C2035" i="69"/>
  <c r="C2036" i="69"/>
  <c r="C2037" i="69"/>
  <c r="C2038" i="69"/>
  <c r="C2039" i="69"/>
  <c r="C2040" i="69"/>
  <c r="C2041" i="69"/>
  <c r="C2042" i="69"/>
  <c r="C2043" i="69"/>
  <c r="C2044" i="69"/>
  <c r="C2045" i="69"/>
  <c r="C2046" i="69"/>
  <c r="C2047" i="69"/>
  <c r="C2048" i="69"/>
  <c r="C2049" i="69"/>
  <c r="C2050" i="69"/>
  <c r="C2051" i="69"/>
  <c r="C2052" i="69"/>
  <c r="C2053" i="69"/>
  <c r="C2054" i="69"/>
  <c r="C2055" i="69"/>
  <c r="C2056" i="69"/>
  <c r="C2057" i="69"/>
  <c r="C2058" i="69"/>
  <c r="C2059" i="69"/>
  <c r="C2060" i="69"/>
  <c r="C2061" i="69"/>
  <c r="C2062" i="69"/>
  <c r="C2063" i="69"/>
  <c r="C2064" i="69"/>
  <c r="C2065" i="69"/>
  <c r="C2066" i="69"/>
  <c r="C2067" i="69"/>
  <c r="C2068" i="69"/>
  <c r="C2069" i="69"/>
  <c r="C2070" i="69"/>
  <c r="C2071" i="69"/>
  <c r="C2072" i="69"/>
  <c r="C2073" i="69"/>
  <c r="C2074" i="69"/>
  <c r="C2075" i="69"/>
  <c r="C2076" i="69"/>
  <c r="C2077" i="69"/>
  <c r="C2078" i="69"/>
  <c r="C2079" i="69"/>
  <c r="C2080" i="69"/>
  <c r="C2081" i="69"/>
  <c r="C2082" i="69"/>
  <c r="C2083" i="69"/>
  <c r="C2084" i="69"/>
  <c r="C2085" i="69"/>
  <c r="C2086" i="69"/>
  <c r="C2087" i="69"/>
  <c r="C2088" i="69"/>
  <c r="C2089" i="69"/>
  <c r="C2090" i="69"/>
  <c r="C2091" i="69"/>
  <c r="C2092" i="69"/>
  <c r="C2093" i="69"/>
  <c r="C2094" i="69"/>
  <c r="C2095" i="69"/>
  <c r="C2096" i="69"/>
  <c r="C2097" i="69"/>
  <c r="C2098" i="69"/>
  <c r="C2099" i="69"/>
  <c r="C2100" i="69"/>
  <c r="C2101" i="69"/>
  <c r="C2102" i="69"/>
  <c r="C2103" i="69"/>
  <c r="C2104" i="69"/>
  <c r="C2105" i="69"/>
  <c r="C2106" i="69"/>
  <c r="C2107" i="69"/>
  <c r="C2108" i="69"/>
  <c r="C2109" i="69"/>
  <c r="C2110" i="69"/>
  <c r="C2111" i="69"/>
  <c r="C2112" i="69"/>
  <c r="C2113" i="69"/>
  <c r="C2114" i="69"/>
  <c r="C2115" i="69"/>
  <c r="C2116" i="69"/>
  <c r="C2117" i="69"/>
  <c r="C2118" i="69"/>
  <c r="C2119" i="69"/>
  <c r="C2120" i="69"/>
  <c r="C2121" i="69"/>
  <c r="C2122" i="69"/>
  <c r="C2123" i="69"/>
  <c r="C2124" i="69"/>
  <c r="C2125" i="69"/>
  <c r="C2126" i="69"/>
  <c r="C2127" i="69"/>
  <c r="C2128" i="69"/>
  <c r="C2129" i="69"/>
  <c r="C2130" i="69"/>
  <c r="C2131" i="69"/>
  <c r="C2132" i="69"/>
  <c r="C2133" i="69"/>
  <c r="C2134" i="69"/>
  <c r="C2135" i="69"/>
  <c r="C2136" i="69"/>
  <c r="C2137" i="69"/>
  <c r="C2138" i="69"/>
  <c r="C2139" i="69"/>
  <c r="C2140" i="69"/>
  <c r="C2141" i="69"/>
  <c r="C2142" i="69"/>
  <c r="C2143" i="69"/>
  <c r="C2144" i="69"/>
  <c r="C2145" i="69"/>
  <c r="C2146" i="69"/>
  <c r="C2147" i="69"/>
  <c r="C2148" i="69"/>
  <c r="C2149" i="69"/>
  <c r="C2150" i="69"/>
  <c r="C2151" i="69"/>
  <c r="C2152" i="69"/>
  <c r="C2153" i="69"/>
  <c r="C2154" i="69"/>
  <c r="C2155" i="69"/>
  <c r="C2156" i="69"/>
  <c r="C2157" i="69"/>
  <c r="C2158" i="69"/>
  <c r="C2159" i="69"/>
  <c r="C2160" i="69"/>
  <c r="C2161" i="69"/>
  <c r="C2162" i="69"/>
  <c r="C2163" i="69"/>
  <c r="C2164" i="69"/>
  <c r="C2165" i="69"/>
  <c r="C2166" i="69"/>
  <c r="C2167" i="69"/>
  <c r="C2168" i="69"/>
  <c r="C2169" i="69"/>
  <c r="C2170" i="69"/>
  <c r="C2171" i="69"/>
  <c r="C2172" i="69"/>
  <c r="C2173" i="69"/>
  <c r="C2174" i="69"/>
  <c r="C2175" i="69"/>
  <c r="C2176" i="69"/>
  <c r="C2177" i="69"/>
  <c r="C2178" i="69"/>
  <c r="C2179" i="69"/>
  <c r="C2180" i="69"/>
  <c r="C2181" i="69"/>
  <c r="C2182" i="69"/>
  <c r="C2183" i="69"/>
  <c r="C2184" i="69"/>
  <c r="C2185" i="69"/>
  <c r="C2186" i="69"/>
  <c r="C2187" i="69"/>
  <c r="C2188" i="69"/>
  <c r="C2189" i="69"/>
  <c r="C2190" i="69"/>
  <c r="C2191" i="69"/>
  <c r="C2192" i="69"/>
  <c r="C2193" i="69"/>
  <c r="C2194" i="69"/>
  <c r="C2195" i="69"/>
  <c r="C2196" i="69"/>
  <c r="C2197" i="69"/>
  <c r="C2198" i="69"/>
  <c r="C2199" i="69"/>
  <c r="C2200" i="69"/>
  <c r="C2201" i="69"/>
  <c r="C2202" i="69"/>
  <c r="C2203" i="69"/>
  <c r="C2204" i="69"/>
  <c r="C2205" i="69"/>
  <c r="C2206" i="69"/>
  <c r="C2207" i="69"/>
  <c r="C2208" i="69"/>
  <c r="C2209" i="69"/>
  <c r="C2210" i="69"/>
  <c r="C2211" i="69"/>
  <c r="C2212" i="69"/>
  <c r="C2213" i="69"/>
  <c r="C2214" i="69"/>
  <c r="C2215" i="69"/>
  <c r="C2216" i="69"/>
  <c r="C2217" i="69"/>
  <c r="C2218" i="69"/>
  <c r="C2219" i="69"/>
  <c r="C2220" i="69"/>
  <c r="C2221" i="69"/>
  <c r="C2222" i="69"/>
  <c r="C2223" i="69"/>
  <c r="C2224" i="69"/>
  <c r="C2225" i="69"/>
  <c r="C2226" i="69"/>
  <c r="C2227" i="69"/>
  <c r="C2228" i="69"/>
  <c r="C2229" i="69"/>
  <c r="C2230" i="69"/>
  <c r="C2231" i="69"/>
  <c r="C2232" i="69"/>
  <c r="C2233" i="69"/>
  <c r="C2234" i="69"/>
  <c r="C2235" i="69"/>
  <c r="C2236" i="69"/>
  <c r="C2237" i="69"/>
  <c r="C2238" i="69"/>
  <c r="C2239" i="69"/>
  <c r="C2240" i="69"/>
  <c r="C2241" i="69"/>
  <c r="C2242" i="69"/>
  <c r="C2243" i="69"/>
  <c r="C2244" i="69"/>
  <c r="C2245" i="69"/>
  <c r="C2246" i="69"/>
  <c r="C2247" i="69"/>
  <c r="C2248" i="69"/>
  <c r="C2249" i="69"/>
  <c r="C2250" i="69"/>
  <c r="C2251" i="69"/>
  <c r="C2252" i="69"/>
  <c r="C2253" i="69"/>
  <c r="C2254" i="69"/>
  <c r="C2255" i="69"/>
  <c r="C2256" i="69"/>
  <c r="C2257" i="69"/>
  <c r="C2258" i="69"/>
  <c r="C2259" i="69"/>
  <c r="C2260" i="69"/>
  <c r="C2261" i="69"/>
  <c r="C2262" i="69"/>
  <c r="C2263" i="69"/>
  <c r="C2264" i="69"/>
  <c r="C2265" i="69"/>
  <c r="C2266" i="69"/>
  <c r="C2267" i="69"/>
  <c r="C2268" i="69"/>
  <c r="C2269" i="69"/>
  <c r="C2270" i="69"/>
  <c r="C2271" i="69"/>
  <c r="C2272" i="69"/>
  <c r="C2273" i="69"/>
  <c r="C2274" i="69"/>
  <c r="C2275" i="69"/>
  <c r="C2276" i="69"/>
  <c r="C2277" i="69"/>
  <c r="C2278" i="69"/>
  <c r="C2279" i="69"/>
  <c r="C2280" i="69"/>
  <c r="C2281" i="69"/>
  <c r="C2282" i="69"/>
  <c r="C2283" i="69"/>
  <c r="C2284" i="69"/>
  <c r="C2285" i="69"/>
  <c r="C2286" i="69"/>
  <c r="C2287" i="69"/>
  <c r="C2288" i="69"/>
  <c r="C2289" i="69"/>
  <c r="C2290" i="69"/>
  <c r="C2291" i="69"/>
  <c r="C2292" i="69"/>
  <c r="C2293" i="69"/>
  <c r="C2294" i="69"/>
  <c r="C2295" i="69"/>
  <c r="C2296" i="69"/>
  <c r="C2297" i="69"/>
  <c r="C2298" i="69"/>
  <c r="C2299" i="69"/>
  <c r="C2300" i="69"/>
  <c r="C2301" i="69"/>
  <c r="C2302" i="69"/>
  <c r="C2303" i="69"/>
  <c r="C2304" i="69"/>
  <c r="C2305" i="69"/>
  <c r="C2306" i="69"/>
  <c r="C2307" i="69"/>
  <c r="C2308" i="69"/>
  <c r="C2309" i="69"/>
  <c r="C2310" i="69"/>
  <c r="C2311" i="69"/>
  <c r="C2312" i="69"/>
  <c r="C2313" i="69"/>
  <c r="C2314" i="69"/>
  <c r="C2315" i="69"/>
  <c r="C2316" i="69"/>
  <c r="C2317" i="69"/>
  <c r="C2318" i="69"/>
  <c r="C2319" i="69"/>
  <c r="C2320" i="69"/>
  <c r="C2321" i="69"/>
  <c r="C2322" i="69"/>
  <c r="C2323" i="69"/>
  <c r="C2324" i="69"/>
  <c r="C2325" i="69"/>
  <c r="C2326" i="69"/>
  <c r="C2327" i="69"/>
  <c r="C2328" i="69"/>
  <c r="C2329" i="69"/>
  <c r="C2330" i="69"/>
  <c r="C2331" i="69"/>
  <c r="C2332" i="69"/>
  <c r="C2333" i="69"/>
  <c r="C2334" i="69"/>
  <c r="C2335" i="69"/>
  <c r="C2336" i="69"/>
  <c r="C2337" i="69"/>
  <c r="C2338" i="69"/>
  <c r="C2339" i="69"/>
  <c r="C2340" i="69"/>
  <c r="C2341" i="69"/>
  <c r="C2342" i="69"/>
  <c r="C2343" i="69"/>
  <c r="C2344" i="69"/>
  <c r="C2345" i="69"/>
  <c r="C2346" i="69"/>
  <c r="C2347" i="69"/>
  <c r="C2348" i="69"/>
  <c r="C2349" i="69"/>
  <c r="C2350" i="69"/>
  <c r="C2351" i="69"/>
  <c r="C2352" i="69"/>
  <c r="C2353" i="69"/>
  <c r="C2354" i="69"/>
  <c r="C2355" i="69"/>
  <c r="C2356" i="69"/>
  <c r="C2357" i="69"/>
  <c r="C2358" i="69"/>
  <c r="C2359" i="69"/>
  <c r="C2360" i="69"/>
  <c r="C2361" i="69"/>
  <c r="C2362" i="69"/>
  <c r="C2363" i="69"/>
  <c r="C2364" i="69"/>
  <c r="C2365" i="69"/>
  <c r="C2366" i="69"/>
  <c r="C2367" i="69"/>
  <c r="C2368" i="69"/>
  <c r="C2369" i="69"/>
  <c r="C2370" i="69"/>
  <c r="C2371" i="69"/>
  <c r="C2372" i="69"/>
  <c r="C2373" i="69"/>
  <c r="C2374" i="69"/>
  <c r="C2375" i="69"/>
  <c r="C2376" i="69"/>
  <c r="C2377" i="69"/>
  <c r="C2378" i="69"/>
  <c r="C2379" i="69"/>
  <c r="C2380" i="69"/>
  <c r="C2381" i="69"/>
  <c r="C2382" i="69"/>
  <c r="C2383" i="69"/>
  <c r="C2384" i="69"/>
  <c r="C2385" i="69"/>
  <c r="C2386" i="69"/>
  <c r="C2387" i="69"/>
  <c r="C2388" i="69"/>
  <c r="C2389" i="69"/>
  <c r="C2390" i="69"/>
  <c r="C2391" i="69"/>
  <c r="C2392" i="69"/>
  <c r="C2393" i="69"/>
  <c r="C2394" i="69"/>
  <c r="C2395" i="69"/>
  <c r="C2396" i="69"/>
  <c r="C2397" i="69"/>
  <c r="C2398" i="69"/>
  <c r="C2399" i="69"/>
  <c r="C2400" i="69"/>
  <c r="C2401" i="69"/>
  <c r="C2402" i="69"/>
  <c r="C2403" i="69"/>
  <c r="C2404" i="69"/>
  <c r="C2405" i="69"/>
  <c r="C2406" i="69"/>
  <c r="C2407" i="69"/>
  <c r="C2408" i="69"/>
  <c r="C2409" i="69"/>
  <c r="C2410" i="69"/>
  <c r="C2411" i="69"/>
  <c r="C2412" i="69"/>
  <c r="C2413" i="69"/>
  <c r="C2414" i="69"/>
  <c r="C2415" i="69"/>
  <c r="C2416" i="69"/>
  <c r="C2417" i="69"/>
  <c r="C2418" i="69"/>
  <c r="C2419" i="69"/>
  <c r="C2420" i="69"/>
  <c r="C2421" i="69"/>
  <c r="C2422" i="69"/>
  <c r="C2423" i="69"/>
  <c r="C2424" i="69"/>
  <c r="C2425" i="69"/>
  <c r="C2426" i="69"/>
  <c r="C2427" i="69"/>
  <c r="C2428" i="69"/>
  <c r="C2429" i="69"/>
  <c r="C2430" i="69"/>
  <c r="C2431" i="69"/>
  <c r="C2432" i="69"/>
  <c r="C2433" i="69"/>
  <c r="C2434" i="69"/>
  <c r="C2435" i="69"/>
  <c r="C2436" i="69"/>
  <c r="C2437" i="69"/>
  <c r="C2438" i="69"/>
  <c r="C2439" i="69"/>
  <c r="C2440" i="69"/>
  <c r="C2441" i="69"/>
  <c r="C2442" i="69"/>
  <c r="C2443" i="69"/>
  <c r="C2444" i="69"/>
  <c r="C2445" i="69"/>
  <c r="C2446" i="69"/>
  <c r="C2447" i="69"/>
  <c r="C2448" i="69"/>
  <c r="C2449" i="69"/>
  <c r="C2450" i="69"/>
  <c r="C2451" i="69"/>
  <c r="C2452" i="69"/>
  <c r="C2453" i="69"/>
  <c r="C2454" i="69"/>
  <c r="C2455" i="69"/>
  <c r="C2456" i="69"/>
  <c r="C2457" i="69"/>
  <c r="C2458" i="69"/>
  <c r="C2459" i="69"/>
  <c r="C2460" i="69"/>
  <c r="C2461" i="69"/>
  <c r="C2462" i="69"/>
  <c r="C2463" i="69"/>
  <c r="C2464" i="69"/>
  <c r="C2465" i="69"/>
  <c r="C2466" i="69"/>
  <c r="C2467" i="69"/>
  <c r="C2468" i="69"/>
  <c r="C2469" i="69"/>
  <c r="C2470" i="69"/>
  <c r="C2471" i="69"/>
  <c r="C2472" i="69"/>
  <c r="C2473" i="69"/>
  <c r="C2474" i="69"/>
  <c r="C2475" i="69"/>
  <c r="C2476" i="69"/>
  <c r="C2477" i="69"/>
  <c r="C2478" i="69"/>
  <c r="C2479" i="69"/>
  <c r="C2480" i="69"/>
  <c r="C2481" i="69"/>
  <c r="C2482" i="69"/>
  <c r="C2483" i="69"/>
  <c r="C2484" i="69"/>
  <c r="C2485" i="69"/>
  <c r="C2486" i="69"/>
  <c r="C2487" i="69"/>
  <c r="C2488" i="69"/>
  <c r="C2489" i="69"/>
  <c r="C2490" i="69"/>
  <c r="C2491" i="69"/>
  <c r="C2492" i="69"/>
  <c r="C2493" i="69"/>
  <c r="C2494" i="69"/>
  <c r="C2495" i="69"/>
  <c r="C2496" i="69"/>
  <c r="C2497" i="69"/>
  <c r="C2498" i="69"/>
  <c r="C2499" i="69"/>
  <c r="C2500" i="69"/>
  <c r="C2501" i="69"/>
  <c r="C2502" i="69"/>
  <c r="C2503" i="69"/>
  <c r="C2504" i="69"/>
  <c r="C2505" i="69"/>
  <c r="C2506" i="69"/>
  <c r="C2507" i="69"/>
  <c r="C2508" i="69"/>
  <c r="C2509" i="69"/>
  <c r="C2510" i="69"/>
  <c r="C2511" i="69"/>
  <c r="C2512" i="69"/>
  <c r="C2513" i="69"/>
  <c r="C2514" i="69"/>
  <c r="C2515" i="69"/>
  <c r="C2516" i="69"/>
  <c r="C2517" i="69"/>
  <c r="C2518" i="69"/>
  <c r="C2519" i="69"/>
  <c r="C2520" i="69"/>
  <c r="C2521" i="69"/>
  <c r="C2522" i="69"/>
  <c r="C2523" i="69"/>
  <c r="C2524" i="69"/>
  <c r="C2525" i="69"/>
  <c r="C2526" i="69"/>
  <c r="C2527" i="69"/>
  <c r="C2528" i="69"/>
  <c r="C2529" i="69"/>
  <c r="C2530" i="69"/>
  <c r="C2531" i="69"/>
  <c r="C2532" i="69"/>
  <c r="C2533" i="69"/>
  <c r="C2534" i="69"/>
  <c r="C2535" i="69"/>
  <c r="C2536" i="69"/>
  <c r="C2537" i="69"/>
  <c r="C2538" i="69"/>
  <c r="C2539" i="69"/>
  <c r="C2540" i="69"/>
  <c r="C2541" i="69"/>
  <c r="C2542" i="69"/>
  <c r="C2543" i="69"/>
  <c r="C2544" i="69"/>
  <c r="C2545" i="69"/>
  <c r="C2546" i="69"/>
  <c r="C2547" i="69"/>
  <c r="C2548" i="69"/>
  <c r="C2549" i="69"/>
  <c r="C2550" i="69"/>
  <c r="C2551" i="69"/>
  <c r="C2552" i="69"/>
  <c r="C2553" i="69"/>
  <c r="C2554" i="69"/>
  <c r="C2555" i="69"/>
  <c r="C2556" i="69"/>
  <c r="C2557" i="69"/>
  <c r="C2558" i="69"/>
  <c r="C2559" i="69"/>
  <c r="C2560" i="69"/>
  <c r="C2561" i="69"/>
  <c r="C2562" i="69"/>
  <c r="C2563" i="69"/>
  <c r="C2564" i="69"/>
  <c r="C2565" i="69"/>
  <c r="C2566" i="69"/>
  <c r="C2567" i="69"/>
  <c r="C2568" i="69"/>
  <c r="C2569" i="69"/>
  <c r="C2570" i="69"/>
  <c r="C2571" i="69"/>
  <c r="C2572" i="69"/>
  <c r="C2573" i="69"/>
  <c r="C2574" i="69"/>
  <c r="C2575" i="69"/>
  <c r="C2576" i="69"/>
  <c r="C2577" i="69"/>
  <c r="C2578" i="69"/>
  <c r="C2579" i="69"/>
  <c r="C2580" i="69"/>
  <c r="C2581" i="69"/>
  <c r="C2582" i="69"/>
  <c r="C2583" i="69"/>
  <c r="C2584" i="69"/>
  <c r="C2585" i="69"/>
  <c r="C2586" i="69"/>
  <c r="C2587" i="69"/>
  <c r="C2588" i="69"/>
  <c r="C2589" i="69"/>
  <c r="C2590" i="69"/>
  <c r="C2591" i="69"/>
  <c r="C2592" i="69"/>
  <c r="C2593" i="69"/>
  <c r="C2594" i="69"/>
  <c r="C2595" i="69"/>
  <c r="C2596" i="69"/>
  <c r="C2597" i="69"/>
  <c r="C2598" i="69"/>
  <c r="C2599" i="69"/>
  <c r="C2600" i="69"/>
  <c r="C2601" i="69"/>
  <c r="C2602" i="69"/>
  <c r="C2603" i="69"/>
  <c r="C2604" i="69"/>
  <c r="C2605" i="69"/>
  <c r="C2606" i="69"/>
  <c r="C2607" i="69"/>
  <c r="C2608" i="69"/>
  <c r="C2609" i="69"/>
  <c r="C2610" i="69"/>
  <c r="C2611" i="69"/>
  <c r="C2612" i="69"/>
  <c r="C2613" i="69"/>
  <c r="C2614" i="69"/>
  <c r="C2615" i="69"/>
  <c r="C2616" i="69"/>
  <c r="C2617" i="69"/>
  <c r="C2618" i="69"/>
  <c r="C2619" i="69"/>
  <c r="C2620" i="69"/>
  <c r="C2621" i="69"/>
  <c r="C2622" i="69"/>
  <c r="C2623" i="69"/>
  <c r="C2624" i="69"/>
  <c r="C2625" i="69"/>
  <c r="C2626" i="69"/>
  <c r="C2627" i="69"/>
  <c r="C2628" i="69"/>
  <c r="C2629" i="69"/>
  <c r="C2630" i="69"/>
  <c r="C2631" i="69"/>
  <c r="C2632" i="69"/>
  <c r="C2633" i="69"/>
  <c r="C2634" i="69"/>
  <c r="C2635" i="69"/>
  <c r="C2636" i="69"/>
  <c r="C2637" i="69"/>
  <c r="C2638" i="69"/>
  <c r="C2639" i="69"/>
  <c r="C2640" i="69"/>
  <c r="C2641" i="69"/>
  <c r="C2642" i="69"/>
  <c r="C2643" i="69"/>
  <c r="C2644" i="69"/>
  <c r="C2645" i="69"/>
  <c r="C2646" i="69"/>
  <c r="C2647" i="69"/>
  <c r="C2648" i="69"/>
  <c r="C2649" i="69"/>
  <c r="C2650" i="69"/>
  <c r="C2651" i="69"/>
  <c r="C2652" i="69"/>
  <c r="C2653" i="69"/>
  <c r="C2654" i="69"/>
  <c r="C2655" i="69"/>
  <c r="C2656" i="69"/>
  <c r="C2657" i="69"/>
  <c r="C2658" i="69"/>
  <c r="C2659" i="69"/>
  <c r="C2660" i="69"/>
  <c r="C2661" i="69"/>
  <c r="C2662" i="69"/>
  <c r="C2663" i="69"/>
  <c r="C2664" i="69"/>
  <c r="C2665" i="69"/>
  <c r="C2666" i="69"/>
  <c r="C2667" i="69"/>
  <c r="C2668" i="69"/>
  <c r="C2669" i="69"/>
  <c r="C2670" i="69"/>
  <c r="C2671" i="69"/>
  <c r="C2672" i="69"/>
  <c r="C2673" i="69"/>
  <c r="C2674" i="69"/>
  <c r="C2675" i="69"/>
  <c r="C2676" i="69"/>
  <c r="C2677" i="69"/>
  <c r="C2678" i="69"/>
  <c r="C2679" i="69"/>
  <c r="C2680" i="69"/>
  <c r="C2681" i="69"/>
  <c r="C2682" i="69"/>
  <c r="C2683" i="69"/>
  <c r="C2684" i="69"/>
  <c r="C2685" i="69"/>
  <c r="C2686" i="69"/>
  <c r="C2687" i="69"/>
  <c r="C2688" i="69"/>
  <c r="C2689" i="69"/>
  <c r="C2690" i="69"/>
  <c r="C2691" i="69"/>
  <c r="C2692" i="69"/>
  <c r="C2693" i="69"/>
  <c r="C2694" i="69"/>
  <c r="C2695" i="69"/>
  <c r="C2696" i="69"/>
  <c r="C2697" i="69"/>
  <c r="C2698" i="69"/>
  <c r="C2699" i="69"/>
  <c r="C2700" i="69"/>
  <c r="C2701" i="69"/>
  <c r="C2702" i="69"/>
  <c r="C2703" i="69"/>
  <c r="C2704" i="69"/>
  <c r="C2705" i="69"/>
  <c r="C2706" i="69"/>
  <c r="C2707" i="69"/>
  <c r="C2708" i="69"/>
  <c r="C2709" i="69"/>
  <c r="C2710" i="69"/>
  <c r="C2711" i="69"/>
  <c r="C2712" i="69"/>
  <c r="C2713" i="69"/>
  <c r="C2714" i="69"/>
  <c r="C2715" i="69"/>
  <c r="C2716" i="69"/>
  <c r="C2717" i="69"/>
  <c r="C2718" i="69"/>
  <c r="C2719" i="69"/>
  <c r="C2720" i="69"/>
  <c r="C2721" i="69"/>
  <c r="C2722" i="69"/>
  <c r="C2723" i="69"/>
  <c r="C2724" i="69"/>
  <c r="C2725" i="69"/>
  <c r="C2726" i="69"/>
  <c r="C2727" i="69"/>
  <c r="C2728" i="69"/>
  <c r="C2729" i="69"/>
  <c r="C2730" i="69"/>
  <c r="C2731" i="69"/>
  <c r="C2732" i="69"/>
  <c r="C2733" i="69"/>
  <c r="C2734" i="69"/>
  <c r="C2735" i="69"/>
  <c r="C2736" i="69"/>
  <c r="C2737" i="69"/>
  <c r="C2738" i="69"/>
  <c r="C2739" i="69"/>
  <c r="C2740" i="69"/>
  <c r="C2741" i="69"/>
  <c r="C2742" i="69"/>
  <c r="C2743" i="69"/>
  <c r="C2744" i="69"/>
  <c r="C2745" i="69"/>
  <c r="C2746" i="69"/>
  <c r="C2747" i="69"/>
  <c r="C2748" i="69"/>
  <c r="C2749" i="69"/>
  <c r="C2750" i="69"/>
  <c r="C2751" i="69"/>
  <c r="C2752" i="69"/>
  <c r="C2753" i="69"/>
  <c r="C2754" i="69"/>
  <c r="C2755" i="69"/>
  <c r="C2756" i="69"/>
  <c r="C2757" i="69"/>
  <c r="C2758" i="69"/>
  <c r="C2759" i="69"/>
  <c r="C2760" i="69"/>
  <c r="C2761" i="69"/>
  <c r="C2762" i="69"/>
  <c r="C2763" i="69"/>
  <c r="C2764" i="69"/>
  <c r="C2765" i="69"/>
  <c r="C2766" i="69"/>
  <c r="C2767" i="69"/>
  <c r="C2768" i="69"/>
  <c r="C2769" i="69"/>
  <c r="C2770" i="69"/>
  <c r="C2771" i="69"/>
  <c r="C2772" i="69"/>
  <c r="C2773" i="69"/>
  <c r="C2774" i="69"/>
  <c r="C2775" i="69"/>
  <c r="C2776" i="69"/>
  <c r="C2777" i="69"/>
  <c r="C2778" i="69"/>
  <c r="C2779" i="69"/>
  <c r="C2780" i="69"/>
  <c r="C2781" i="69"/>
  <c r="C2782" i="69"/>
  <c r="C2783" i="69"/>
  <c r="C2784" i="69"/>
  <c r="C2785" i="69"/>
  <c r="C2786" i="69"/>
  <c r="C2787" i="69"/>
  <c r="C2788" i="69"/>
  <c r="C2789" i="69"/>
  <c r="C2790" i="69"/>
  <c r="C2791" i="69"/>
  <c r="C2792" i="69"/>
  <c r="C2793" i="69"/>
  <c r="C2794" i="69"/>
  <c r="C2795" i="69"/>
  <c r="C2796" i="69"/>
  <c r="C2797" i="69"/>
  <c r="C2798" i="69"/>
  <c r="C2799" i="69"/>
  <c r="C2800" i="69"/>
  <c r="C2801" i="69"/>
  <c r="C2802" i="69"/>
  <c r="C2803" i="69"/>
  <c r="C2804" i="69"/>
  <c r="C2805" i="69"/>
  <c r="C2806" i="69"/>
  <c r="C2807" i="69"/>
  <c r="C2808" i="69"/>
  <c r="C2809" i="69"/>
  <c r="C2810" i="69"/>
  <c r="C2811" i="69"/>
  <c r="C2812" i="69"/>
  <c r="C2813" i="69"/>
  <c r="C2814" i="69"/>
  <c r="C2815" i="69"/>
  <c r="C2816" i="69"/>
  <c r="C2817" i="69"/>
  <c r="C2818" i="69"/>
  <c r="C2819" i="69"/>
  <c r="C2820" i="69"/>
  <c r="C2821" i="69"/>
  <c r="C2822" i="69"/>
  <c r="C2823" i="69"/>
  <c r="C2824" i="69"/>
  <c r="C2825" i="69"/>
  <c r="C2826" i="69"/>
  <c r="C2827" i="69"/>
  <c r="C2828" i="69"/>
  <c r="C2829" i="69"/>
  <c r="C2830" i="69"/>
  <c r="C2831" i="69"/>
  <c r="C2832" i="69"/>
  <c r="C2833" i="69"/>
  <c r="C2834" i="69"/>
  <c r="C2835" i="69"/>
  <c r="C2836" i="69"/>
  <c r="C2837" i="69"/>
  <c r="C2838" i="69"/>
  <c r="C2839" i="69"/>
  <c r="C2840" i="69"/>
  <c r="C2841" i="69"/>
  <c r="C2842" i="69"/>
  <c r="C2843" i="69"/>
  <c r="C2844" i="69"/>
  <c r="C2845" i="69"/>
  <c r="C2846" i="69"/>
  <c r="C2847" i="69"/>
  <c r="C2848" i="69"/>
  <c r="C2849" i="69"/>
  <c r="C2850" i="69"/>
  <c r="C2851" i="69"/>
  <c r="C2852" i="69"/>
  <c r="C2853" i="69"/>
  <c r="C2854" i="69"/>
  <c r="C2855" i="69"/>
  <c r="C2856" i="69"/>
  <c r="C2857" i="69"/>
  <c r="C2858" i="69"/>
  <c r="C2859" i="69"/>
  <c r="C2860" i="69"/>
  <c r="C2861" i="69"/>
  <c r="C2862" i="69"/>
  <c r="C2863" i="69"/>
  <c r="C2864" i="69"/>
  <c r="C2865" i="69"/>
  <c r="C2866" i="69"/>
  <c r="C2867" i="69"/>
  <c r="C2868" i="69"/>
  <c r="C2869" i="69"/>
  <c r="C2870" i="69"/>
  <c r="C2871" i="69"/>
  <c r="C2872" i="69"/>
  <c r="C2873" i="69"/>
  <c r="C2874" i="69"/>
  <c r="C2875" i="69"/>
  <c r="C2876" i="69"/>
  <c r="C2877" i="69"/>
  <c r="C2878" i="69"/>
  <c r="C2879" i="69"/>
  <c r="C2880" i="69"/>
  <c r="C2881" i="69"/>
  <c r="C2882" i="69"/>
  <c r="C2883" i="69"/>
  <c r="C2884" i="69"/>
  <c r="C2885" i="69"/>
  <c r="C2886" i="69"/>
  <c r="C2887" i="69"/>
  <c r="C2888" i="69"/>
  <c r="C2889" i="69"/>
  <c r="C2890" i="69"/>
  <c r="C2891" i="69"/>
  <c r="C2892" i="69"/>
  <c r="C2893" i="69"/>
  <c r="C2894" i="69"/>
  <c r="C2895" i="69"/>
  <c r="C2896" i="69"/>
  <c r="C2897" i="69"/>
  <c r="C2898" i="69"/>
  <c r="C2899" i="69"/>
  <c r="C2900" i="69"/>
  <c r="C2901" i="69"/>
  <c r="C2902" i="69"/>
  <c r="C2903" i="69"/>
  <c r="C2904" i="69"/>
  <c r="C2905" i="69"/>
  <c r="C2906" i="69"/>
  <c r="C2907" i="69"/>
  <c r="C2908" i="69"/>
  <c r="C2909" i="69"/>
  <c r="C2910" i="69"/>
  <c r="C2911" i="69"/>
  <c r="C2912" i="69"/>
  <c r="C2913" i="69"/>
  <c r="C2914" i="69"/>
  <c r="C2915" i="69"/>
  <c r="C2916" i="69"/>
  <c r="C2917" i="69"/>
  <c r="C2918" i="69"/>
  <c r="C2919" i="69"/>
  <c r="C2920" i="69"/>
  <c r="C2921" i="69"/>
  <c r="C2922" i="69"/>
  <c r="C2923" i="69"/>
  <c r="C2924" i="69"/>
  <c r="C2925" i="69"/>
  <c r="C2926" i="69"/>
  <c r="C2927" i="69"/>
  <c r="C2928" i="69"/>
  <c r="C2929" i="69"/>
  <c r="C2930" i="69"/>
  <c r="C2931" i="69"/>
  <c r="C2932" i="69"/>
  <c r="C2933" i="69"/>
  <c r="C2934" i="69"/>
  <c r="C2935" i="69"/>
  <c r="C2936" i="69"/>
  <c r="C2937" i="69"/>
  <c r="C2938" i="69"/>
  <c r="C2939" i="69"/>
  <c r="C2940" i="69"/>
  <c r="C2941" i="69"/>
  <c r="C2942" i="69"/>
  <c r="C2943" i="69"/>
  <c r="C2944" i="69"/>
  <c r="C2945" i="69"/>
  <c r="C2946" i="69"/>
  <c r="C2947" i="69"/>
  <c r="C2948" i="69"/>
  <c r="C2949" i="69"/>
  <c r="C2950" i="69"/>
  <c r="C2951" i="69"/>
  <c r="C2952" i="69"/>
  <c r="C2953" i="69"/>
  <c r="C2954" i="69"/>
  <c r="C2955" i="69"/>
  <c r="C2956" i="69"/>
  <c r="C2957" i="69"/>
  <c r="C2958" i="69"/>
  <c r="C2959" i="69"/>
  <c r="C2960" i="69"/>
  <c r="C2961" i="69"/>
  <c r="C2962" i="69"/>
  <c r="C2963" i="69"/>
  <c r="C2964" i="69"/>
  <c r="C2965" i="69"/>
  <c r="C2966" i="69"/>
  <c r="C2967" i="69"/>
  <c r="C2968" i="69"/>
  <c r="C2969" i="69"/>
  <c r="C2970" i="69"/>
  <c r="C2971" i="69"/>
  <c r="C2972" i="69"/>
  <c r="C2973" i="69"/>
  <c r="C2974" i="69"/>
  <c r="C2975" i="69"/>
  <c r="C2976" i="69"/>
  <c r="C2977" i="69"/>
  <c r="C2978" i="69"/>
  <c r="C2979" i="69"/>
  <c r="C2980" i="69"/>
  <c r="C2981" i="69"/>
  <c r="C2982" i="69"/>
  <c r="C2983" i="69"/>
  <c r="C2984" i="69"/>
  <c r="C2985" i="69"/>
  <c r="C2986" i="69"/>
  <c r="C2987" i="69"/>
  <c r="C2988" i="69"/>
  <c r="C2989" i="69"/>
  <c r="C2990" i="69"/>
  <c r="C2991" i="69"/>
  <c r="C2992" i="69"/>
  <c r="C2993" i="69"/>
  <c r="C2994" i="69"/>
  <c r="C2995" i="69"/>
  <c r="C2996" i="69"/>
  <c r="C2997" i="69"/>
  <c r="C2998" i="69"/>
  <c r="C2999" i="69"/>
  <c r="C3000" i="69"/>
  <c r="C3001" i="69"/>
  <c r="C3002" i="69"/>
  <c r="C3003" i="69"/>
  <c r="C3004" i="69"/>
  <c r="C3005" i="69"/>
  <c r="C3006" i="69"/>
  <c r="C3007" i="69"/>
  <c r="C3008" i="69"/>
  <c r="C3009" i="69"/>
  <c r="C3010" i="69"/>
  <c r="C3011" i="69"/>
  <c r="C3012" i="69"/>
  <c r="C3013" i="69"/>
  <c r="C3014" i="69"/>
  <c r="C3015" i="69"/>
  <c r="C3016" i="69"/>
  <c r="C3017" i="69"/>
  <c r="C3018" i="69"/>
  <c r="C3019" i="69"/>
  <c r="C3020" i="69"/>
  <c r="C3021" i="69"/>
  <c r="C3022" i="69"/>
  <c r="C3023" i="69"/>
  <c r="C3024" i="69"/>
  <c r="C3025" i="69"/>
  <c r="C3026" i="69"/>
  <c r="C3027" i="69"/>
  <c r="C3028" i="69"/>
  <c r="C3029" i="69"/>
  <c r="C3030" i="69"/>
  <c r="C3031" i="69"/>
  <c r="C3032" i="69"/>
  <c r="C3033" i="69"/>
  <c r="C3034" i="69"/>
  <c r="C3035" i="69"/>
  <c r="C3036" i="69"/>
  <c r="C3037" i="69"/>
  <c r="C3038" i="69"/>
  <c r="C3039" i="69"/>
  <c r="C3040" i="69"/>
  <c r="C3041" i="69"/>
  <c r="C3042" i="69"/>
  <c r="C3043" i="69"/>
  <c r="C3044" i="69"/>
  <c r="C3045" i="69"/>
  <c r="C3046" i="69"/>
  <c r="C3047" i="69"/>
  <c r="C3048" i="69"/>
  <c r="C3049" i="69"/>
  <c r="C3050" i="69"/>
  <c r="C3051" i="69"/>
  <c r="C3052" i="69"/>
  <c r="C3053" i="69"/>
  <c r="C3054" i="69"/>
  <c r="C3055" i="69"/>
  <c r="C3056" i="69"/>
  <c r="C3057" i="69"/>
  <c r="C3058" i="69"/>
  <c r="C3059" i="69"/>
  <c r="C3060" i="69"/>
  <c r="C3061" i="69"/>
  <c r="C3062" i="69"/>
  <c r="C3063" i="69"/>
  <c r="C3064" i="69"/>
  <c r="C3065" i="69"/>
  <c r="C3066" i="69"/>
  <c r="C3067" i="69"/>
  <c r="C3068" i="69"/>
  <c r="C3069" i="69"/>
  <c r="C3070" i="69"/>
  <c r="C3071" i="69"/>
  <c r="C3072" i="69"/>
  <c r="C3073" i="69"/>
  <c r="C3074" i="69"/>
  <c r="C3075" i="69"/>
  <c r="C3076" i="69"/>
  <c r="C3077" i="69"/>
  <c r="C3078" i="69"/>
  <c r="C3079" i="69"/>
  <c r="C3080" i="69"/>
  <c r="C3081" i="69"/>
  <c r="C3082" i="69"/>
  <c r="C3083" i="69"/>
  <c r="C3084" i="69"/>
  <c r="C3085" i="69"/>
  <c r="C3086" i="69"/>
  <c r="C3087" i="69"/>
  <c r="C3088" i="69"/>
  <c r="C3089" i="69"/>
  <c r="C3090" i="69"/>
  <c r="C3091" i="69"/>
  <c r="C3092" i="69"/>
  <c r="C3093" i="69"/>
  <c r="C3094" i="69"/>
  <c r="C3095" i="69"/>
  <c r="C3096" i="69"/>
  <c r="C3097" i="69"/>
  <c r="C3098" i="69"/>
  <c r="C3099" i="69"/>
  <c r="C3100" i="69"/>
  <c r="C3101" i="69"/>
  <c r="C3102" i="69"/>
  <c r="C3103" i="69"/>
  <c r="C3104" i="69"/>
  <c r="C3105" i="69"/>
  <c r="C3106" i="69"/>
  <c r="C3107" i="69"/>
  <c r="C3108" i="69"/>
  <c r="C3109" i="69"/>
  <c r="C3110" i="69"/>
  <c r="C3111" i="69"/>
  <c r="C3112" i="69"/>
  <c r="C3113" i="69"/>
  <c r="C3114" i="69"/>
  <c r="C3115" i="69"/>
  <c r="C3116" i="69"/>
  <c r="C3117" i="69"/>
  <c r="C3118" i="69"/>
  <c r="C3119" i="69"/>
  <c r="C3120" i="69"/>
  <c r="C3121" i="69"/>
  <c r="C3122" i="69"/>
  <c r="C3123" i="69"/>
  <c r="C3124" i="69"/>
  <c r="C3125" i="69"/>
  <c r="C3126" i="69"/>
  <c r="C3127" i="69"/>
  <c r="C3128" i="69"/>
  <c r="C3129" i="69"/>
  <c r="C3130" i="69"/>
  <c r="C3131" i="69"/>
  <c r="C3132" i="69"/>
  <c r="C3133" i="69"/>
  <c r="C3134" i="69"/>
  <c r="C3135" i="69"/>
  <c r="C3136" i="69"/>
  <c r="C3137" i="69"/>
  <c r="C3138" i="69"/>
  <c r="C3139" i="69"/>
  <c r="C3140" i="69"/>
  <c r="C3141" i="69"/>
  <c r="C3142" i="69"/>
  <c r="C3143" i="69"/>
  <c r="C3144" i="69"/>
  <c r="C3145" i="69"/>
  <c r="C3146" i="69"/>
  <c r="C3147" i="69"/>
  <c r="C3148" i="69"/>
  <c r="C3149" i="69"/>
  <c r="C3150" i="69"/>
  <c r="C3151" i="69"/>
  <c r="C3152" i="69"/>
  <c r="C3153" i="69"/>
  <c r="C3154" i="69"/>
  <c r="C3155" i="69"/>
  <c r="C3156" i="69"/>
  <c r="C3157" i="69"/>
  <c r="C3158" i="69"/>
  <c r="C3159" i="69"/>
  <c r="C3160" i="69"/>
  <c r="C3161" i="69"/>
  <c r="C3162" i="69"/>
  <c r="C3163" i="69"/>
  <c r="C3164" i="69"/>
  <c r="C3165" i="69"/>
  <c r="C3166" i="69"/>
  <c r="C3167" i="69"/>
  <c r="C3168" i="69"/>
  <c r="C3169" i="69"/>
  <c r="C3170" i="69"/>
  <c r="C3171" i="69"/>
  <c r="C3172" i="69"/>
  <c r="C3173" i="69"/>
  <c r="C3174" i="69"/>
  <c r="C3175" i="69"/>
  <c r="C3176" i="69"/>
  <c r="C3177" i="69"/>
  <c r="C3178" i="69"/>
  <c r="C3179" i="69"/>
  <c r="C3180" i="69"/>
  <c r="C3181" i="69"/>
  <c r="C3182" i="69"/>
  <c r="C3183" i="69"/>
  <c r="C3184" i="69"/>
  <c r="C3185" i="69"/>
  <c r="C3186" i="69"/>
  <c r="C3187" i="69"/>
  <c r="C3188" i="69"/>
  <c r="C3189" i="69"/>
  <c r="C3190" i="69"/>
  <c r="C3191" i="69"/>
  <c r="C3192" i="69"/>
  <c r="C3193" i="69"/>
  <c r="C3194" i="69"/>
  <c r="C3195" i="69"/>
  <c r="C3196" i="69"/>
  <c r="C3197" i="69"/>
  <c r="C3198" i="69"/>
  <c r="C3199" i="69"/>
  <c r="C3200" i="69"/>
  <c r="C3201" i="69"/>
  <c r="C3202" i="69"/>
  <c r="C3203" i="69"/>
  <c r="C3204" i="69"/>
  <c r="C3205" i="69"/>
  <c r="C3206" i="69"/>
  <c r="C3207" i="69"/>
  <c r="C3208" i="69"/>
  <c r="C3209" i="69"/>
  <c r="C3210" i="69"/>
  <c r="C3211" i="69"/>
  <c r="C3212" i="69"/>
  <c r="C3213" i="69"/>
  <c r="C3214" i="69"/>
  <c r="C3215" i="69"/>
  <c r="C3216" i="69"/>
  <c r="C3217" i="69"/>
  <c r="C3218" i="69"/>
  <c r="C3219" i="69"/>
  <c r="C3220" i="69"/>
  <c r="C3221" i="69"/>
  <c r="C3222" i="69"/>
  <c r="C3223" i="69"/>
  <c r="C3224" i="69"/>
  <c r="C3225" i="69"/>
  <c r="C3226" i="69"/>
  <c r="C3227" i="69"/>
  <c r="C3228" i="69"/>
  <c r="C3229" i="69"/>
  <c r="C3230" i="69"/>
  <c r="C3231" i="69"/>
  <c r="C3232" i="69"/>
  <c r="C3233" i="69"/>
  <c r="C3234" i="69"/>
  <c r="C3235" i="69"/>
  <c r="C3236" i="69"/>
  <c r="C3237" i="69"/>
  <c r="C3238" i="69"/>
  <c r="C3239" i="69"/>
  <c r="C3240" i="69"/>
  <c r="C3241" i="69"/>
  <c r="C3242" i="69"/>
  <c r="C3243" i="69"/>
  <c r="C3244" i="69"/>
  <c r="C3245" i="69"/>
  <c r="C3246" i="69"/>
  <c r="C3247" i="69"/>
  <c r="C3248" i="69"/>
  <c r="C3249" i="69"/>
  <c r="C3250" i="69"/>
  <c r="C3251" i="69"/>
  <c r="C3252" i="69"/>
  <c r="C3253" i="69"/>
  <c r="C3254" i="69"/>
  <c r="C3255" i="69"/>
  <c r="C3256" i="69"/>
  <c r="C3257" i="69"/>
  <c r="C3258" i="69"/>
  <c r="C3259" i="69"/>
  <c r="C3260" i="69"/>
  <c r="C3261" i="69"/>
  <c r="C3262" i="69"/>
  <c r="C3263" i="69"/>
  <c r="C3264" i="69"/>
  <c r="C3265" i="69"/>
  <c r="C3266" i="69"/>
  <c r="C3267" i="69"/>
  <c r="C3268" i="69"/>
  <c r="C3269" i="69"/>
  <c r="C3270" i="69"/>
  <c r="C3271" i="69"/>
  <c r="C3272" i="69"/>
  <c r="C3273" i="69"/>
  <c r="C3274" i="69"/>
  <c r="C3275" i="69"/>
  <c r="C3276" i="69"/>
  <c r="C3277" i="69"/>
  <c r="C3278" i="69"/>
  <c r="C3279" i="69"/>
  <c r="C3280" i="69"/>
  <c r="C3281" i="69"/>
  <c r="C3282" i="69"/>
  <c r="C3283" i="69"/>
  <c r="C3284" i="69"/>
  <c r="C3285" i="69"/>
  <c r="C3286" i="69"/>
  <c r="C3287" i="69"/>
  <c r="C3288" i="69"/>
  <c r="C3289" i="69"/>
  <c r="C3290" i="69"/>
  <c r="C3291" i="69"/>
  <c r="C3292" i="69"/>
  <c r="C3293" i="69"/>
  <c r="C3294" i="69"/>
  <c r="C3295" i="69"/>
  <c r="C3296" i="69"/>
  <c r="C3297" i="69"/>
  <c r="C3298" i="69"/>
  <c r="C3299" i="69"/>
  <c r="C3300" i="69"/>
  <c r="C3301" i="69"/>
  <c r="C3302" i="69"/>
  <c r="C3303" i="69"/>
  <c r="C3304" i="69"/>
  <c r="C3305" i="69"/>
  <c r="C3306" i="69"/>
  <c r="C3307" i="69"/>
  <c r="C3308" i="69"/>
  <c r="C3309" i="69"/>
  <c r="C3310" i="69"/>
  <c r="C3311" i="69"/>
  <c r="C3312" i="69"/>
  <c r="C3313" i="69"/>
  <c r="C3314" i="69"/>
  <c r="C3315" i="69"/>
  <c r="C3316" i="69"/>
  <c r="C3317" i="69"/>
  <c r="C3318" i="69"/>
  <c r="C3319" i="69"/>
  <c r="C3320" i="69"/>
  <c r="C3321" i="69"/>
  <c r="C3322" i="69"/>
  <c r="C3323" i="69"/>
  <c r="C3324" i="69"/>
  <c r="C3325" i="69"/>
  <c r="C3326" i="69"/>
  <c r="C3327" i="69"/>
  <c r="C3328" i="69"/>
  <c r="C3329" i="69"/>
  <c r="C3330" i="69"/>
  <c r="C3331" i="69"/>
  <c r="C3332" i="69"/>
  <c r="C3333" i="69"/>
  <c r="C3334" i="69"/>
  <c r="C3335" i="69"/>
  <c r="C3336" i="69"/>
  <c r="C3337" i="69"/>
  <c r="C3338" i="69"/>
  <c r="C3339" i="69"/>
  <c r="C3340" i="69"/>
  <c r="C3341" i="69"/>
  <c r="C3342" i="69"/>
  <c r="C3343" i="69"/>
  <c r="C3344" i="69"/>
  <c r="C3345" i="69"/>
  <c r="C3346" i="69"/>
  <c r="C3347" i="69"/>
  <c r="C3348" i="69"/>
  <c r="C3349" i="69"/>
  <c r="C3350" i="69"/>
  <c r="C3351" i="69"/>
  <c r="C3352" i="69"/>
  <c r="C3353" i="69"/>
  <c r="C3354" i="69"/>
  <c r="C3355" i="69"/>
  <c r="C3356" i="69"/>
  <c r="C3357" i="69"/>
  <c r="C3358" i="69"/>
  <c r="C3359" i="69"/>
  <c r="C3360" i="69"/>
  <c r="C3361" i="69"/>
  <c r="C3362" i="69"/>
  <c r="C3363" i="69"/>
  <c r="C3364" i="69"/>
  <c r="C3365" i="69"/>
  <c r="C3366" i="69"/>
  <c r="C3367" i="69"/>
  <c r="C3368" i="69"/>
  <c r="C3369" i="69"/>
  <c r="C3370" i="69"/>
  <c r="C3371" i="69"/>
  <c r="C3372" i="69"/>
  <c r="C3373" i="69"/>
  <c r="C3374" i="69"/>
  <c r="C3375" i="69"/>
  <c r="C3376" i="69"/>
  <c r="C3377" i="69"/>
  <c r="C3378" i="69"/>
  <c r="C3379" i="69"/>
  <c r="C3380" i="69"/>
  <c r="C3381" i="69"/>
  <c r="C3382" i="69"/>
  <c r="C3383" i="69"/>
  <c r="C3384" i="69"/>
  <c r="C3385" i="69"/>
  <c r="C3386" i="69"/>
  <c r="C3387" i="69"/>
  <c r="C3388" i="69"/>
  <c r="C3389" i="69"/>
  <c r="C3390" i="69"/>
  <c r="C3391" i="69"/>
  <c r="C3392" i="69"/>
  <c r="C3393" i="69"/>
  <c r="C3394" i="69"/>
  <c r="C3395" i="69"/>
  <c r="C3396" i="69"/>
  <c r="C3397" i="69"/>
  <c r="C3398" i="69"/>
  <c r="C3399" i="69"/>
  <c r="C3400" i="69"/>
  <c r="C3401" i="69"/>
  <c r="C3402" i="69"/>
  <c r="C3403" i="69"/>
  <c r="C3404" i="69"/>
  <c r="C3405" i="69"/>
  <c r="C3406" i="69"/>
  <c r="C3407" i="69"/>
  <c r="C3408" i="69"/>
  <c r="C3409" i="69"/>
  <c r="C3410" i="69"/>
  <c r="C3411" i="69"/>
  <c r="C3412" i="69"/>
  <c r="C3413" i="69"/>
  <c r="C3414" i="69"/>
  <c r="C3415" i="69"/>
  <c r="C3416" i="69"/>
  <c r="C3417" i="69"/>
  <c r="C3418" i="69"/>
  <c r="C3419" i="69"/>
  <c r="C3420" i="69"/>
  <c r="C3421" i="69"/>
  <c r="C3422" i="69"/>
  <c r="C3423" i="69"/>
  <c r="C3424" i="69"/>
  <c r="C3425" i="69"/>
  <c r="C3426" i="69"/>
  <c r="C3427" i="69"/>
  <c r="C3428" i="69"/>
  <c r="C3429" i="69"/>
  <c r="C3430" i="69"/>
  <c r="C3431" i="69"/>
  <c r="C3432" i="69"/>
  <c r="C3433" i="69"/>
  <c r="C3434" i="69"/>
  <c r="C3435" i="69"/>
  <c r="C3436" i="69"/>
  <c r="C3437" i="69"/>
  <c r="C3438" i="69"/>
  <c r="C3439" i="69"/>
  <c r="C3440" i="69"/>
  <c r="C3441" i="69"/>
  <c r="C3442" i="69"/>
  <c r="C3443" i="69"/>
  <c r="C3444" i="69"/>
  <c r="C3445" i="69"/>
  <c r="C3446" i="69"/>
  <c r="C3447" i="69"/>
  <c r="C3448" i="69"/>
  <c r="C3449" i="69"/>
  <c r="C3450" i="69"/>
  <c r="C3451" i="69"/>
  <c r="C3452" i="69"/>
  <c r="C3453" i="69"/>
  <c r="C3454" i="69"/>
  <c r="C3455" i="69"/>
  <c r="C3456" i="69"/>
  <c r="C3457" i="69"/>
  <c r="C3458" i="69"/>
  <c r="C3459" i="69"/>
  <c r="C3460" i="69"/>
  <c r="C3461" i="69"/>
  <c r="C3462" i="69"/>
  <c r="C3463" i="69"/>
  <c r="C3464" i="69"/>
  <c r="C3465" i="69"/>
  <c r="C3466" i="69"/>
  <c r="C3467" i="69"/>
  <c r="C3468" i="69"/>
  <c r="C3469" i="69"/>
  <c r="C3470" i="69"/>
  <c r="C3471" i="69"/>
  <c r="C3472" i="69"/>
  <c r="C3473" i="69"/>
  <c r="C3474" i="69"/>
  <c r="C3475" i="69"/>
  <c r="C3476" i="69"/>
  <c r="C3477" i="69"/>
  <c r="C3478" i="69"/>
  <c r="C3479" i="69"/>
  <c r="C3480" i="69"/>
  <c r="C3481" i="69"/>
  <c r="C3482" i="69"/>
  <c r="C3483" i="69"/>
  <c r="C3484" i="69"/>
  <c r="C3485" i="69"/>
  <c r="C3486" i="69"/>
  <c r="C3487" i="69"/>
  <c r="C3488" i="69"/>
  <c r="C3489" i="69"/>
  <c r="C3490" i="69"/>
  <c r="C3491" i="69"/>
  <c r="C3492" i="69"/>
  <c r="C3493" i="69"/>
  <c r="C3494" i="69"/>
  <c r="C3495" i="69"/>
  <c r="C3496" i="69"/>
  <c r="C3497" i="69"/>
  <c r="C3498" i="69"/>
  <c r="C3499" i="69"/>
  <c r="C3500" i="69"/>
  <c r="C3501" i="69"/>
  <c r="C3502" i="69"/>
  <c r="C3503" i="69"/>
  <c r="C3504" i="69"/>
  <c r="C3505" i="69"/>
  <c r="C3506" i="69"/>
  <c r="C3507" i="69"/>
  <c r="C3508" i="69"/>
  <c r="C3509" i="69"/>
  <c r="C3510" i="69"/>
  <c r="C3511" i="69"/>
  <c r="C3512" i="69"/>
  <c r="C3513" i="69"/>
  <c r="C3514" i="69"/>
  <c r="C3515" i="69"/>
  <c r="C3516" i="69"/>
  <c r="C3517" i="69"/>
  <c r="C3518" i="69"/>
  <c r="C3519" i="69"/>
  <c r="C3520" i="69"/>
  <c r="C3521" i="69"/>
  <c r="C3522" i="69"/>
  <c r="C3523" i="69"/>
  <c r="C3524" i="69"/>
  <c r="C3525" i="69"/>
  <c r="C3526" i="69"/>
  <c r="C3527" i="69"/>
  <c r="C3528" i="69"/>
  <c r="C3529" i="69"/>
  <c r="C3530" i="69"/>
  <c r="C3531" i="69"/>
  <c r="C3532" i="69"/>
  <c r="C3533" i="69"/>
  <c r="C3534" i="69"/>
  <c r="C3535" i="69"/>
  <c r="C3536" i="69"/>
  <c r="C3537" i="69"/>
  <c r="C3538" i="69"/>
  <c r="C3539" i="69"/>
  <c r="C3540" i="69"/>
  <c r="C3541" i="69"/>
  <c r="C3542" i="69"/>
  <c r="C3543" i="69"/>
  <c r="C3544" i="69"/>
  <c r="C3545" i="69"/>
  <c r="C3546" i="69"/>
  <c r="C3547" i="69"/>
  <c r="C3548" i="69"/>
  <c r="C3549" i="69"/>
  <c r="C3550" i="69"/>
  <c r="C3551" i="69"/>
  <c r="C3552" i="69"/>
  <c r="C3553" i="69"/>
  <c r="C3554" i="69"/>
  <c r="C3555" i="69"/>
  <c r="C3556" i="69"/>
  <c r="C3557" i="69"/>
  <c r="C3558" i="69"/>
  <c r="C3559" i="69"/>
  <c r="C3560" i="69"/>
  <c r="C3561" i="69"/>
  <c r="C3562" i="69"/>
  <c r="C3563" i="69"/>
  <c r="C3564" i="69"/>
  <c r="C3565" i="69"/>
  <c r="C3566" i="69"/>
  <c r="C3567" i="69"/>
  <c r="C3568" i="69"/>
  <c r="C3569" i="69"/>
  <c r="C3570" i="69"/>
  <c r="C3571" i="69"/>
  <c r="C3572" i="69"/>
  <c r="C3573" i="69"/>
  <c r="C3574" i="69"/>
  <c r="C3575" i="69"/>
  <c r="C3576" i="69"/>
  <c r="C3577" i="69"/>
  <c r="C3578" i="69"/>
  <c r="C3579" i="69"/>
  <c r="C3580" i="69"/>
  <c r="C3581" i="69"/>
  <c r="C3582" i="69"/>
  <c r="C3583" i="69"/>
  <c r="C3584" i="69"/>
  <c r="C3585" i="69"/>
  <c r="C3586" i="69"/>
  <c r="C3587" i="69"/>
  <c r="C3588" i="69"/>
  <c r="C3589" i="69"/>
  <c r="C3590" i="69"/>
  <c r="C3591" i="69"/>
  <c r="C3592" i="69"/>
  <c r="C3593" i="69"/>
  <c r="C3594" i="69"/>
  <c r="C3595" i="69"/>
  <c r="C3596" i="69"/>
  <c r="C3597" i="69"/>
  <c r="C3598" i="69"/>
  <c r="C3599" i="69"/>
  <c r="C3600" i="69"/>
  <c r="C3601" i="69"/>
  <c r="C3602" i="69"/>
  <c r="C3603" i="69"/>
  <c r="C3604" i="69"/>
  <c r="C3605" i="69"/>
  <c r="C3606" i="69"/>
  <c r="C3607" i="69"/>
  <c r="C3608" i="69"/>
  <c r="C3609" i="69"/>
  <c r="C3610" i="69"/>
  <c r="C3611" i="69"/>
  <c r="C3612" i="69"/>
  <c r="C3613" i="69"/>
  <c r="C3614" i="69"/>
  <c r="C3615" i="69"/>
  <c r="C3616" i="69"/>
  <c r="C3617" i="69"/>
  <c r="C3618" i="69"/>
  <c r="C3619" i="69"/>
  <c r="C3620" i="69"/>
  <c r="C3621" i="69"/>
  <c r="C3622" i="69"/>
  <c r="C3623" i="69"/>
  <c r="C3624" i="69"/>
  <c r="C3625" i="69"/>
  <c r="C3626" i="69"/>
  <c r="C3627" i="69"/>
  <c r="C3628" i="69"/>
  <c r="C3629" i="69"/>
  <c r="C3630" i="69"/>
  <c r="C3631" i="69"/>
  <c r="C3632" i="69"/>
  <c r="C3633" i="69"/>
  <c r="C3634" i="69"/>
  <c r="C3635" i="69"/>
  <c r="C3636" i="69"/>
  <c r="C3637" i="69"/>
  <c r="C3638" i="69"/>
  <c r="C3639" i="69"/>
  <c r="C3640" i="69"/>
  <c r="C3641" i="69"/>
  <c r="C3642" i="69"/>
  <c r="C3643" i="69"/>
  <c r="C3644" i="69"/>
  <c r="C3645" i="69"/>
  <c r="C3646" i="69"/>
  <c r="C3647" i="69"/>
  <c r="C3648" i="69"/>
  <c r="C3649" i="69"/>
  <c r="C3650" i="69"/>
  <c r="C3651" i="69"/>
  <c r="C3652" i="69"/>
  <c r="C3653" i="69"/>
  <c r="C3654" i="69"/>
  <c r="C3655" i="69"/>
  <c r="C3656" i="69"/>
  <c r="C3657" i="69"/>
  <c r="C3658" i="69"/>
  <c r="C3659" i="69"/>
  <c r="C3660" i="69"/>
  <c r="C3661" i="69"/>
  <c r="C3662" i="69"/>
  <c r="C3663" i="69"/>
  <c r="C3664" i="69"/>
  <c r="C3665" i="69"/>
  <c r="C3666" i="69"/>
  <c r="C3667" i="69"/>
  <c r="C3668" i="69"/>
  <c r="C3669" i="69"/>
  <c r="C3670" i="69"/>
  <c r="C3671" i="69"/>
  <c r="C3672" i="69"/>
  <c r="C3673" i="69"/>
  <c r="C3674" i="69"/>
  <c r="C3675" i="69"/>
  <c r="C3676" i="69"/>
  <c r="C3677" i="69"/>
  <c r="C3678" i="69"/>
  <c r="C3679" i="69"/>
  <c r="C3680" i="69"/>
  <c r="C3681" i="69"/>
  <c r="C3682" i="69"/>
  <c r="C3683" i="69"/>
  <c r="C3684" i="69"/>
  <c r="C3685" i="69"/>
  <c r="C3686" i="69"/>
  <c r="C3687" i="69"/>
  <c r="C3688" i="69"/>
  <c r="C3689" i="69"/>
  <c r="C3690" i="69"/>
  <c r="C3691" i="69"/>
  <c r="C3692" i="69"/>
  <c r="C3693" i="69"/>
  <c r="C3694" i="69"/>
  <c r="C3695" i="69"/>
  <c r="C3696" i="69"/>
  <c r="C3697" i="69"/>
  <c r="C3698" i="69"/>
  <c r="C3699" i="69"/>
  <c r="C3700" i="69"/>
  <c r="C3701" i="69"/>
  <c r="C3702" i="69"/>
  <c r="C3703" i="69"/>
  <c r="C3704" i="69"/>
  <c r="C3705" i="69"/>
  <c r="C3706" i="69"/>
  <c r="C3707" i="69"/>
  <c r="C3708" i="69"/>
  <c r="C3709" i="69"/>
  <c r="C3710" i="69"/>
  <c r="C3711" i="69"/>
  <c r="C3712" i="69"/>
  <c r="C3713" i="69"/>
  <c r="C3714" i="69"/>
  <c r="C3715" i="69"/>
  <c r="C3716" i="69"/>
  <c r="C3717" i="69"/>
  <c r="C3718" i="69"/>
  <c r="C3719" i="69"/>
  <c r="C3720" i="69"/>
  <c r="C3721" i="69"/>
  <c r="C3722" i="69"/>
  <c r="C3723" i="69"/>
  <c r="C3724" i="69"/>
  <c r="C3725" i="69"/>
  <c r="C3726" i="69"/>
  <c r="C3727" i="69"/>
  <c r="C3728" i="69"/>
  <c r="C3729" i="69"/>
  <c r="C3730" i="69"/>
  <c r="C3731" i="69"/>
  <c r="C3732" i="69"/>
  <c r="C3733" i="69"/>
  <c r="C3734" i="69"/>
  <c r="C3735" i="69"/>
  <c r="C3736" i="69"/>
  <c r="C3737" i="69"/>
  <c r="C3738" i="69"/>
  <c r="C3739" i="69"/>
  <c r="C3740" i="69"/>
  <c r="C3741" i="69"/>
  <c r="C3742" i="69"/>
  <c r="C3743" i="69"/>
  <c r="C3744" i="69"/>
  <c r="C3745" i="69"/>
  <c r="C3746" i="69"/>
  <c r="C3747" i="69"/>
  <c r="C3748" i="69"/>
  <c r="C3749" i="69"/>
  <c r="C3750" i="69"/>
  <c r="C3751" i="69"/>
  <c r="C3752" i="69"/>
  <c r="C3753" i="69"/>
  <c r="C3754" i="69"/>
  <c r="C3755" i="69"/>
  <c r="C3756" i="69"/>
  <c r="C3757" i="69"/>
  <c r="C3758" i="69"/>
  <c r="C3759" i="69"/>
  <c r="C3760" i="69"/>
  <c r="C3761" i="69"/>
  <c r="C3762" i="69"/>
  <c r="C3763" i="69"/>
  <c r="C3764" i="69"/>
  <c r="C3765" i="69"/>
  <c r="C3766" i="69"/>
  <c r="C3767" i="69"/>
  <c r="C3768" i="69"/>
  <c r="C3769" i="69"/>
  <c r="C3770" i="69"/>
  <c r="C3771" i="69"/>
  <c r="C3772" i="69"/>
  <c r="C3773" i="69"/>
  <c r="C3774" i="69"/>
  <c r="C3775" i="69"/>
  <c r="C3776" i="69"/>
  <c r="C3777" i="69"/>
  <c r="C3778" i="69"/>
  <c r="C3779" i="69"/>
  <c r="C3780" i="69"/>
  <c r="C3781" i="69"/>
  <c r="C3782" i="69"/>
  <c r="C3783" i="69"/>
  <c r="C3784" i="69"/>
  <c r="C3785" i="69"/>
  <c r="C3786" i="69"/>
  <c r="C3787" i="69"/>
  <c r="C3788" i="69"/>
  <c r="C3789" i="69"/>
  <c r="C3790" i="69"/>
  <c r="C3791" i="69"/>
  <c r="C3792" i="69"/>
  <c r="C3793" i="69"/>
  <c r="C3794" i="69"/>
  <c r="C3795" i="69"/>
  <c r="C3796" i="69"/>
  <c r="C3797" i="69"/>
  <c r="C3798" i="69"/>
  <c r="C3799" i="69"/>
  <c r="C3800" i="69"/>
  <c r="C3801" i="69"/>
  <c r="C3802" i="69"/>
  <c r="C3803" i="69"/>
  <c r="C3804" i="69"/>
  <c r="C3805" i="69"/>
  <c r="C3806" i="69"/>
  <c r="C3807" i="69"/>
  <c r="C3808" i="69"/>
  <c r="C3809" i="69"/>
  <c r="C3810" i="69"/>
  <c r="C3811" i="69"/>
  <c r="C3812" i="69"/>
  <c r="C3813" i="69"/>
  <c r="C3814" i="69"/>
  <c r="C3815" i="69"/>
  <c r="C3816" i="69"/>
  <c r="C3817" i="69"/>
  <c r="C3818" i="69"/>
  <c r="C3819" i="69"/>
  <c r="C3820" i="69"/>
  <c r="C3821" i="69"/>
  <c r="C3822" i="69"/>
  <c r="C3823" i="69"/>
  <c r="C3824" i="69"/>
  <c r="C3825" i="69"/>
  <c r="C3826" i="69"/>
  <c r="C3827" i="69"/>
  <c r="C3828" i="69"/>
  <c r="C3829" i="69"/>
  <c r="C3830" i="69"/>
  <c r="C3831" i="69"/>
  <c r="C3832" i="69"/>
  <c r="C3833" i="69"/>
  <c r="C3834" i="69"/>
  <c r="C3835" i="69"/>
  <c r="C3836" i="69"/>
  <c r="C3837" i="69"/>
  <c r="C3838" i="69"/>
  <c r="C3839" i="69"/>
  <c r="C3840" i="69"/>
  <c r="C3841" i="69"/>
  <c r="C3842" i="69"/>
  <c r="C3843" i="69"/>
  <c r="C3844" i="69"/>
  <c r="C3845" i="69"/>
  <c r="C3846" i="69"/>
  <c r="C3847" i="69"/>
  <c r="C3848" i="69"/>
  <c r="C3849" i="69"/>
  <c r="C3850" i="69"/>
  <c r="C3851" i="69"/>
  <c r="C3852" i="69"/>
  <c r="C3853" i="69"/>
  <c r="C3854" i="69"/>
  <c r="C3855" i="69"/>
  <c r="C3856" i="69"/>
  <c r="C3857" i="69"/>
  <c r="C3858" i="69"/>
  <c r="C3859" i="69"/>
  <c r="C3860" i="69"/>
  <c r="C3861" i="69"/>
  <c r="C3862" i="69"/>
  <c r="C3863" i="69"/>
  <c r="C3864" i="69"/>
  <c r="C3865" i="69"/>
  <c r="C3866" i="69"/>
  <c r="C3867" i="69"/>
  <c r="C3868" i="69"/>
  <c r="C3869" i="69"/>
  <c r="C3870" i="69"/>
  <c r="C3871" i="69"/>
  <c r="C3872" i="69"/>
  <c r="C3873" i="69"/>
  <c r="C3874" i="69"/>
  <c r="C3875" i="69"/>
  <c r="C3876" i="69"/>
  <c r="C3877" i="69"/>
  <c r="C3878" i="69"/>
  <c r="C3879" i="69"/>
  <c r="C3880" i="69"/>
  <c r="C3881" i="69"/>
  <c r="C3882" i="69"/>
  <c r="C3883" i="69"/>
  <c r="C3884" i="69"/>
  <c r="C3885" i="69"/>
  <c r="C3886" i="69"/>
  <c r="C3887" i="69"/>
  <c r="C3888" i="69"/>
  <c r="C3889" i="69"/>
  <c r="C3890" i="69"/>
  <c r="C3891" i="69"/>
  <c r="C3892" i="69"/>
  <c r="C3893" i="69"/>
  <c r="C3894" i="69"/>
  <c r="C3895" i="69"/>
  <c r="C3896" i="69"/>
  <c r="C3897" i="69"/>
  <c r="C3898" i="69"/>
  <c r="C3899" i="69"/>
  <c r="C3900" i="69"/>
  <c r="C3901" i="69"/>
  <c r="C3902" i="69"/>
  <c r="C3903" i="69"/>
  <c r="C3904" i="69"/>
  <c r="C3905" i="69"/>
  <c r="C3906" i="69"/>
  <c r="C3907" i="69"/>
  <c r="C3908" i="69"/>
  <c r="C3909" i="69"/>
  <c r="C3910" i="69"/>
  <c r="C3911" i="69"/>
  <c r="C3912" i="69"/>
  <c r="C3913" i="69"/>
  <c r="C3914" i="69"/>
  <c r="C3915" i="69"/>
  <c r="C3916" i="69"/>
  <c r="C3917" i="69"/>
  <c r="C3918" i="69"/>
  <c r="C3919" i="69"/>
  <c r="C3920" i="69"/>
  <c r="C3921" i="69"/>
  <c r="C3922" i="69"/>
  <c r="C3923" i="69"/>
  <c r="C3924" i="69"/>
  <c r="C3925" i="69"/>
  <c r="C3926" i="69"/>
  <c r="C3927" i="69"/>
  <c r="C3928" i="69"/>
  <c r="C3929" i="69"/>
  <c r="C3930" i="69"/>
  <c r="C3931" i="69"/>
  <c r="C3932" i="69"/>
  <c r="C3933" i="69"/>
  <c r="C3934" i="69"/>
  <c r="C3935" i="69"/>
  <c r="C3936" i="69"/>
  <c r="C3937" i="69"/>
  <c r="C3938" i="69"/>
  <c r="C3939" i="69"/>
  <c r="C3940" i="69"/>
  <c r="C3941" i="69"/>
  <c r="C3942" i="69"/>
  <c r="C3943" i="69"/>
  <c r="C3944" i="69"/>
  <c r="C3945" i="69"/>
  <c r="C3946" i="69"/>
  <c r="C3947" i="69"/>
  <c r="C3948" i="69"/>
  <c r="C3949" i="69"/>
  <c r="C3950" i="69"/>
  <c r="C3951" i="69"/>
  <c r="C3952" i="69"/>
  <c r="C3953" i="69"/>
  <c r="C3954" i="69"/>
  <c r="C3955" i="69"/>
  <c r="C3956" i="69"/>
  <c r="C3957" i="69"/>
  <c r="C3958" i="69"/>
  <c r="C3959" i="69"/>
  <c r="C3960" i="69"/>
  <c r="C3961" i="69"/>
  <c r="C3962" i="69"/>
  <c r="C3963" i="69"/>
  <c r="C3964" i="69"/>
  <c r="C3965" i="69"/>
  <c r="C3966" i="69"/>
  <c r="C3967" i="69"/>
  <c r="C3968" i="69"/>
  <c r="C3969" i="69"/>
  <c r="C3970" i="69"/>
  <c r="C3971" i="69"/>
  <c r="C3972" i="69"/>
  <c r="C3973" i="69"/>
  <c r="C3974" i="69"/>
  <c r="C3975" i="69"/>
  <c r="C3976" i="69"/>
  <c r="C3977" i="69"/>
  <c r="C3978" i="69"/>
  <c r="C3979" i="69"/>
  <c r="C3980" i="69"/>
  <c r="C3981" i="69"/>
  <c r="C3982" i="69"/>
  <c r="C3983" i="69"/>
  <c r="C3984" i="69"/>
  <c r="C3985" i="69"/>
  <c r="C3986" i="69"/>
  <c r="C3987" i="69"/>
  <c r="C3988" i="69"/>
  <c r="C3989" i="69"/>
  <c r="C3990" i="69"/>
  <c r="C3991" i="69"/>
  <c r="C3992" i="69"/>
  <c r="C3993" i="69"/>
  <c r="C3994" i="69"/>
  <c r="C3995" i="69"/>
  <c r="C3996" i="69"/>
  <c r="C3997" i="69"/>
  <c r="C3998" i="69"/>
  <c r="C3999" i="69"/>
  <c r="C4000" i="69"/>
  <c r="C4001" i="69"/>
  <c r="C4002" i="69"/>
  <c r="C4003" i="69"/>
  <c r="C4004" i="69"/>
  <c r="C4005" i="69"/>
  <c r="C4006" i="69"/>
  <c r="C4007" i="69"/>
  <c r="C4008" i="69"/>
  <c r="C4009" i="69"/>
  <c r="C4010" i="69"/>
  <c r="C4011" i="69"/>
  <c r="C4012" i="69"/>
  <c r="C4013" i="69"/>
  <c r="C4014" i="69"/>
  <c r="C4015" i="69"/>
  <c r="C4016" i="69"/>
  <c r="C4017" i="69"/>
  <c r="C4018" i="69"/>
  <c r="C4019" i="69"/>
  <c r="C4020" i="69"/>
  <c r="C4021" i="69"/>
  <c r="C4022" i="69"/>
  <c r="C4023" i="69"/>
  <c r="C4024" i="69"/>
  <c r="C4025" i="69"/>
  <c r="C4026" i="69"/>
  <c r="C4027" i="69"/>
  <c r="C4028" i="69"/>
  <c r="C4029" i="69"/>
  <c r="C4030" i="69"/>
  <c r="C4031" i="69"/>
  <c r="C4032" i="69"/>
  <c r="C4033" i="69"/>
  <c r="C4034" i="69"/>
  <c r="C4035" i="69"/>
  <c r="C4036" i="69"/>
  <c r="C4037" i="69"/>
  <c r="C4038" i="69"/>
  <c r="C4039" i="69"/>
  <c r="C4040" i="69"/>
  <c r="C4041" i="69"/>
  <c r="C4042" i="69"/>
  <c r="C4043" i="69"/>
  <c r="C4044" i="69"/>
  <c r="C4045" i="69"/>
  <c r="C4046" i="69"/>
  <c r="C4047" i="69"/>
  <c r="C4048" i="69"/>
  <c r="C4049" i="69"/>
  <c r="C4050" i="69"/>
  <c r="C4051" i="69"/>
  <c r="C4052" i="69"/>
  <c r="C4053" i="69"/>
  <c r="C4054" i="69"/>
  <c r="C4055" i="69"/>
  <c r="C4056" i="69"/>
  <c r="C4057" i="69"/>
  <c r="C4058" i="69"/>
  <c r="C4059" i="69"/>
  <c r="C4060" i="69"/>
  <c r="C4061" i="69"/>
  <c r="C4062" i="69"/>
  <c r="C4063" i="69"/>
  <c r="C4064" i="69"/>
  <c r="C4065" i="69"/>
  <c r="C4066" i="69"/>
  <c r="C4067" i="69"/>
  <c r="C4068" i="69"/>
  <c r="C4069" i="69"/>
  <c r="C4070" i="69"/>
  <c r="C4071" i="69"/>
  <c r="C4072" i="69"/>
  <c r="C4073" i="69"/>
  <c r="C4074" i="69"/>
  <c r="C4075" i="69"/>
  <c r="C4076" i="69"/>
  <c r="C4077" i="69"/>
  <c r="C4078" i="69"/>
  <c r="C4079" i="69"/>
  <c r="C4080" i="69"/>
  <c r="C4081" i="69"/>
  <c r="C4082" i="69"/>
  <c r="C4083" i="69"/>
  <c r="C4084" i="69"/>
  <c r="C4085" i="69"/>
  <c r="C4086" i="69"/>
  <c r="C4087" i="69"/>
  <c r="C4088" i="69"/>
  <c r="C4089" i="69"/>
  <c r="C4090" i="69"/>
  <c r="C4091" i="69"/>
  <c r="C4092" i="69"/>
  <c r="C4093" i="69"/>
  <c r="C4094" i="69"/>
  <c r="C4095" i="69"/>
  <c r="C4096" i="69"/>
  <c r="C4097" i="69"/>
  <c r="C4098" i="69"/>
  <c r="C4099" i="69"/>
  <c r="C4100" i="69"/>
  <c r="C4101" i="69"/>
  <c r="C4102" i="69"/>
  <c r="C4103" i="69"/>
  <c r="C4104" i="69"/>
  <c r="C4105" i="69"/>
  <c r="C4106" i="69"/>
  <c r="C4107" i="69"/>
  <c r="C4108" i="69"/>
  <c r="C4109" i="69"/>
  <c r="C4110" i="69"/>
  <c r="C4111" i="69"/>
  <c r="C4112" i="69"/>
  <c r="C4113" i="69"/>
  <c r="C4114" i="69"/>
  <c r="C4115" i="69"/>
  <c r="C4116" i="69"/>
  <c r="C4117" i="69"/>
  <c r="C4118" i="69"/>
  <c r="C4119" i="69"/>
  <c r="C4120" i="69"/>
  <c r="C4121" i="69"/>
  <c r="C4122" i="69"/>
  <c r="C4123" i="69"/>
  <c r="C4124" i="69"/>
  <c r="C4125" i="69"/>
  <c r="C4126" i="69"/>
  <c r="C4127" i="69"/>
  <c r="C4128" i="69"/>
  <c r="C4129" i="69"/>
  <c r="C4130" i="69"/>
  <c r="C4131" i="69"/>
  <c r="C4132" i="69"/>
  <c r="C4133" i="69"/>
  <c r="C4134" i="69"/>
  <c r="C4135" i="69"/>
  <c r="C4136" i="69"/>
  <c r="C4137" i="69"/>
  <c r="C4138" i="69"/>
  <c r="C4139" i="69"/>
  <c r="C4140" i="69"/>
  <c r="C4141" i="69"/>
  <c r="C4142" i="69"/>
  <c r="C4143" i="69"/>
  <c r="C4144" i="69"/>
  <c r="C4145" i="69"/>
  <c r="C4146" i="69"/>
  <c r="C4147" i="69"/>
  <c r="C4148" i="69"/>
  <c r="C4149" i="69"/>
  <c r="C4150" i="69"/>
  <c r="C4151" i="69"/>
  <c r="C4152" i="69"/>
  <c r="C4153" i="69"/>
  <c r="C4154" i="69"/>
  <c r="C4155" i="69"/>
  <c r="C4156" i="69"/>
  <c r="C4157" i="69"/>
  <c r="C4158" i="69"/>
  <c r="C4159" i="69"/>
  <c r="C4160" i="69"/>
  <c r="C4161" i="69"/>
  <c r="C4162" i="69"/>
  <c r="C4163" i="69"/>
  <c r="C4164" i="69"/>
  <c r="C4165" i="69"/>
  <c r="C4166" i="69"/>
  <c r="C4167" i="69"/>
  <c r="C4168" i="69"/>
  <c r="C4169" i="69"/>
  <c r="C4170" i="69"/>
  <c r="C4171" i="69"/>
  <c r="C4172" i="69"/>
  <c r="C4173" i="69"/>
  <c r="C4174" i="69"/>
  <c r="C4175" i="69"/>
  <c r="C4176" i="69"/>
  <c r="C4177" i="69"/>
  <c r="C4178" i="69"/>
  <c r="C4179" i="69"/>
  <c r="C4180" i="69"/>
  <c r="C4181" i="69"/>
  <c r="C4182" i="69"/>
  <c r="C4183" i="69"/>
  <c r="C4184" i="69"/>
  <c r="C4185" i="69"/>
  <c r="C4186" i="69"/>
  <c r="C4187" i="69"/>
  <c r="C4188" i="69"/>
  <c r="C4189" i="69"/>
  <c r="C4190" i="69"/>
  <c r="C4191" i="69"/>
  <c r="C4192" i="69"/>
  <c r="C4193" i="69"/>
  <c r="C4194" i="69"/>
  <c r="C4195" i="69"/>
  <c r="C4196" i="69"/>
  <c r="C4197" i="69"/>
  <c r="C4198" i="69"/>
  <c r="C4199" i="69"/>
  <c r="C4200" i="69"/>
  <c r="C4201" i="69"/>
  <c r="C4202" i="69"/>
  <c r="C4203" i="69"/>
  <c r="C4204" i="69"/>
  <c r="C4205" i="69"/>
  <c r="C4206" i="69"/>
  <c r="C4207" i="69"/>
  <c r="C4208" i="69"/>
  <c r="C4209" i="69"/>
  <c r="C4210" i="69"/>
  <c r="C4211" i="69"/>
  <c r="C4212" i="69"/>
  <c r="C4213" i="69"/>
  <c r="C4214" i="69"/>
  <c r="C4215" i="69"/>
  <c r="C4216" i="69"/>
  <c r="C4217" i="69"/>
  <c r="C4218" i="69"/>
  <c r="C4219" i="69"/>
  <c r="C4220" i="69"/>
  <c r="C4221" i="69"/>
  <c r="C4222" i="69"/>
  <c r="C4223" i="69"/>
  <c r="C4224" i="69"/>
  <c r="C4225" i="69"/>
  <c r="C4226" i="69"/>
  <c r="C4227" i="69"/>
  <c r="C4228" i="69"/>
  <c r="C4229" i="69"/>
  <c r="C4230" i="69"/>
  <c r="C4231" i="69"/>
  <c r="C4232" i="69"/>
  <c r="C4233" i="69"/>
  <c r="C4234" i="69"/>
  <c r="C4235" i="69"/>
  <c r="C4236" i="69"/>
  <c r="C4237" i="69"/>
  <c r="C4238" i="69"/>
  <c r="C4239" i="69"/>
  <c r="C4240" i="69"/>
  <c r="C4241" i="69"/>
  <c r="C4242" i="69"/>
  <c r="C4243" i="69"/>
  <c r="C4244" i="69"/>
  <c r="C4245" i="69"/>
  <c r="C4246" i="69"/>
  <c r="C4247" i="69"/>
  <c r="C4248" i="69"/>
  <c r="C4249" i="69"/>
  <c r="C4250" i="69"/>
  <c r="C4251" i="69"/>
  <c r="C4252" i="69"/>
  <c r="C4253" i="69"/>
  <c r="C4254" i="69"/>
  <c r="C4255" i="69"/>
  <c r="C4256" i="69"/>
  <c r="C4257" i="69"/>
  <c r="C4258" i="69"/>
  <c r="C4259" i="69"/>
  <c r="C4260" i="69"/>
  <c r="C4261" i="69"/>
  <c r="C4262" i="69"/>
  <c r="C4263" i="69"/>
  <c r="C4264" i="69"/>
  <c r="C4265" i="69"/>
  <c r="C4266" i="69"/>
  <c r="C4267" i="69"/>
  <c r="C4268" i="69"/>
  <c r="C4269" i="69"/>
  <c r="C4270" i="69"/>
  <c r="C4271" i="69"/>
  <c r="C4272" i="69"/>
  <c r="C4273" i="69"/>
  <c r="C4274" i="69"/>
  <c r="C4275" i="69"/>
  <c r="C4276" i="69"/>
  <c r="C4277" i="69"/>
  <c r="C4278" i="69"/>
  <c r="C4279" i="69"/>
  <c r="C4280" i="69"/>
  <c r="C4281" i="69"/>
  <c r="C4282" i="69"/>
  <c r="C4283" i="69"/>
  <c r="C4284" i="69"/>
  <c r="C4285" i="69"/>
  <c r="C4286" i="69"/>
  <c r="C4287" i="69"/>
  <c r="C4288" i="69"/>
  <c r="C4289" i="69"/>
  <c r="C4290" i="69"/>
  <c r="C4291" i="69"/>
  <c r="C4292" i="69"/>
  <c r="C4293" i="69"/>
  <c r="C4294" i="69"/>
  <c r="C4295" i="69"/>
  <c r="C4296" i="69"/>
  <c r="C4297" i="69"/>
  <c r="C4298" i="69"/>
  <c r="C4299" i="69"/>
  <c r="C4300" i="69"/>
  <c r="C4301" i="69"/>
  <c r="C4302" i="69"/>
  <c r="C4303" i="69"/>
  <c r="C4304" i="69"/>
  <c r="C4305" i="69"/>
  <c r="C4306" i="69"/>
  <c r="C4307" i="69"/>
  <c r="C4308" i="69"/>
  <c r="C4309" i="69"/>
  <c r="C4310" i="69"/>
  <c r="C4311" i="69"/>
  <c r="C4312" i="69"/>
  <c r="C4313" i="69"/>
  <c r="C4314" i="69"/>
  <c r="C4315" i="69"/>
  <c r="C4316" i="69"/>
  <c r="C4317" i="69"/>
  <c r="C4318" i="69"/>
  <c r="C4319" i="69"/>
  <c r="C4320" i="69"/>
  <c r="C4321" i="69"/>
  <c r="C4322" i="69"/>
  <c r="C4323" i="69"/>
  <c r="C4324" i="69"/>
  <c r="C4325" i="69"/>
  <c r="C4326" i="69"/>
  <c r="C4327" i="69"/>
  <c r="C4328" i="69"/>
  <c r="C4329" i="69"/>
  <c r="C4330" i="69"/>
  <c r="C4331" i="69"/>
  <c r="C4332" i="69"/>
  <c r="C4333" i="69"/>
  <c r="C4334" i="69"/>
  <c r="C4335" i="69"/>
  <c r="C4336" i="69"/>
  <c r="C4337" i="69"/>
  <c r="C4338" i="69"/>
  <c r="C4339" i="69"/>
  <c r="C4340" i="69"/>
  <c r="C4341" i="69"/>
  <c r="C4342" i="69"/>
  <c r="C4343" i="69"/>
  <c r="C4344" i="69"/>
  <c r="C4345" i="69"/>
  <c r="C4346" i="69"/>
  <c r="C4347" i="69"/>
  <c r="C4348" i="69"/>
  <c r="C4349" i="69"/>
  <c r="C4350" i="69"/>
  <c r="C4351" i="69"/>
  <c r="C4352" i="69"/>
  <c r="C4353" i="69"/>
  <c r="C4354" i="69"/>
  <c r="C4355" i="69"/>
  <c r="C4356" i="69"/>
  <c r="C4357" i="69"/>
  <c r="C4358" i="69"/>
  <c r="C4359" i="69"/>
  <c r="C4360" i="69"/>
  <c r="C4361" i="69"/>
  <c r="C4362" i="69"/>
  <c r="C4363" i="69"/>
  <c r="C4364" i="69"/>
  <c r="C4365" i="69"/>
  <c r="C4366" i="69"/>
  <c r="C4367" i="69"/>
  <c r="C4368" i="69"/>
  <c r="C4369" i="69"/>
  <c r="C4370" i="69"/>
  <c r="C4371" i="69"/>
  <c r="C4372" i="69"/>
  <c r="C4373" i="69"/>
  <c r="C4374" i="69"/>
  <c r="C4375" i="69"/>
  <c r="C4376" i="69"/>
  <c r="C4377" i="69"/>
  <c r="C4378" i="69"/>
  <c r="C4379" i="69"/>
  <c r="C4380" i="69"/>
  <c r="C4381" i="69"/>
  <c r="C4382" i="69"/>
  <c r="C4383" i="69"/>
  <c r="C4384" i="69"/>
  <c r="C4385" i="69"/>
  <c r="C4386" i="69"/>
  <c r="C4387" i="69"/>
  <c r="C4388" i="69"/>
  <c r="C4389" i="69"/>
  <c r="C4390" i="69"/>
  <c r="C4391" i="69"/>
  <c r="C4392" i="69"/>
  <c r="C4393" i="69"/>
  <c r="C4394" i="69"/>
  <c r="C4395" i="69"/>
  <c r="C4396" i="69"/>
  <c r="C4397" i="69"/>
  <c r="C4398" i="69"/>
  <c r="C4399" i="69"/>
  <c r="C4400" i="69"/>
  <c r="C4401" i="69"/>
  <c r="C4402" i="69"/>
  <c r="C4403" i="69"/>
  <c r="C4404" i="69"/>
  <c r="C4405" i="69"/>
  <c r="C4406" i="69"/>
  <c r="C4407" i="69"/>
  <c r="C4408" i="69"/>
  <c r="C4409" i="69"/>
  <c r="C4410" i="69"/>
  <c r="C4411" i="69"/>
  <c r="C4412" i="69"/>
  <c r="C4413" i="69"/>
  <c r="C4414" i="69"/>
  <c r="C4415" i="69"/>
  <c r="C4416" i="69"/>
  <c r="C4417" i="69"/>
  <c r="C4418" i="69"/>
  <c r="C4419" i="69"/>
  <c r="C4420" i="69"/>
  <c r="C4421" i="69"/>
  <c r="C4422" i="69"/>
  <c r="C4423" i="69"/>
  <c r="C4424" i="69"/>
  <c r="C4425" i="69"/>
  <c r="C4426" i="69"/>
  <c r="C4427" i="69"/>
  <c r="C4428" i="69"/>
  <c r="C4429" i="69"/>
  <c r="C4430" i="69"/>
  <c r="C4431" i="69"/>
  <c r="C4432" i="69"/>
  <c r="C4433" i="69"/>
  <c r="C4434" i="69"/>
  <c r="C4435" i="69"/>
  <c r="C4436" i="69"/>
  <c r="C4437" i="69"/>
  <c r="C4438" i="69"/>
  <c r="C4439" i="69"/>
  <c r="C4440" i="69"/>
  <c r="C4441" i="69"/>
  <c r="C4442" i="69"/>
  <c r="C4443" i="69"/>
  <c r="C4444" i="69"/>
  <c r="C4445" i="69"/>
  <c r="C4446" i="69"/>
  <c r="C4447" i="69"/>
  <c r="C4448" i="69"/>
  <c r="C4449" i="69"/>
  <c r="C4450" i="69"/>
  <c r="C4451" i="69"/>
  <c r="C4452" i="69"/>
  <c r="C4453" i="69"/>
  <c r="C4454" i="69"/>
  <c r="C4455" i="69"/>
  <c r="C4456" i="69"/>
  <c r="C4457" i="69"/>
  <c r="C4458" i="69"/>
  <c r="C4459" i="69"/>
  <c r="C4460" i="69"/>
  <c r="C4461" i="69"/>
  <c r="C4462" i="69"/>
  <c r="C4463" i="69"/>
  <c r="C4464" i="69"/>
  <c r="C4465" i="69"/>
  <c r="C4466" i="69"/>
  <c r="C4467" i="69"/>
  <c r="C4468" i="69"/>
  <c r="C4469" i="69"/>
  <c r="C4470" i="69"/>
  <c r="C4471" i="69"/>
  <c r="C4472" i="69"/>
  <c r="C4473" i="69"/>
  <c r="C4474" i="69"/>
  <c r="C4475" i="69"/>
  <c r="C4476" i="69"/>
  <c r="C4477" i="69"/>
  <c r="C4478" i="69"/>
  <c r="C4479" i="69"/>
  <c r="C4480" i="69"/>
  <c r="C4481" i="69"/>
  <c r="C4482" i="69"/>
  <c r="C4483" i="69"/>
  <c r="C4484" i="69"/>
  <c r="C4485" i="69"/>
  <c r="C4486" i="69"/>
  <c r="C4487" i="69"/>
  <c r="C4488" i="69"/>
  <c r="C4489" i="69"/>
  <c r="C4490" i="69"/>
  <c r="C4491" i="69"/>
  <c r="C4492" i="69"/>
  <c r="C4493" i="69"/>
  <c r="C4494" i="69"/>
  <c r="C4495" i="69"/>
  <c r="C4496" i="69"/>
  <c r="C4497" i="69"/>
  <c r="C4498" i="69"/>
  <c r="C4499" i="69"/>
  <c r="C4500" i="69"/>
  <c r="C4501" i="69"/>
  <c r="C4502" i="69"/>
  <c r="C4503" i="69"/>
  <c r="C4504" i="69"/>
  <c r="C4505" i="69"/>
  <c r="C4506" i="69"/>
  <c r="C4507" i="69"/>
  <c r="C4508" i="69"/>
  <c r="C4509" i="69"/>
  <c r="C4510" i="69"/>
  <c r="C4511" i="69"/>
  <c r="C4512" i="69"/>
  <c r="C4513" i="69"/>
  <c r="C4514" i="69"/>
  <c r="C4515" i="69"/>
  <c r="C4516" i="69"/>
  <c r="C4517" i="69"/>
  <c r="C4518" i="69"/>
  <c r="C4519" i="69"/>
  <c r="C4520" i="69"/>
  <c r="C4521" i="69"/>
  <c r="C4522" i="69"/>
  <c r="C4523" i="69"/>
  <c r="C4524" i="69"/>
  <c r="C4525" i="69"/>
  <c r="C4526" i="69"/>
  <c r="C4527" i="69"/>
  <c r="C4528" i="69"/>
  <c r="C4529" i="69"/>
  <c r="C4530" i="69"/>
  <c r="C4531" i="69"/>
  <c r="C4532" i="69"/>
  <c r="C4533" i="69"/>
  <c r="C4534" i="69"/>
  <c r="C4535" i="69"/>
  <c r="C4536" i="69"/>
  <c r="C4537" i="69"/>
  <c r="C4538" i="69"/>
  <c r="C4539" i="69"/>
  <c r="C4540" i="69"/>
  <c r="C4541" i="69"/>
  <c r="C4542" i="69"/>
  <c r="C4543" i="69"/>
  <c r="C4544" i="69"/>
  <c r="C4545" i="69"/>
  <c r="C4546" i="69"/>
  <c r="C4547" i="69"/>
  <c r="C4548" i="69"/>
  <c r="C4549" i="69"/>
  <c r="C4550" i="69"/>
  <c r="C4551" i="69"/>
  <c r="C4552" i="69"/>
  <c r="C4553" i="69"/>
  <c r="C4554" i="69"/>
  <c r="C4555" i="69"/>
  <c r="C4556" i="69"/>
  <c r="C4557" i="69"/>
  <c r="C4558" i="69"/>
  <c r="C4559" i="69"/>
  <c r="C4560" i="69"/>
  <c r="C4561" i="69"/>
  <c r="C4562" i="69"/>
  <c r="C4563" i="69"/>
  <c r="C4564" i="69"/>
  <c r="C4565" i="69"/>
  <c r="C4566" i="69"/>
  <c r="C4567" i="69"/>
  <c r="C4568" i="69"/>
  <c r="C4569" i="69"/>
  <c r="C4570" i="69"/>
  <c r="C4571" i="69"/>
  <c r="C4572" i="69"/>
  <c r="C4573" i="69"/>
  <c r="C4574" i="69"/>
  <c r="C4575" i="69"/>
  <c r="C4576" i="69"/>
  <c r="C4577" i="69"/>
  <c r="C4578" i="69"/>
  <c r="C4579" i="69"/>
  <c r="C4580" i="69"/>
  <c r="C4581" i="69"/>
  <c r="C4582" i="69"/>
  <c r="C4583" i="69"/>
  <c r="C4584" i="69"/>
  <c r="C4585" i="69"/>
  <c r="C4586" i="69"/>
  <c r="C4587" i="69"/>
  <c r="C4588" i="69"/>
  <c r="C4589" i="69"/>
  <c r="C4590" i="69"/>
  <c r="C4591" i="69"/>
  <c r="C4592" i="69"/>
  <c r="C4593" i="69"/>
  <c r="C4594" i="69"/>
  <c r="C4595" i="69"/>
  <c r="C4596" i="69"/>
  <c r="C4597" i="69"/>
  <c r="C4598" i="69"/>
  <c r="C4599" i="69"/>
  <c r="C4600" i="69"/>
  <c r="C4601" i="69"/>
  <c r="C4602" i="69"/>
  <c r="C4603" i="69"/>
  <c r="C4604" i="69"/>
  <c r="C4605" i="69"/>
  <c r="C4606" i="69"/>
  <c r="C4607" i="69"/>
  <c r="C4608" i="69"/>
  <c r="C4609" i="69"/>
  <c r="C4610" i="69"/>
  <c r="C4611" i="69"/>
  <c r="C4612" i="69"/>
  <c r="C4613" i="69"/>
  <c r="C4614" i="69"/>
  <c r="C4615" i="69"/>
  <c r="C4616" i="69"/>
  <c r="C4617" i="69"/>
  <c r="C4618" i="69"/>
  <c r="C4619" i="69"/>
  <c r="C4620" i="69"/>
  <c r="C4621" i="69"/>
  <c r="C4622" i="69"/>
  <c r="C4623" i="69"/>
  <c r="C4624" i="69"/>
  <c r="C4625" i="69"/>
  <c r="C4626" i="69"/>
  <c r="C4627" i="69"/>
  <c r="C4628" i="69"/>
  <c r="C4629" i="69"/>
  <c r="C4630" i="69"/>
  <c r="C4631" i="69"/>
  <c r="C4632" i="69"/>
  <c r="C4633" i="69"/>
  <c r="C4634" i="69"/>
  <c r="C4635" i="69"/>
  <c r="C4636" i="69"/>
  <c r="C4637" i="69"/>
  <c r="C4638" i="69"/>
  <c r="C4639" i="69"/>
  <c r="C4640" i="69"/>
  <c r="C4641" i="69"/>
  <c r="C4642" i="69"/>
  <c r="C4643" i="69"/>
  <c r="C4644" i="69"/>
  <c r="C4645" i="69"/>
  <c r="C4646" i="69"/>
  <c r="C4647" i="69"/>
  <c r="C4648" i="69"/>
  <c r="C4649" i="69"/>
  <c r="C4650" i="69"/>
  <c r="C4651" i="69"/>
  <c r="C4652" i="69"/>
  <c r="C4653" i="69"/>
  <c r="C4654" i="69"/>
  <c r="C4655" i="69"/>
  <c r="C4656" i="69"/>
  <c r="C4657" i="69"/>
  <c r="C4658" i="69"/>
  <c r="C4659" i="69"/>
  <c r="C4660" i="69"/>
  <c r="C4661" i="69"/>
  <c r="C4662" i="69"/>
  <c r="C4663" i="69"/>
  <c r="C4664" i="69"/>
  <c r="C4665" i="69"/>
  <c r="C4666" i="69"/>
  <c r="C4667" i="69"/>
  <c r="C4668" i="69"/>
  <c r="C4669" i="69"/>
  <c r="C4670" i="69"/>
  <c r="C4671" i="69"/>
  <c r="C4672" i="69"/>
  <c r="C4673" i="69"/>
  <c r="C4674" i="69"/>
  <c r="C4675" i="69"/>
  <c r="C4676" i="69"/>
  <c r="C4677" i="69"/>
  <c r="C4678" i="69"/>
  <c r="C4679" i="69"/>
  <c r="C4680" i="69"/>
  <c r="C4681" i="69"/>
  <c r="C4682" i="69"/>
  <c r="C4683" i="69"/>
  <c r="C4684" i="69"/>
  <c r="C4685" i="69"/>
  <c r="C4686" i="69"/>
  <c r="C4687" i="69"/>
  <c r="C4688" i="69"/>
  <c r="C4689" i="69"/>
  <c r="C4690" i="69"/>
  <c r="C4691" i="69"/>
  <c r="C4692" i="69"/>
  <c r="C4693" i="69"/>
  <c r="C4694" i="69"/>
  <c r="C4695" i="69"/>
  <c r="C4696" i="69"/>
  <c r="C4697" i="69"/>
  <c r="C4698" i="69"/>
  <c r="C4699" i="69"/>
  <c r="C4700" i="69"/>
  <c r="C4701" i="69"/>
  <c r="C4702" i="69"/>
  <c r="C4703" i="69"/>
  <c r="C4704" i="69"/>
  <c r="C4705" i="69"/>
  <c r="C4706" i="69"/>
  <c r="C4707" i="69"/>
  <c r="C4708" i="69"/>
  <c r="C4709" i="69"/>
  <c r="C4710" i="69"/>
  <c r="C4711" i="69"/>
  <c r="C4712" i="69"/>
  <c r="C4713" i="69"/>
  <c r="C4714" i="69"/>
  <c r="C4715" i="69"/>
  <c r="C4716" i="69"/>
  <c r="C4717" i="69"/>
  <c r="C4718" i="69"/>
  <c r="C4719" i="69"/>
  <c r="C4720" i="69"/>
  <c r="C4721" i="69"/>
  <c r="C4722" i="69"/>
  <c r="C4723" i="69"/>
  <c r="C4724" i="69"/>
  <c r="C4725" i="69"/>
  <c r="C4726" i="69"/>
  <c r="C4727" i="69"/>
  <c r="C4728" i="69"/>
  <c r="C4729" i="69"/>
  <c r="C4730" i="69"/>
  <c r="C4731" i="69"/>
  <c r="C4732" i="69"/>
  <c r="C4733" i="69"/>
  <c r="C4734" i="69"/>
  <c r="C4735" i="69"/>
  <c r="C4736" i="69"/>
  <c r="C4737" i="69"/>
  <c r="C4738" i="69"/>
  <c r="C4739" i="69"/>
  <c r="C4740" i="69"/>
  <c r="C4741" i="69"/>
  <c r="C4742" i="69"/>
  <c r="C4743" i="69"/>
  <c r="C4744" i="69"/>
  <c r="C4745" i="69"/>
  <c r="C4746" i="69"/>
  <c r="C4747" i="69"/>
  <c r="C4748" i="69"/>
  <c r="C4749" i="69"/>
  <c r="C4750" i="69"/>
  <c r="C4751" i="69"/>
  <c r="C4752" i="69"/>
  <c r="C4753" i="69"/>
  <c r="C4754" i="69"/>
  <c r="C4755" i="69"/>
  <c r="C4756" i="69"/>
  <c r="C4757" i="69"/>
  <c r="C4758" i="69"/>
  <c r="C4759" i="69"/>
  <c r="C4760" i="69"/>
  <c r="C4761" i="69"/>
  <c r="C4762" i="69"/>
  <c r="C4763" i="69"/>
  <c r="C4764" i="69"/>
  <c r="C4765" i="69"/>
  <c r="C4766" i="69"/>
  <c r="C4767" i="69"/>
  <c r="C4768" i="69"/>
  <c r="C4769" i="69"/>
  <c r="C4770" i="69"/>
  <c r="C4771" i="69"/>
  <c r="C4772" i="69"/>
  <c r="C4773" i="69"/>
  <c r="C4774" i="69"/>
  <c r="C4775" i="69"/>
  <c r="C4776" i="69"/>
  <c r="C4777" i="69"/>
  <c r="C4778" i="69"/>
  <c r="C4779" i="69"/>
  <c r="C4780" i="69"/>
  <c r="C4781" i="69"/>
  <c r="C4782" i="69"/>
  <c r="C4783" i="69"/>
  <c r="C4784" i="69"/>
  <c r="C4785" i="69"/>
  <c r="C4786" i="69"/>
  <c r="C4787" i="69"/>
  <c r="C4788" i="69"/>
  <c r="C4789" i="69"/>
  <c r="C4790" i="69"/>
  <c r="C4791" i="69"/>
  <c r="C4792" i="69"/>
  <c r="C4793" i="69"/>
  <c r="C4794" i="69"/>
  <c r="C4795" i="69"/>
  <c r="C4796" i="69"/>
  <c r="C4797" i="69"/>
  <c r="C4798" i="69"/>
  <c r="C4799" i="69"/>
  <c r="C4800" i="69"/>
  <c r="C4801" i="69"/>
  <c r="C4802" i="69"/>
  <c r="C4803" i="69"/>
  <c r="C4804" i="69"/>
  <c r="C4805" i="69"/>
  <c r="C4806" i="69"/>
  <c r="C4807" i="69"/>
  <c r="C4808" i="69"/>
  <c r="C4809" i="69"/>
  <c r="C4810" i="69"/>
  <c r="C4811" i="69"/>
  <c r="C4812" i="69"/>
  <c r="C4813" i="69"/>
  <c r="C4814" i="69"/>
  <c r="C4815" i="69"/>
  <c r="C4816" i="69"/>
  <c r="C4817" i="69"/>
  <c r="C4818" i="69"/>
  <c r="C4819" i="69"/>
  <c r="C4820" i="69"/>
  <c r="C4821" i="69"/>
  <c r="C4822" i="69"/>
  <c r="C4823" i="69"/>
  <c r="C4824" i="69"/>
  <c r="C4825" i="69"/>
  <c r="C4826" i="69"/>
  <c r="C4827" i="69"/>
  <c r="C4828" i="69"/>
  <c r="C4829" i="69"/>
  <c r="C4830" i="69"/>
  <c r="C4831" i="69"/>
  <c r="C4832" i="69"/>
  <c r="C4833" i="69"/>
  <c r="C4834" i="69"/>
  <c r="C4835" i="69"/>
  <c r="C4836" i="69"/>
  <c r="C4837" i="69"/>
  <c r="C4838" i="69"/>
  <c r="C4839" i="69"/>
  <c r="C4840" i="69"/>
  <c r="C4841" i="69"/>
  <c r="C4842" i="69"/>
  <c r="C4843" i="69"/>
  <c r="C4844" i="69"/>
  <c r="C4845" i="69"/>
  <c r="C4846" i="69"/>
  <c r="C4847" i="69"/>
  <c r="C4848" i="69"/>
  <c r="C4849" i="69"/>
  <c r="C4850" i="69"/>
  <c r="C4851" i="69"/>
  <c r="C4852" i="69"/>
  <c r="C4853" i="69"/>
  <c r="C4854" i="69"/>
  <c r="C4855" i="69"/>
  <c r="C4856" i="69"/>
  <c r="C4857" i="69"/>
  <c r="C4858" i="69"/>
  <c r="C4859" i="69"/>
  <c r="C4860" i="69"/>
  <c r="C4861" i="69"/>
  <c r="C4862" i="69"/>
  <c r="C4863" i="69"/>
  <c r="C4864" i="69"/>
  <c r="C4865" i="69"/>
  <c r="C4866" i="69"/>
  <c r="C4867" i="69"/>
  <c r="C4868" i="69"/>
  <c r="C4869" i="69"/>
  <c r="C4870" i="69"/>
  <c r="C4871" i="69"/>
  <c r="C4872" i="69"/>
  <c r="C4873" i="69"/>
  <c r="C4874" i="69"/>
  <c r="C4875" i="69"/>
  <c r="C4876" i="69"/>
  <c r="C4877" i="69"/>
  <c r="C4878" i="69"/>
  <c r="C4879" i="69"/>
  <c r="C4880" i="69"/>
  <c r="C4881" i="69"/>
  <c r="C4882" i="69"/>
  <c r="C4883" i="69"/>
  <c r="C4884" i="69"/>
  <c r="C4885" i="69"/>
  <c r="C4886" i="69"/>
  <c r="C4887" i="69"/>
  <c r="C4888" i="69"/>
  <c r="C4889" i="69"/>
  <c r="C4890" i="69"/>
  <c r="C4891" i="69"/>
  <c r="C4892" i="69"/>
  <c r="C4893" i="69"/>
  <c r="C4894" i="69"/>
  <c r="C4895" i="69"/>
  <c r="C4896" i="69"/>
  <c r="C4897" i="69"/>
  <c r="C4898" i="69"/>
  <c r="C4899" i="69"/>
  <c r="C4900" i="69"/>
  <c r="C4901" i="69"/>
  <c r="C4902" i="69"/>
  <c r="C4903" i="69"/>
  <c r="C4904" i="69"/>
  <c r="C4905" i="69"/>
  <c r="C4906" i="69"/>
  <c r="C4907" i="69"/>
  <c r="C4908" i="69"/>
  <c r="C4909" i="69"/>
  <c r="C4910" i="69"/>
  <c r="C4911" i="69"/>
  <c r="C4912" i="69"/>
  <c r="C4913" i="69"/>
  <c r="C4914" i="69"/>
  <c r="C4915" i="69"/>
  <c r="C4916" i="69"/>
  <c r="C4917" i="69"/>
  <c r="C4918" i="69"/>
  <c r="C4919" i="69"/>
  <c r="C4920" i="69"/>
  <c r="C4921" i="69"/>
  <c r="C4922" i="69"/>
  <c r="C4923" i="69"/>
  <c r="C4924" i="69"/>
  <c r="C4925" i="69"/>
  <c r="C4926" i="69"/>
  <c r="C4927" i="69"/>
  <c r="C4928" i="69"/>
  <c r="C4929" i="69"/>
  <c r="C4930" i="69"/>
  <c r="C4931" i="69"/>
  <c r="C4932" i="69"/>
  <c r="C4933" i="69"/>
  <c r="C4934" i="69"/>
  <c r="C4935" i="69"/>
  <c r="C4936" i="69"/>
  <c r="C4937" i="69"/>
  <c r="C4938" i="69"/>
  <c r="C4939" i="69"/>
  <c r="C4940" i="69"/>
  <c r="C4941" i="69"/>
  <c r="C4942" i="69"/>
  <c r="C4943" i="69"/>
  <c r="C4944" i="69"/>
  <c r="C4945" i="69"/>
  <c r="C4946" i="69"/>
  <c r="C4947" i="69"/>
  <c r="C4948" i="69"/>
  <c r="C4949" i="69"/>
  <c r="C4950" i="69"/>
  <c r="C4951" i="69"/>
  <c r="C4952" i="69"/>
  <c r="C4953" i="69"/>
  <c r="C4954" i="69"/>
  <c r="C4955" i="69"/>
  <c r="C4956" i="69"/>
  <c r="C4957" i="69"/>
  <c r="C4958" i="69"/>
  <c r="C4959" i="69"/>
  <c r="C4960" i="69"/>
  <c r="C4961" i="69"/>
  <c r="C4962" i="69"/>
  <c r="C4963" i="69"/>
  <c r="C4964" i="69"/>
  <c r="C4965" i="69"/>
  <c r="C4966" i="69"/>
  <c r="C4967" i="69"/>
  <c r="C4968" i="69"/>
  <c r="C4969" i="69"/>
  <c r="C4970" i="69"/>
  <c r="C4971" i="69"/>
  <c r="C4972" i="69"/>
  <c r="C4973" i="69"/>
  <c r="C4974" i="69"/>
  <c r="C4975" i="69"/>
  <c r="C4976" i="69"/>
  <c r="C4977" i="69"/>
  <c r="C4978" i="69"/>
  <c r="C4979" i="69"/>
  <c r="C4980" i="69"/>
  <c r="C4981" i="69"/>
  <c r="C4982" i="69"/>
  <c r="C4983" i="69"/>
  <c r="C4984" i="69"/>
  <c r="C4985" i="69"/>
  <c r="C4986" i="69"/>
  <c r="C4987" i="69"/>
  <c r="C4988" i="69"/>
  <c r="C4989" i="69"/>
  <c r="C4990" i="69"/>
  <c r="C4991" i="69"/>
  <c r="C4992" i="69"/>
  <c r="C4993" i="69"/>
  <c r="C4994" i="69"/>
  <c r="C4995" i="69"/>
  <c r="C4996" i="69"/>
  <c r="C4997" i="69"/>
  <c r="C4998" i="69"/>
  <c r="C4999" i="69"/>
  <c r="C5000" i="69"/>
  <c r="C5001" i="69"/>
  <c r="C5002" i="69"/>
  <c r="C5003" i="69"/>
  <c r="C5004" i="69"/>
  <c r="C5005" i="69"/>
  <c r="C5006" i="69"/>
  <c r="C5007" i="69"/>
  <c r="C5008" i="69"/>
  <c r="C5009" i="69"/>
  <c r="C5010" i="69"/>
  <c r="C5011" i="69"/>
  <c r="C5012" i="69"/>
  <c r="C5013" i="69"/>
  <c r="C5014" i="69"/>
  <c r="C5015" i="69"/>
  <c r="C5016" i="69"/>
  <c r="C5017" i="69"/>
  <c r="C5018" i="69"/>
  <c r="C5019" i="69"/>
  <c r="C5020" i="69"/>
  <c r="C5021" i="69"/>
  <c r="C5022" i="69"/>
  <c r="C5023" i="69"/>
  <c r="C5024" i="69"/>
  <c r="C5025" i="69"/>
  <c r="C5026" i="69"/>
  <c r="C5027" i="69"/>
  <c r="C5028" i="69"/>
  <c r="C5029" i="69"/>
  <c r="C5030" i="69"/>
  <c r="C5031" i="69"/>
  <c r="C5032" i="69"/>
  <c r="C5033" i="69"/>
  <c r="C5034" i="69"/>
  <c r="C5035" i="69"/>
  <c r="C5036" i="69"/>
  <c r="C5037" i="69"/>
  <c r="C5038" i="69"/>
  <c r="C5039" i="69"/>
  <c r="C5040" i="69"/>
  <c r="C5041" i="69"/>
  <c r="C5042" i="69"/>
  <c r="C5043" i="69"/>
  <c r="C5044" i="69"/>
  <c r="C5045" i="69"/>
  <c r="C5046" i="69"/>
  <c r="C5047" i="69"/>
  <c r="C5048" i="69"/>
  <c r="C5049" i="69"/>
  <c r="C5050" i="69"/>
  <c r="C5051" i="69"/>
  <c r="C5052" i="69"/>
  <c r="C5053" i="69"/>
  <c r="C5054" i="69"/>
  <c r="C5055" i="69"/>
  <c r="C5056" i="69"/>
  <c r="C5057" i="69"/>
  <c r="C5058" i="69"/>
  <c r="C5059" i="69"/>
  <c r="C5060" i="69"/>
  <c r="C5061" i="69"/>
  <c r="C5062" i="69"/>
  <c r="C5063" i="69"/>
  <c r="C5064" i="69"/>
  <c r="C5065" i="69"/>
  <c r="C5066" i="69"/>
  <c r="C5067" i="69"/>
  <c r="C5068" i="69"/>
  <c r="C5069" i="69"/>
  <c r="C5070" i="69"/>
  <c r="C5071" i="69"/>
  <c r="C5072" i="69"/>
  <c r="C5073" i="69"/>
  <c r="C5074" i="69"/>
  <c r="C5075" i="69"/>
  <c r="C5076" i="69"/>
  <c r="C5077" i="69"/>
  <c r="C5078" i="69"/>
  <c r="C5079" i="69"/>
  <c r="C5080" i="69"/>
  <c r="C5081" i="69"/>
  <c r="C5082" i="69"/>
  <c r="C5083" i="69"/>
  <c r="C5084" i="69"/>
  <c r="C5085" i="69"/>
  <c r="C5086" i="69"/>
  <c r="C5087" i="69"/>
  <c r="C5088" i="69"/>
  <c r="C5089" i="69"/>
  <c r="C5090" i="69"/>
  <c r="C5091" i="69"/>
  <c r="C5092" i="69"/>
  <c r="C5093" i="69"/>
  <c r="C5094" i="69"/>
  <c r="C5095" i="69"/>
  <c r="C5096" i="69"/>
  <c r="C5097" i="69"/>
  <c r="C5098" i="69"/>
  <c r="C5099" i="69"/>
  <c r="C5100" i="69"/>
  <c r="C5101" i="69"/>
  <c r="C5102" i="69"/>
  <c r="C5103" i="69"/>
  <c r="C5104" i="69"/>
  <c r="C5105" i="69"/>
  <c r="C5106" i="69"/>
  <c r="C5107" i="69"/>
  <c r="C5108" i="69"/>
  <c r="C5109" i="69"/>
  <c r="C5110" i="69"/>
  <c r="C5111" i="69"/>
  <c r="C5112" i="69"/>
  <c r="C5113" i="69"/>
  <c r="C5114" i="69"/>
  <c r="C5115" i="69"/>
  <c r="C5116" i="69"/>
  <c r="C5117" i="69"/>
  <c r="C5118" i="69"/>
  <c r="C5119" i="69"/>
  <c r="C5120" i="69"/>
  <c r="C5121" i="69"/>
  <c r="C5122" i="69"/>
  <c r="C5123" i="69"/>
  <c r="C5124" i="69"/>
  <c r="C5125" i="69"/>
  <c r="C5126" i="69"/>
  <c r="C5127" i="69"/>
  <c r="C5128" i="69"/>
  <c r="C5129" i="69"/>
  <c r="C5130" i="69"/>
  <c r="C5131" i="69"/>
  <c r="C5132" i="69"/>
  <c r="C5133" i="69"/>
  <c r="C5134" i="69"/>
  <c r="C5135" i="69"/>
  <c r="C5136" i="69"/>
  <c r="C5137" i="69"/>
  <c r="C5138" i="69"/>
  <c r="C5139" i="69"/>
  <c r="C5140" i="69"/>
  <c r="C5141" i="69"/>
  <c r="C5142" i="69"/>
  <c r="C5143" i="69"/>
  <c r="C5144" i="69"/>
  <c r="C5145" i="69"/>
  <c r="C5146" i="69"/>
  <c r="C5147" i="69"/>
  <c r="C5148" i="69"/>
  <c r="C5149" i="69"/>
  <c r="C5150" i="69"/>
  <c r="C5151" i="69"/>
  <c r="C5152" i="69"/>
  <c r="C5153" i="69"/>
  <c r="C5154" i="69"/>
  <c r="C5155" i="69"/>
  <c r="C5156" i="69"/>
  <c r="C5157" i="69"/>
  <c r="C5158" i="69"/>
  <c r="C5159" i="69"/>
  <c r="C5160" i="69"/>
  <c r="C5161" i="69"/>
  <c r="C5162" i="69"/>
  <c r="C5163" i="69"/>
  <c r="C5164" i="69"/>
  <c r="C5165" i="69"/>
  <c r="C5166" i="69"/>
  <c r="C5167" i="69"/>
  <c r="C5168" i="69"/>
  <c r="C5169" i="69"/>
  <c r="C5170" i="69"/>
  <c r="C5171" i="69"/>
  <c r="C5172" i="69"/>
  <c r="C5173" i="69"/>
  <c r="C5174" i="69"/>
  <c r="C5175" i="69"/>
  <c r="C5176" i="69"/>
  <c r="C5177" i="69"/>
  <c r="C5178" i="69"/>
  <c r="C5179" i="69"/>
  <c r="C5180" i="69"/>
  <c r="C5181" i="69"/>
  <c r="C5182" i="69"/>
  <c r="C5183" i="69"/>
  <c r="C5184" i="69"/>
  <c r="C5185" i="69"/>
  <c r="C5186" i="69"/>
  <c r="C5187" i="69"/>
  <c r="C5188" i="69"/>
  <c r="C5189" i="69"/>
  <c r="C5190" i="69"/>
  <c r="C5191" i="69"/>
  <c r="C5192" i="69"/>
  <c r="C5193" i="69"/>
  <c r="C5194" i="69"/>
  <c r="C5195" i="69"/>
  <c r="C5196" i="69"/>
  <c r="C5197" i="69"/>
  <c r="C5198" i="69"/>
  <c r="C5199" i="69"/>
  <c r="C5200" i="69"/>
  <c r="C5201" i="69"/>
  <c r="C5202" i="69"/>
  <c r="C5203" i="69"/>
  <c r="C5204" i="69"/>
  <c r="C5205" i="69"/>
  <c r="C5206" i="69"/>
  <c r="C5207" i="69"/>
  <c r="C5208" i="69"/>
  <c r="C5209" i="69"/>
  <c r="C5210" i="69"/>
  <c r="C5211" i="69"/>
  <c r="C5212" i="69"/>
  <c r="C5213" i="69"/>
  <c r="C5214" i="69"/>
  <c r="C5215" i="69"/>
  <c r="C5216" i="69"/>
  <c r="C5217" i="69"/>
  <c r="C5218" i="69"/>
  <c r="C5219" i="69"/>
  <c r="C5220" i="69"/>
  <c r="C5221" i="69"/>
  <c r="C5222" i="69"/>
  <c r="C5223" i="69"/>
  <c r="C5224" i="69"/>
  <c r="C5225" i="69"/>
  <c r="C5226" i="69"/>
  <c r="C5227" i="69"/>
  <c r="C5228" i="69"/>
  <c r="C5229" i="69"/>
  <c r="C5230" i="69"/>
  <c r="C5231" i="69"/>
  <c r="C5232" i="69"/>
  <c r="C5233" i="69"/>
  <c r="C5234" i="69"/>
  <c r="C5235" i="69"/>
  <c r="C5236" i="69"/>
  <c r="C5237" i="69"/>
  <c r="C5238" i="69"/>
  <c r="C5239" i="69"/>
  <c r="C5240" i="69"/>
  <c r="C5241" i="69"/>
  <c r="C5242" i="69"/>
  <c r="C5243" i="69"/>
  <c r="C5244" i="69"/>
  <c r="C5245" i="69"/>
  <c r="C5246" i="69"/>
  <c r="C5247" i="69"/>
  <c r="C5248" i="69"/>
  <c r="C5249" i="69"/>
  <c r="C5250" i="69"/>
  <c r="C5251" i="69"/>
  <c r="C5252" i="69"/>
  <c r="C5253" i="69"/>
  <c r="C5254" i="69"/>
  <c r="C5255" i="69"/>
  <c r="C5256" i="69"/>
  <c r="C5257" i="69"/>
  <c r="C5258" i="69"/>
  <c r="C5259" i="69"/>
  <c r="C5260" i="69"/>
  <c r="C5261" i="69"/>
  <c r="C5262" i="69"/>
  <c r="C5263" i="69"/>
  <c r="C5264" i="69"/>
  <c r="C5265" i="69"/>
  <c r="C5266" i="69"/>
  <c r="C5267" i="69"/>
  <c r="C5268" i="69"/>
  <c r="C5269" i="69"/>
  <c r="C5270" i="69"/>
  <c r="C5271" i="69"/>
  <c r="C5272" i="69"/>
  <c r="C5273" i="69"/>
  <c r="C5274" i="69"/>
  <c r="C5275" i="69"/>
  <c r="C5276" i="69"/>
  <c r="C5277" i="69"/>
  <c r="C5278" i="69"/>
  <c r="C5279" i="69"/>
  <c r="C5280" i="69"/>
  <c r="C5281" i="69"/>
  <c r="C5282" i="69"/>
  <c r="C5283" i="69"/>
  <c r="C5284" i="69"/>
  <c r="C5285" i="69"/>
  <c r="C5286" i="69"/>
  <c r="C5287" i="69"/>
  <c r="C5288" i="69"/>
  <c r="C5289" i="69"/>
  <c r="C5290" i="69"/>
  <c r="C5291" i="69"/>
  <c r="C5292" i="69"/>
  <c r="C5293" i="69"/>
  <c r="C5294" i="69"/>
  <c r="C5295" i="69"/>
  <c r="C5296" i="69"/>
  <c r="C5297" i="69"/>
  <c r="C5298" i="69"/>
  <c r="C5299" i="69"/>
  <c r="C5300" i="69"/>
  <c r="C5301" i="69"/>
  <c r="C5302" i="69"/>
  <c r="C5303" i="69"/>
  <c r="C5304" i="69"/>
  <c r="C5305" i="69"/>
  <c r="C5306" i="69"/>
  <c r="C5307" i="69"/>
  <c r="C5308" i="69"/>
  <c r="C5309" i="69"/>
  <c r="C5310" i="69"/>
  <c r="C5311" i="69"/>
  <c r="C5312" i="69"/>
  <c r="C5313" i="69"/>
  <c r="C5314" i="69"/>
  <c r="C5315" i="69"/>
  <c r="C5316" i="69"/>
  <c r="C5317" i="69"/>
  <c r="C5318" i="69"/>
  <c r="C5319" i="69"/>
  <c r="C5320" i="69"/>
  <c r="C5321" i="69"/>
  <c r="C5322" i="69"/>
  <c r="C5323" i="69"/>
  <c r="C5324" i="69"/>
  <c r="C5325" i="69"/>
  <c r="C5326" i="69"/>
  <c r="C5327" i="69"/>
  <c r="C5328" i="69"/>
  <c r="C5329" i="69"/>
  <c r="C5330" i="69"/>
  <c r="C5331" i="69"/>
  <c r="C5332" i="69"/>
  <c r="C5333" i="69"/>
  <c r="C5334" i="69"/>
  <c r="C5335" i="69"/>
  <c r="C5336" i="69"/>
  <c r="C5337" i="69"/>
  <c r="C5338" i="69"/>
  <c r="C5339" i="69"/>
  <c r="C5340" i="69"/>
  <c r="C5341" i="69"/>
  <c r="C5342" i="69"/>
  <c r="C5343" i="69"/>
  <c r="C5344" i="69"/>
  <c r="C5345" i="69"/>
  <c r="C5346" i="69"/>
  <c r="C5347" i="69"/>
  <c r="C5348" i="69"/>
  <c r="C5349" i="69"/>
  <c r="C5350" i="69"/>
  <c r="C5351" i="69"/>
  <c r="C5352" i="69"/>
  <c r="C5353" i="69"/>
  <c r="C5354" i="69"/>
  <c r="C5355" i="69"/>
  <c r="C5356" i="69"/>
  <c r="C5357" i="69"/>
  <c r="C5358" i="69"/>
  <c r="C5359" i="69"/>
  <c r="C5360" i="69"/>
  <c r="C5361" i="69"/>
  <c r="C5362" i="69"/>
  <c r="C5363" i="69"/>
  <c r="C5364" i="69"/>
  <c r="C5365" i="69"/>
  <c r="C5366" i="69"/>
  <c r="C5367" i="69"/>
  <c r="C5368" i="69"/>
  <c r="C5369" i="69"/>
  <c r="C5370" i="69"/>
  <c r="C5371" i="69"/>
  <c r="C5372" i="69"/>
  <c r="C5373" i="69"/>
  <c r="C5374" i="69"/>
  <c r="C5375" i="69"/>
  <c r="C5376" i="69"/>
  <c r="C5377" i="69"/>
  <c r="C5378" i="69"/>
  <c r="C5379" i="69"/>
  <c r="C5380" i="69"/>
  <c r="C5381" i="69"/>
  <c r="C5382" i="69"/>
  <c r="C5383" i="69"/>
  <c r="C5384" i="69"/>
  <c r="C5385" i="69"/>
  <c r="C5386" i="69"/>
  <c r="C5387" i="69"/>
  <c r="C5388" i="69"/>
  <c r="C5389" i="69"/>
  <c r="C5390" i="69"/>
  <c r="C5391" i="69"/>
  <c r="C5392" i="69"/>
  <c r="C5393" i="69"/>
  <c r="C5394" i="69"/>
  <c r="C5395" i="69"/>
  <c r="C5396" i="69"/>
  <c r="C5397" i="69"/>
  <c r="C5398" i="69"/>
  <c r="C5399" i="69"/>
  <c r="C5400" i="69"/>
  <c r="C5401" i="69"/>
  <c r="C5402" i="69"/>
  <c r="C5403" i="69"/>
  <c r="C5404" i="69"/>
  <c r="C5405" i="69"/>
  <c r="C5406" i="69"/>
  <c r="C5407" i="69"/>
  <c r="C5408" i="69"/>
  <c r="C5409" i="69"/>
  <c r="C5410" i="69"/>
  <c r="C5411" i="69"/>
  <c r="C5412" i="69"/>
  <c r="C5413" i="69"/>
  <c r="C5414" i="69"/>
  <c r="C5415" i="69"/>
  <c r="C5416" i="69"/>
  <c r="C5417" i="69"/>
  <c r="C5418" i="69"/>
  <c r="C5419" i="69"/>
  <c r="C5420" i="69"/>
  <c r="C5421" i="69"/>
  <c r="C5422" i="69"/>
  <c r="C5423" i="69"/>
  <c r="C5424" i="69"/>
  <c r="C5425" i="69"/>
  <c r="C5426" i="69"/>
  <c r="C5427" i="69"/>
  <c r="C5428" i="69"/>
  <c r="C5429" i="69"/>
  <c r="C5430" i="69"/>
  <c r="C5431" i="69"/>
  <c r="C5432" i="69"/>
  <c r="C5433" i="69"/>
  <c r="C5434" i="69"/>
  <c r="C5435" i="69"/>
  <c r="C5436" i="69"/>
  <c r="C5437" i="69"/>
  <c r="C5438" i="69"/>
  <c r="C5439" i="69"/>
  <c r="C5440" i="69"/>
  <c r="C5441" i="69"/>
  <c r="C5442" i="69"/>
  <c r="C5443" i="69"/>
  <c r="C5444" i="69"/>
  <c r="C5445" i="69"/>
  <c r="C5446" i="69"/>
  <c r="C5447" i="69"/>
  <c r="C5448" i="69"/>
  <c r="C5449" i="69"/>
  <c r="C5450" i="69"/>
  <c r="C5451" i="69"/>
  <c r="C5452" i="69"/>
  <c r="C5453" i="69"/>
  <c r="C5454" i="69"/>
  <c r="C5455" i="69"/>
  <c r="C5456" i="69"/>
  <c r="C5457" i="69"/>
  <c r="C5458" i="69"/>
  <c r="C5459" i="69"/>
  <c r="C5460" i="69"/>
  <c r="C5461" i="69"/>
  <c r="C5462" i="69"/>
  <c r="C5463" i="69"/>
  <c r="C5464" i="69"/>
  <c r="C5465" i="69"/>
  <c r="C5466" i="69"/>
  <c r="C5467" i="69"/>
  <c r="C5468" i="69"/>
  <c r="C5469" i="69"/>
  <c r="C5470" i="69"/>
  <c r="C5471" i="69"/>
  <c r="C5472" i="69"/>
  <c r="C5473" i="69"/>
  <c r="C5474" i="69"/>
  <c r="C5475" i="69"/>
  <c r="C5476" i="69"/>
  <c r="C5477" i="69"/>
  <c r="C5478" i="69"/>
  <c r="C5479" i="69"/>
  <c r="C5480" i="69"/>
  <c r="C5481" i="69"/>
  <c r="C5482" i="69"/>
  <c r="C5483" i="69"/>
  <c r="C5484" i="69"/>
  <c r="C5485" i="69"/>
  <c r="C5486" i="69"/>
  <c r="C5487" i="69"/>
  <c r="C5488" i="69"/>
  <c r="C5489" i="69"/>
  <c r="C5490" i="69"/>
  <c r="C5491" i="69"/>
  <c r="C5492" i="69"/>
  <c r="C5493" i="69"/>
  <c r="C5494" i="69"/>
  <c r="C5495" i="69"/>
  <c r="C5496" i="69"/>
  <c r="C5497" i="69"/>
  <c r="C5498" i="69"/>
  <c r="C5499" i="69"/>
  <c r="C5500" i="69"/>
  <c r="C5501" i="69"/>
  <c r="C5502" i="69"/>
  <c r="C5503" i="69"/>
  <c r="C5504" i="69"/>
  <c r="C5505" i="69"/>
  <c r="C5506" i="69"/>
  <c r="C5507" i="69"/>
  <c r="C5508" i="69"/>
  <c r="C5509" i="69"/>
  <c r="C5510" i="69"/>
  <c r="C5511" i="69"/>
  <c r="C5512" i="69"/>
  <c r="C5513" i="69"/>
  <c r="C5514" i="69"/>
  <c r="C5515" i="69"/>
  <c r="C5516" i="69"/>
  <c r="C5517" i="69"/>
  <c r="C5518" i="69"/>
  <c r="C5519" i="69"/>
  <c r="C5520" i="69"/>
  <c r="C5521" i="69"/>
  <c r="C5522" i="69"/>
  <c r="C5523" i="69"/>
  <c r="C5524" i="69"/>
  <c r="C5525" i="69"/>
  <c r="C5526" i="69"/>
  <c r="C5527" i="69"/>
  <c r="C5528" i="69"/>
  <c r="C5529" i="69"/>
  <c r="C5530" i="69"/>
  <c r="C5531" i="69"/>
  <c r="C5532" i="69"/>
  <c r="C5533" i="69"/>
  <c r="C5534" i="69"/>
  <c r="C5535" i="69"/>
  <c r="C5536" i="69"/>
  <c r="C5537" i="69"/>
  <c r="C5538" i="69"/>
  <c r="C5539" i="69"/>
  <c r="C5540" i="69"/>
  <c r="C5541" i="69"/>
  <c r="C5542" i="69"/>
  <c r="C5543" i="69"/>
  <c r="C5544" i="69"/>
  <c r="C5545" i="69"/>
  <c r="C5546" i="69"/>
  <c r="C5547" i="69"/>
  <c r="C5548" i="69"/>
  <c r="C5549" i="69"/>
  <c r="C5550" i="69"/>
  <c r="C5551" i="69"/>
  <c r="C5552" i="69"/>
  <c r="C5553" i="69"/>
  <c r="C5554" i="69"/>
  <c r="C5555" i="69"/>
  <c r="C5556" i="69"/>
  <c r="C5557" i="69"/>
  <c r="C5558" i="69"/>
  <c r="C5559" i="69"/>
  <c r="C5560" i="69"/>
  <c r="C5561" i="69"/>
  <c r="C5562" i="69"/>
  <c r="C5563" i="69"/>
  <c r="C5564" i="69"/>
  <c r="C5565" i="69"/>
  <c r="C5566" i="69"/>
  <c r="C5567" i="69"/>
  <c r="C5568" i="69"/>
  <c r="C5569" i="69"/>
  <c r="C5570" i="69"/>
  <c r="C5571" i="69"/>
  <c r="C5572" i="69"/>
  <c r="C5573" i="69"/>
  <c r="C5574" i="69"/>
  <c r="C5575" i="69"/>
  <c r="C5576" i="69"/>
  <c r="C5577" i="69"/>
  <c r="C5578" i="69"/>
  <c r="C5579" i="69"/>
  <c r="C5580" i="69"/>
  <c r="C5581" i="69"/>
  <c r="C5582" i="69"/>
  <c r="C5583" i="69"/>
  <c r="C5584" i="69"/>
  <c r="C5585" i="69"/>
  <c r="C5586" i="69"/>
  <c r="C5587" i="69"/>
  <c r="C5588" i="69"/>
  <c r="C5589" i="69"/>
  <c r="C5590" i="69"/>
  <c r="C5591" i="69"/>
  <c r="C5592" i="69"/>
  <c r="C5593" i="69"/>
  <c r="C5594" i="69"/>
  <c r="C5595" i="69"/>
  <c r="C5596" i="69"/>
  <c r="C5597" i="69"/>
  <c r="C5598" i="69"/>
  <c r="C5599" i="69"/>
  <c r="C5600" i="69"/>
  <c r="C5601" i="69"/>
  <c r="C5602" i="69"/>
  <c r="C5603" i="69"/>
  <c r="C5604" i="69"/>
  <c r="C5605" i="69"/>
  <c r="C5606" i="69"/>
  <c r="C5607" i="69"/>
  <c r="C5608" i="69"/>
  <c r="C5609" i="69"/>
  <c r="C5610" i="69"/>
  <c r="C5611" i="69"/>
  <c r="C5612" i="69"/>
  <c r="C5613" i="69"/>
  <c r="C5614" i="69"/>
  <c r="C5615" i="69"/>
  <c r="C5616" i="69"/>
  <c r="C5617" i="69"/>
  <c r="C5618" i="69"/>
  <c r="C5619" i="69"/>
  <c r="C5620" i="69"/>
  <c r="C5621" i="69"/>
  <c r="C5622" i="69"/>
  <c r="C5623" i="69"/>
  <c r="C5624" i="69"/>
  <c r="C5625" i="69"/>
  <c r="C5626" i="69"/>
  <c r="C5627" i="69"/>
  <c r="C5628" i="69"/>
  <c r="C5629" i="69"/>
  <c r="C5630" i="69"/>
  <c r="C5631" i="69"/>
  <c r="C5632" i="69"/>
  <c r="C5633" i="69"/>
  <c r="C5634" i="69"/>
  <c r="C5635" i="69"/>
  <c r="C5636" i="69"/>
  <c r="C5637" i="69"/>
  <c r="C5638" i="69"/>
  <c r="C5639" i="69"/>
  <c r="C5640" i="69"/>
  <c r="C5641" i="69"/>
  <c r="C5642" i="69"/>
  <c r="C5643" i="69"/>
  <c r="C5644" i="69"/>
  <c r="C5645" i="69"/>
  <c r="C5646" i="69"/>
  <c r="C5647" i="69"/>
  <c r="C5648" i="69"/>
  <c r="C5649" i="69"/>
  <c r="C5650" i="69"/>
  <c r="C5651" i="69"/>
  <c r="C5652" i="69"/>
  <c r="C5653" i="69"/>
  <c r="C5654" i="69"/>
  <c r="C5655" i="69"/>
  <c r="C5656" i="69"/>
  <c r="C5657" i="69"/>
  <c r="C5658" i="69"/>
  <c r="C5659" i="69"/>
  <c r="C5660" i="69"/>
  <c r="C5661" i="69"/>
  <c r="C5662" i="69"/>
  <c r="C5663" i="69"/>
  <c r="C5664" i="69"/>
  <c r="C5665" i="69"/>
  <c r="C5666" i="69"/>
  <c r="C5667" i="69"/>
  <c r="C5668" i="69"/>
  <c r="C5669" i="69"/>
  <c r="C5670" i="69"/>
  <c r="C5671" i="69"/>
  <c r="C5672" i="69"/>
  <c r="C5673" i="69"/>
  <c r="C5674" i="69"/>
  <c r="C5675" i="69"/>
  <c r="C5676" i="69"/>
  <c r="C5677" i="69"/>
  <c r="C5678" i="69"/>
  <c r="C5679" i="69"/>
  <c r="C5680" i="69"/>
  <c r="C5681" i="69"/>
  <c r="C5682" i="69"/>
  <c r="C5683" i="69"/>
  <c r="C5684" i="69"/>
  <c r="C5685" i="69"/>
  <c r="C5686" i="69"/>
  <c r="C5687" i="69"/>
  <c r="C5688" i="69"/>
  <c r="C5689" i="69"/>
  <c r="C5690" i="69"/>
  <c r="C5691" i="69"/>
  <c r="C5692" i="69"/>
  <c r="C5693" i="69"/>
  <c r="C5694" i="69"/>
  <c r="C5695" i="69"/>
  <c r="C5696" i="69"/>
  <c r="C5697" i="69"/>
  <c r="C5698" i="69"/>
  <c r="C5699" i="69"/>
  <c r="C5700" i="69"/>
  <c r="C5701" i="69"/>
  <c r="C5702" i="69"/>
  <c r="C5703" i="69"/>
  <c r="C5704" i="69"/>
  <c r="C5705" i="69"/>
  <c r="C5706" i="69"/>
  <c r="C5707" i="69"/>
  <c r="C5708" i="69"/>
  <c r="C5709" i="69"/>
  <c r="C5710" i="69"/>
  <c r="C5711" i="69"/>
  <c r="C5712" i="69"/>
  <c r="C5713" i="69"/>
  <c r="C5714" i="69"/>
  <c r="C5715" i="69"/>
  <c r="C5716" i="69"/>
  <c r="C5717" i="69"/>
  <c r="C5718" i="69"/>
  <c r="C5719" i="69"/>
  <c r="C5720" i="69"/>
  <c r="C5721" i="69"/>
  <c r="C5722" i="69"/>
  <c r="C5723" i="69"/>
  <c r="C5724" i="69"/>
  <c r="C5725" i="69"/>
  <c r="C5726" i="69"/>
  <c r="C5727" i="69"/>
  <c r="C5728" i="69"/>
  <c r="C5729" i="69"/>
  <c r="C5730" i="69"/>
  <c r="C5731" i="69"/>
  <c r="C5732" i="69"/>
  <c r="C5733" i="69"/>
  <c r="C5734" i="69"/>
  <c r="C5735" i="69"/>
  <c r="C5736" i="69"/>
  <c r="C5737" i="69"/>
  <c r="C5738" i="69"/>
  <c r="C5739" i="69"/>
  <c r="C5740" i="69"/>
  <c r="C5741" i="69"/>
  <c r="C5742" i="69"/>
  <c r="C5743" i="69"/>
  <c r="C5744" i="69"/>
  <c r="C5745" i="69"/>
  <c r="C5746" i="69"/>
  <c r="C5747" i="69"/>
  <c r="C5748" i="69"/>
  <c r="C5749" i="69"/>
  <c r="C5750" i="69"/>
  <c r="C5751" i="69"/>
  <c r="C5752" i="69"/>
  <c r="C5753" i="69"/>
  <c r="C5754" i="69"/>
  <c r="C5755" i="69"/>
  <c r="C5756" i="69"/>
  <c r="C5757" i="69"/>
  <c r="C5758" i="69"/>
  <c r="C5759" i="69"/>
  <c r="C5760" i="69"/>
  <c r="C5761" i="69"/>
  <c r="C5762" i="69"/>
  <c r="C5763" i="69"/>
  <c r="C5764" i="69"/>
  <c r="C5765" i="69"/>
  <c r="C5766" i="69"/>
  <c r="C5767" i="69"/>
  <c r="C5768" i="69"/>
  <c r="C5769" i="69"/>
  <c r="C5770" i="69"/>
  <c r="C5771" i="69"/>
  <c r="C5772" i="69"/>
  <c r="C5773" i="69"/>
  <c r="C5774" i="69"/>
  <c r="C5775" i="69"/>
  <c r="C5776" i="69"/>
  <c r="C5777" i="69"/>
  <c r="C5778" i="69"/>
  <c r="C5779" i="69"/>
  <c r="C5780" i="69"/>
  <c r="C5781" i="69"/>
  <c r="C5782" i="69"/>
  <c r="C5783" i="69"/>
  <c r="C5784" i="69"/>
  <c r="C5785" i="69"/>
  <c r="C5786" i="69"/>
  <c r="C5787" i="69"/>
  <c r="C5788" i="69"/>
  <c r="C5789" i="69"/>
  <c r="C5790" i="69"/>
  <c r="C5791" i="69"/>
  <c r="C5792" i="69"/>
  <c r="C5793" i="69"/>
  <c r="C5794" i="69"/>
  <c r="C5795" i="69"/>
  <c r="C5796" i="69"/>
  <c r="C5797" i="69"/>
  <c r="C5798" i="69"/>
  <c r="C5799" i="69"/>
  <c r="C5800" i="69"/>
  <c r="C5801" i="69"/>
  <c r="C5802" i="69"/>
  <c r="C5803" i="69"/>
  <c r="C5804" i="69"/>
  <c r="C5805" i="69"/>
  <c r="C5806" i="69"/>
  <c r="C5807" i="69"/>
  <c r="C5808" i="69"/>
  <c r="C5809" i="69"/>
  <c r="C5810" i="69"/>
  <c r="C5811" i="69"/>
  <c r="C5812" i="69"/>
  <c r="C5813" i="69"/>
  <c r="C5814" i="69"/>
  <c r="C5815" i="69"/>
  <c r="C5816" i="69"/>
  <c r="C5817" i="69"/>
  <c r="C5818" i="69"/>
  <c r="C5819" i="69"/>
  <c r="C5820" i="69"/>
  <c r="C5821" i="69"/>
  <c r="C5822" i="69"/>
  <c r="C5823" i="69"/>
  <c r="C5824" i="69"/>
  <c r="C5825" i="69"/>
  <c r="C5826" i="69"/>
  <c r="C5827" i="69"/>
  <c r="C5828" i="69"/>
  <c r="C5829" i="69"/>
  <c r="C5830" i="69"/>
  <c r="C5831" i="69"/>
  <c r="C5832" i="69"/>
  <c r="C5833" i="69"/>
  <c r="C5834" i="69"/>
  <c r="C5835" i="69"/>
  <c r="C5836" i="69"/>
  <c r="C5837" i="69"/>
  <c r="C5838" i="69"/>
  <c r="C5839" i="69"/>
  <c r="C5840" i="69"/>
  <c r="C5841" i="69"/>
  <c r="C5842" i="69"/>
  <c r="C5843" i="69"/>
  <c r="C5844" i="69"/>
  <c r="C5845" i="69"/>
  <c r="C5846" i="69"/>
  <c r="C5847" i="69"/>
  <c r="C5848" i="69"/>
  <c r="C5849" i="69"/>
  <c r="C5850" i="69"/>
  <c r="C5851" i="69"/>
  <c r="C5852" i="69"/>
  <c r="C5853" i="69"/>
  <c r="C5854" i="69"/>
  <c r="C5855" i="69"/>
  <c r="C5856" i="69"/>
  <c r="C5857" i="69"/>
  <c r="C5858" i="69"/>
  <c r="C5859" i="69"/>
  <c r="C5860" i="69"/>
  <c r="C5861" i="69"/>
  <c r="C5862" i="69"/>
  <c r="C5863" i="69"/>
  <c r="C5864" i="69"/>
  <c r="C5865" i="69"/>
  <c r="C5866" i="69"/>
  <c r="C5867" i="69"/>
  <c r="C5868" i="69"/>
  <c r="C5869" i="69"/>
  <c r="C5870" i="69"/>
  <c r="C5871" i="69"/>
  <c r="C5872" i="69"/>
  <c r="C5873" i="69"/>
  <c r="C5874" i="69"/>
  <c r="C5875" i="69"/>
  <c r="C5876" i="69"/>
  <c r="C5877" i="69"/>
  <c r="C5878" i="69"/>
  <c r="C5879" i="69"/>
  <c r="C5880" i="69"/>
  <c r="C5881" i="69"/>
  <c r="C5882" i="69"/>
  <c r="C5883" i="69"/>
  <c r="C5884" i="69"/>
  <c r="C5885" i="69"/>
  <c r="C5886" i="69"/>
  <c r="C5887" i="69"/>
  <c r="C5888" i="69"/>
  <c r="C5889" i="69"/>
  <c r="C5890" i="69"/>
  <c r="C5891" i="69"/>
  <c r="C5892" i="69"/>
  <c r="C5893" i="69"/>
  <c r="C5894" i="69"/>
  <c r="C5895" i="69"/>
  <c r="C5896" i="69"/>
  <c r="C5897" i="69"/>
  <c r="C5898" i="69"/>
  <c r="C5899" i="69"/>
  <c r="C5900" i="69"/>
  <c r="C5901" i="69"/>
  <c r="C5902" i="69"/>
  <c r="C5903" i="69"/>
  <c r="C5904" i="69"/>
  <c r="C5905" i="69"/>
  <c r="C5906" i="69"/>
  <c r="C5907" i="69"/>
  <c r="C5908" i="69"/>
  <c r="C5909" i="69"/>
  <c r="C5910" i="69"/>
  <c r="C5911" i="69"/>
  <c r="C5912" i="69"/>
  <c r="C5913" i="69"/>
  <c r="C5914" i="69"/>
  <c r="C5915" i="69"/>
  <c r="C5916" i="69"/>
  <c r="C5917" i="69"/>
  <c r="C5918" i="69"/>
  <c r="C5919" i="69"/>
  <c r="C5920" i="69"/>
  <c r="C5921" i="69"/>
  <c r="C5922" i="69"/>
  <c r="C5923" i="69"/>
  <c r="C5924" i="69"/>
  <c r="C5925" i="69"/>
  <c r="C5926" i="69"/>
  <c r="C5927" i="69"/>
  <c r="C5928" i="69"/>
  <c r="C5929" i="69"/>
  <c r="C5930" i="69"/>
  <c r="C5931" i="69"/>
  <c r="C5932" i="69"/>
  <c r="C5933" i="69"/>
  <c r="C5934" i="69"/>
  <c r="C5935" i="69"/>
  <c r="C5936" i="69"/>
  <c r="C5937" i="69"/>
  <c r="C5938" i="69"/>
  <c r="C5939" i="69"/>
  <c r="C5940" i="69"/>
  <c r="C5941" i="69"/>
  <c r="C5942" i="69"/>
  <c r="C5943" i="69"/>
  <c r="C5944" i="69"/>
  <c r="C5945" i="69"/>
  <c r="C5946" i="69"/>
  <c r="C5947" i="69"/>
  <c r="C5948" i="69"/>
  <c r="C5949" i="69"/>
  <c r="C5950" i="69"/>
  <c r="C5951" i="69"/>
  <c r="C5952" i="69"/>
  <c r="C5953" i="69"/>
  <c r="C5954" i="69"/>
  <c r="C5955" i="69"/>
  <c r="C5956" i="69"/>
  <c r="C5957" i="69"/>
  <c r="C5958" i="69"/>
  <c r="C5959" i="69"/>
  <c r="C5960" i="69"/>
  <c r="C5961" i="69"/>
  <c r="C5962" i="69"/>
  <c r="C5963" i="69"/>
  <c r="C5964" i="69"/>
  <c r="C5965" i="69"/>
  <c r="C5966" i="69"/>
  <c r="C5967" i="69"/>
  <c r="C5968" i="69"/>
  <c r="C5969" i="69"/>
  <c r="C5970" i="69"/>
  <c r="C5971" i="69"/>
  <c r="C5972" i="69"/>
  <c r="C5973" i="69"/>
  <c r="C5974" i="69"/>
  <c r="C5975" i="69"/>
  <c r="C5976" i="69"/>
  <c r="C5977" i="69"/>
  <c r="C5978" i="69"/>
  <c r="C5979" i="69"/>
  <c r="C5980" i="69"/>
  <c r="C5981" i="69"/>
  <c r="C5982" i="69"/>
  <c r="C5983" i="69"/>
  <c r="C5984" i="69"/>
  <c r="C5985" i="69"/>
  <c r="C5986" i="69"/>
  <c r="C5987" i="69"/>
  <c r="C5988" i="69"/>
  <c r="C5989" i="69"/>
  <c r="C5990" i="69"/>
  <c r="C5991" i="69"/>
  <c r="C5992" i="69"/>
  <c r="C5993" i="69"/>
  <c r="C5994" i="69"/>
  <c r="C5995" i="69"/>
  <c r="C5996" i="69"/>
  <c r="C5997" i="69"/>
  <c r="C5998" i="69"/>
  <c r="C5999" i="69"/>
  <c r="C6000" i="69"/>
  <c r="C6001" i="69"/>
  <c r="C6002" i="69"/>
  <c r="C6003" i="69"/>
  <c r="C6004" i="69"/>
  <c r="C6005" i="69"/>
  <c r="C6006" i="69"/>
  <c r="C6007" i="69"/>
  <c r="C6008" i="69"/>
  <c r="C6009" i="69"/>
  <c r="C6010" i="69"/>
  <c r="C6011" i="69"/>
  <c r="C6012" i="69"/>
  <c r="C6013" i="69"/>
  <c r="C6014" i="69"/>
  <c r="C6015" i="69"/>
  <c r="C6016" i="69"/>
  <c r="C6017" i="69"/>
  <c r="C6018" i="69"/>
  <c r="C6019" i="69"/>
  <c r="C6020" i="69"/>
  <c r="C6021" i="69"/>
  <c r="C6022" i="69"/>
  <c r="C6023" i="69"/>
  <c r="C6024" i="69"/>
  <c r="C6025" i="69"/>
  <c r="C6026" i="69"/>
  <c r="C6027" i="69"/>
  <c r="C6028" i="69"/>
  <c r="C6029" i="69"/>
  <c r="C6030" i="69"/>
  <c r="C6031" i="69"/>
  <c r="C6032" i="69"/>
  <c r="C6033" i="69"/>
  <c r="C6034" i="69"/>
  <c r="C6035" i="69"/>
  <c r="C6036" i="69"/>
  <c r="C6037" i="69"/>
  <c r="C6038" i="69"/>
  <c r="C6039" i="69"/>
  <c r="C6040" i="69"/>
  <c r="C6041" i="69"/>
  <c r="C6042" i="69"/>
  <c r="C6043" i="69"/>
  <c r="C6044" i="69"/>
  <c r="C6045" i="69"/>
  <c r="C6046" i="69"/>
  <c r="C6047" i="69"/>
  <c r="C6048" i="69"/>
  <c r="C6049" i="69"/>
  <c r="C6050" i="69"/>
  <c r="C6051" i="69"/>
  <c r="C6052" i="69"/>
  <c r="C6053" i="69"/>
  <c r="C6054" i="69"/>
  <c r="C6055" i="69"/>
  <c r="C6056" i="69"/>
  <c r="C6057" i="69"/>
  <c r="C6058" i="69"/>
  <c r="C6059" i="69"/>
  <c r="C6060" i="69"/>
  <c r="C6061" i="69"/>
  <c r="C6062" i="69"/>
  <c r="C6063" i="69"/>
  <c r="C6064" i="69"/>
  <c r="C6065" i="69"/>
  <c r="C6066" i="69"/>
  <c r="C6067" i="69"/>
  <c r="C6068" i="69"/>
  <c r="C6069" i="69"/>
  <c r="C6070" i="69"/>
  <c r="C6071" i="69"/>
  <c r="C6072" i="69"/>
  <c r="C6073" i="69"/>
  <c r="C6074" i="69"/>
  <c r="C6075" i="69"/>
  <c r="C6076" i="69"/>
  <c r="C6077" i="69"/>
  <c r="C6078" i="69"/>
  <c r="C6079" i="69"/>
  <c r="C6080" i="69"/>
  <c r="C6081" i="69"/>
  <c r="C6082" i="69"/>
  <c r="C6083" i="69"/>
  <c r="C6084" i="69"/>
  <c r="C6085" i="69"/>
  <c r="C6086" i="69"/>
  <c r="C6087" i="69"/>
  <c r="C6088" i="69"/>
  <c r="C6089" i="69"/>
  <c r="C6090" i="69"/>
  <c r="C6091" i="69"/>
  <c r="C6092" i="69"/>
  <c r="C6093" i="69"/>
  <c r="C6094" i="69"/>
  <c r="C6095" i="69"/>
  <c r="C6096" i="69"/>
  <c r="C6097" i="69"/>
  <c r="C6098" i="69"/>
  <c r="C6099" i="69"/>
  <c r="C6100" i="69"/>
  <c r="C6101" i="69"/>
  <c r="C6102" i="69"/>
  <c r="C6103" i="69"/>
  <c r="C6104" i="69"/>
  <c r="C6105" i="69"/>
  <c r="C6106" i="69"/>
  <c r="C6107" i="69"/>
  <c r="C6108" i="69"/>
  <c r="C6109" i="69"/>
  <c r="C6110" i="69"/>
  <c r="C6111" i="69"/>
  <c r="C6112" i="69"/>
  <c r="C6113" i="69"/>
  <c r="C6114" i="69"/>
  <c r="C6115" i="69"/>
  <c r="C6116" i="69"/>
  <c r="C6117" i="69"/>
  <c r="C6118" i="69"/>
  <c r="C6119" i="69"/>
  <c r="C6120" i="69"/>
  <c r="C6121" i="69"/>
  <c r="C6122" i="69"/>
  <c r="C6123" i="69"/>
  <c r="C6124" i="69"/>
  <c r="C6125" i="69"/>
  <c r="C6126" i="69"/>
  <c r="C6127" i="69"/>
  <c r="C6128" i="69"/>
  <c r="C6129" i="69"/>
  <c r="C6130" i="69"/>
  <c r="C6131" i="69"/>
  <c r="C6132" i="69"/>
  <c r="C6133" i="69"/>
  <c r="C6134" i="69"/>
  <c r="C6135" i="69"/>
  <c r="C6136" i="69"/>
  <c r="C6137" i="69"/>
  <c r="C6138" i="69"/>
  <c r="C6139" i="69"/>
  <c r="C6140" i="69"/>
  <c r="C6141" i="69"/>
  <c r="C6142" i="69"/>
  <c r="C6143" i="69"/>
  <c r="C6144" i="69"/>
  <c r="C6145" i="69"/>
  <c r="C6146" i="69"/>
  <c r="C6147" i="69"/>
  <c r="C6148" i="69"/>
  <c r="C6149" i="69"/>
  <c r="C6150" i="69"/>
  <c r="C6151" i="69"/>
  <c r="C6152" i="69"/>
  <c r="C6153" i="69"/>
  <c r="C6154" i="69"/>
  <c r="C6155" i="69"/>
  <c r="C6156" i="69"/>
  <c r="C6157" i="69"/>
  <c r="C6158" i="69"/>
  <c r="C6159" i="69"/>
  <c r="C6160" i="69"/>
  <c r="C6161" i="69"/>
  <c r="C6162" i="69"/>
  <c r="C6163" i="69"/>
  <c r="C6164" i="69"/>
  <c r="C6165" i="69"/>
  <c r="C6166" i="69"/>
  <c r="C6167" i="69"/>
  <c r="C6168" i="69"/>
  <c r="C6169" i="69"/>
  <c r="C6170" i="69"/>
  <c r="C6171" i="69"/>
  <c r="C6172" i="69"/>
  <c r="C6173" i="69"/>
  <c r="C6174" i="69"/>
  <c r="C6175" i="69"/>
  <c r="C6176" i="69"/>
  <c r="C6177" i="69"/>
  <c r="C6178" i="69"/>
  <c r="C6179" i="69"/>
  <c r="C6180" i="69"/>
  <c r="C6181" i="69"/>
  <c r="C6182" i="69"/>
  <c r="C6183" i="69"/>
  <c r="C6184" i="69"/>
  <c r="C6185" i="69"/>
  <c r="C6186" i="69"/>
  <c r="C6187" i="69"/>
  <c r="C6188" i="69"/>
  <c r="C6189" i="69"/>
  <c r="C6190" i="69"/>
  <c r="C6191" i="69"/>
  <c r="C6192" i="69"/>
  <c r="C6193" i="69"/>
  <c r="C6194" i="69"/>
  <c r="C6195" i="69"/>
  <c r="C6196" i="69"/>
  <c r="C6197" i="69"/>
  <c r="C6198" i="69"/>
  <c r="C6199" i="69"/>
  <c r="C6200" i="69"/>
  <c r="C6201" i="69"/>
  <c r="C6202" i="69"/>
  <c r="C6203" i="69"/>
  <c r="C6204" i="69"/>
  <c r="C6205" i="69"/>
  <c r="C6206" i="69"/>
  <c r="C6207" i="69"/>
  <c r="C6208" i="69"/>
  <c r="C6209" i="69"/>
  <c r="C6210" i="69"/>
  <c r="C6211" i="69"/>
  <c r="C6212" i="69"/>
  <c r="C6213" i="69"/>
  <c r="C6214" i="69"/>
  <c r="C6215" i="69"/>
  <c r="C6216" i="69"/>
  <c r="C6217" i="69"/>
  <c r="C6218" i="69"/>
  <c r="C6219" i="69"/>
  <c r="C6220" i="69"/>
  <c r="C6221" i="69"/>
  <c r="C6222" i="69"/>
  <c r="C6223" i="69"/>
  <c r="C6224" i="69"/>
  <c r="C6225" i="69"/>
  <c r="C6226" i="69"/>
  <c r="C6227" i="69"/>
  <c r="C6228" i="69"/>
  <c r="C6229" i="69"/>
  <c r="C6230" i="69"/>
  <c r="C6231" i="69"/>
  <c r="C6232" i="69"/>
  <c r="C6233" i="69"/>
  <c r="C6234" i="69"/>
  <c r="C6235" i="69"/>
  <c r="C6236" i="69"/>
  <c r="C6237" i="69"/>
  <c r="C6238" i="69"/>
  <c r="C6239" i="69"/>
  <c r="C6240" i="69"/>
  <c r="C6241" i="69"/>
  <c r="C6242" i="69"/>
  <c r="C6243" i="69"/>
  <c r="C6244" i="69"/>
  <c r="C6245" i="69"/>
  <c r="C6246" i="69"/>
  <c r="C6247" i="69"/>
  <c r="C6248" i="69"/>
  <c r="C6249" i="69"/>
  <c r="C6250" i="69"/>
  <c r="C6251" i="69"/>
  <c r="C6252" i="69"/>
  <c r="C6253" i="69"/>
  <c r="C6254" i="69"/>
  <c r="C6255" i="69"/>
  <c r="C6256" i="69"/>
  <c r="C6257" i="69"/>
  <c r="C6258" i="69"/>
  <c r="C6259" i="69"/>
  <c r="C6260" i="69"/>
  <c r="C6261" i="69"/>
  <c r="C6262" i="69"/>
  <c r="C6263" i="69"/>
  <c r="C6264" i="69"/>
  <c r="C6265" i="69"/>
  <c r="C6266" i="69"/>
  <c r="C6267" i="69"/>
  <c r="C6268" i="69"/>
  <c r="C6269" i="69"/>
  <c r="C6270" i="69"/>
  <c r="C6271" i="69"/>
  <c r="C6272" i="69"/>
  <c r="C6273" i="69"/>
  <c r="C6274" i="69"/>
  <c r="C6275" i="69"/>
  <c r="C6276" i="69"/>
  <c r="C6277" i="69"/>
  <c r="C6278" i="69"/>
  <c r="C6279" i="69"/>
  <c r="C6280" i="69"/>
  <c r="C6281" i="69"/>
  <c r="C6282" i="69"/>
  <c r="C6283" i="69"/>
  <c r="C6284" i="69"/>
  <c r="C6285" i="69"/>
  <c r="C6286" i="69"/>
  <c r="C6287" i="69"/>
  <c r="C6288" i="69"/>
  <c r="C6289" i="69"/>
  <c r="C6290" i="69"/>
  <c r="C6291" i="69"/>
  <c r="C6292" i="69"/>
  <c r="C6293" i="69"/>
  <c r="C6294" i="69"/>
  <c r="C6295" i="69"/>
  <c r="C6296" i="69"/>
  <c r="C6297" i="69"/>
  <c r="C6298" i="69"/>
  <c r="C6299" i="69"/>
  <c r="C6300" i="69"/>
  <c r="C6301" i="69"/>
  <c r="C6302" i="69"/>
  <c r="C6303" i="69"/>
  <c r="C6304" i="69"/>
  <c r="C6305" i="69"/>
  <c r="C6306" i="69"/>
  <c r="C6307" i="69"/>
  <c r="C6308" i="69"/>
  <c r="C6309" i="69"/>
  <c r="C6310" i="69"/>
  <c r="C6311" i="69"/>
  <c r="C6312" i="69"/>
  <c r="C6313" i="69"/>
  <c r="C6314" i="69"/>
  <c r="C6315" i="69"/>
  <c r="C6316" i="69"/>
  <c r="C6317" i="69"/>
  <c r="C6318" i="69"/>
  <c r="C6319" i="69"/>
  <c r="C6320" i="69"/>
  <c r="C6321" i="69"/>
  <c r="C6322" i="69"/>
  <c r="C6323" i="69"/>
  <c r="C6324" i="69"/>
  <c r="C6325" i="69"/>
  <c r="C6326" i="69"/>
  <c r="C6327" i="69"/>
  <c r="C6328" i="69"/>
  <c r="C6329" i="69"/>
  <c r="C6330" i="69"/>
  <c r="C6331" i="69"/>
  <c r="C6332" i="69"/>
  <c r="C6333" i="69"/>
  <c r="C6334" i="69"/>
  <c r="C6335" i="69"/>
  <c r="C6336" i="69"/>
  <c r="C6337" i="69"/>
  <c r="C6338" i="69"/>
  <c r="C6339" i="69"/>
  <c r="C6340" i="69"/>
  <c r="C6341" i="69"/>
  <c r="C6342" i="69"/>
  <c r="C6343" i="69"/>
  <c r="C6344" i="69"/>
  <c r="C6345" i="69"/>
  <c r="C6346" i="69"/>
  <c r="C6347" i="69"/>
  <c r="C6348" i="69"/>
  <c r="C6349" i="69"/>
  <c r="C6350" i="69"/>
  <c r="C6351" i="69"/>
  <c r="C6352" i="69"/>
  <c r="C6353" i="69"/>
  <c r="C6354" i="69"/>
  <c r="C6355" i="69"/>
  <c r="C6356" i="69"/>
  <c r="C6357" i="69"/>
  <c r="C6358" i="69"/>
  <c r="C6359" i="69"/>
  <c r="C6360" i="69"/>
  <c r="C6361" i="69"/>
  <c r="C6362" i="69"/>
  <c r="C6363" i="69"/>
  <c r="C6364" i="69"/>
  <c r="C6365" i="69"/>
  <c r="C6366" i="69"/>
  <c r="C6367" i="69"/>
  <c r="C6368" i="69"/>
  <c r="C6369" i="69"/>
  <c r="C6370" i="69"/>
  <c r="C6371" i="69"/>
  <c r="C6372" i="69"/>
  <c r="C6373" i="69"/>
  <c r="C6374" i="69"/>
  <c r="C6375" i="69"/>
  <c r="C6376" i="69"/>
  <c r="C6377" i="69"/>
  <c r="C6378" i="69"/>
  <c r="C6379" i="69"/>
  <c r="C6380" i="69"/>
  <c r="C6381" i="69"/>
  <c r="C6382" i="69"/>
  <c r="C6383" i="69"/>
  <c r="C6384" i="69"/>
  <c r="C6385" i="69"/>
  <c r="C6386" i="69"/>
  <c r="C6387" i="69"/>
  <c r="C6388" i="69"/>
  <c r="C6389" i="69"/>
  <c r="C6390" i="69"/>
  <c r="C6391" i="69"/>
  <c r="C6392" i="69"/>
  <c r="C6393" i="69"/>
  <c r="C6394" i="69"/>
  <c r="C6395" i="69"/>
  <c r="C6396" i="69"/>
  <c r="C6397" i="69"/>
  <c r="C6398" i="69"/>
  <c r="C6399" i="69"/>
  <c r="C6400" i="69"/>
  <c r="C6401" i="69"/>
  <c r="C6402" i="69"/>
  <c r="C6403" i="69"/>
  <c r="C6404" i="69"/>
  <c r="C6405" i="69"/>
  <c r="C6406" i="69"/>
  <c r="C6407" i="69"/>
  <c r="C6408" i="69"/>
  <c r="C6409" i="69"/>
  <c r="C6410" i="69"/>
  <c r="C6411" i="69"/>
  <c r="C6412" i="69"/>
  <c r="C6413" i="69"/>
  <c r="C6414" i="69"/>
  <c r="C6415" i="69"/>
  <c r="C6416" i="69"/>
  <c r="C6417" i="69"/>
  <c r="C6418" i="69"/>
  <c r="C6419" i="69"/>
  <c r="C6420" i="69"/>
  <c r="C6421" i="69"/>
  <c r="C6422" i="69"/>
  <c r="C6423" i="69"/>
  <c r="C6424" i="69"/>
  <c r="C6425" i="69"/>
  <c r="C6426" i="69"/>
  <c r="C6427" i="69"/>
  <c r="C6428" i="69"/>
  <c r="C6429" i="69"/>
  <c r="C6430" i="69"/>
  <c r="C6431" i="69"/>
  <c r="C6432" i="69"/>
  <c r="C6433" i="69"/>
  <c r="C6434" i="69"/>
  <c r="C6435" i="69"/>
  <c r="C6436" i="69"/>
  <c r="C6437" i="69"/>
  <c r="C6438" i="69"/>
  <c r="C6439" i="69"/>
  <c r="C6440" i="69"/>
  <c r="C6441" i="69"/>
  <c r="C6442" i="69"/>
  <c r="C6443" i="69"/>
  <c r="C6444" i="69"/>
  <c r="C6445" i="69"/>
  <c r="C6446" i="69"/>
  <c r="C6447" i="69"/>
  <c r="C6448" i="69"/>
  <c r="C6449" i="69"/>
  <c r="C6450" i="69"/>
  <c r="C6451" i="69"/>
  <c r="C6452" i="69"/>
  <c r="C6453" i="69"/>
  <c r="C6454" i="69"/>
  <c r="C6455" i="69"/>
  <c r="C6456" i="69"/>
  <c r="C6457" i="69"/>
  <c r="C6458" i="69"/>
  <c r="C6459" i="69"/>
  <c r="C6460" i="69"/>
  <c r="C6461" i="69"/>
  <c r="C6462" i="69"/>
  <c r="C6463" i="69"/>
  <c r="C6464" i="69"/>
  <c r="C6465" i="69"/>
  <c r="C6466" i="69"/>
  <c r="C6467" i="69"/>
  <c r="C6468" i="69"/>
  <c r="C6469" i="69"/>
  <c r="C6470" i="69"/>
  <c r="C6471" i="69"/>
  <c r="C6472" i="69"/>
  <c r="C6473" i="69"/>
  <c r="C6474" i="69"/>
  <c r="C6475" i="69"/>
  <c r="C6476" i="69"/>
  <c r="C6477" i="69"/>
  <c r="C6478" i="69"/>
  <c r="C6479" i="69"/>
  <c r="C6480" i="69"/>
  <c r="C6481" i="69"/>
  <c r="C6482" i="69"/>
  <c r="C6483" i="69"/>
  <c r="C6484" i="69"/>
  <c r="C6485" i="69"/>
  <c r="C6486" i="69"/>
  <c r="C6487" i="69"/>
  <c r="C6488" i="69"/>
  <c r="C6489" i="69"/>
  <c r="C6490" i="69"/>
  <c r="C6491" i="69"/>
  <c r="C6492" i="69"/>
  <c r="C6493" i="69"/>
  <c r="C6494" i="69"/>
  <c r="C6495" i="69"/>
  <c r="C6496" i="69"/>
  <c r="C6497" i="69"/>
  <c r="C6498" i="69"/>
  <c r="C6499" i="69"/>
  <c r="C6500" i="69"/>
  <c r="C6501" i="69"/>
  <c r="C6502" i="69"/>
  <c r="C6503" i="69"/>
  <c r="C6504" i="69"/>
  <c r="C6505" i="69"/>
  <c r="C6506" i="69"/>
  <c r="C6507" i="69"/>
  <c r="C6508" i="69"/>
  <c r="C6509" i="69"/>
  <c r="C6510" i="69"/>
  <c r="C6511" i="69"/>
  <c r="C6512" i="69"/>
  <c r="C6513" i="69"/>
  <c r="C6514" i="69"/>
  <c r="C6515" i="69"/>
  <c r="C6516" i="69"/>
  <c r="C6517" i="69"/>
  <c r="C6518" i="69"/>
  <c r="C6519" i="69"/>
  <c r="C6520" i="69"/>
  <c r="C6521" i="69"/>
  <c r="C6522" i="69"/>
  <c r="C6523" i="69"/>
  <c r="C6524" i="69"/>
  <c r="C6525" i="69"/>
  <c r="C6526" i="69"/>
  <c r="C6527" i="69"/>
  <c r="C6528" i="69"/>
  <c r="C6529" i="69"/>
  <c r="C6530" i="69"/>
  <c r="C6531" i="69"/>
  <c r="C6532" i="69"/>
  <c r="C6533" i="69"/>
  <c r="C6534" i="69"/>
  <c r="C6535" i="69"/>
  <c r="C6536" i="69"/>
  <c r="C6537" i="69"/>
  <c r="C6538" i="69"/>
  <c r="C6539" i="69"/>
  <c r="C6540" i="69"/>
  <c r="C6541" i="69"/>
  <c r="C6542" i="69"/>
  <c r="C6543" i="69"/>
  <c r="C6544" i="69"/>
  <c r="C6545" i="69"/>
  <c r="C6546" i="69"/>
  <c r="C6547" i="69"/>
  <c r="C6548" i="69"/>
  <c r="C6549" i="69"/>
  <c r="C6550" i="69"/>
  <c r="C6551" i="69"/>
  <c r="C6552" i="69"/>
  <c r="C6553" i="69"/>
  <c r="C6554" i="69"/>
  <c r="C6555" i="69"/>
  <c r="C6556" i="69"/>
  <c r="C6557" i="69"/>
  <c r="C6558" i="69"/>
  <c r="C6559" i="69"/>
  <c r="C6560" i="69"/>
  <c r="C6561" i="69"/>
  <c r="C6562" i="69"/>
  <c r="C6563" i="69"/>
  <c r="C6564" i="69"/>
  <c r="C6565" i="69"/>
  <c r="C6566" i="69"/>
  <c r="C6567" i="69"/>
  <c r="C6568" i="69"/>
  <c r="C6569" i="69"/>
  <c r="C6570" i="69"/>
  <c r="C6571" i="69"/>
  <c r="C6572" i="69"/>
  <c r="C6573" i="69"/>
  <c r="C6574" i="69"/>
  <c r="C6575" i="69"/>
  <c r="C6576" i="69"/>
  <c r="C6577" i="69"/>
  <c r="C6578" i="69"/>
  <c r="C6579" i="69"/>
  <c r="C6580" i="69"/>
  <c r="C6581" i="69"/>
  <c r="C6582" i="69"/>
  <c r="C6583" i="69"/>
  <c r="C6584" i="69"/>
  <c r="C6585" i="69"/>
  <c r="C6586" i="69"/>
  <c r="C6587" i="69"/>
  <c r="C6588" i="69"/>
  <c r="C6589" i="69"/>
  <c r="C6590" i="69"/>
  <c r="C6591" i="69"/>
  <c r="C6592" i="69"/>
  <c r="C6593" i="69"/>
  <c r="C6594" i="69"/>
  <c r="C6595" i="69"/>
  <c r="C6596" i="69"/>
  <c r="C6597" i="69"/>
  <c r="C6598" i="69"/>
  <c r="C6599" i="69"/>
  <c r="C6600" i="69"/>
  <c r="C6601" i="69"/>
  <c r="C6602" i="69"/>
  <c r="C6603" i="69"/>
  <c r="C6604" i="69"/>
  <c r="C6605" i="69"/>
  <c r="C6606" i="69"/>
  <c r="C6607" i="69"/>
  <c r="C6608" i="69"/>
  <c r="C6609" i="69"/>
  <c r="C6610" i="69"/>
  <c r="C6611" i="69"/>
  <c r="C6612" i="69"/>
  <c r="C6613" i="69"/>
  <c r="C6614" i="69"/>
  <c r="C6615" i="69"/>
  <c r="C6616" i="69"/>
  <c r="C6617" i="69"/>
  <c r="C6618" i="69"/>
  <c r="C6619" i="69"/>
  <c r="C6620" i="69"/>
  <c r="C6621" i="69"/>
  <c r="C6622" i="69"/>
  <c r="C6623" i="69"/>
  <c r="C6624" i="69"/>
  <c r="C6625" i="69"/>
  <c r="C6626" i="69"/>
  <c r="C6627" i="69"/>
  <c r="C6628" i="69"/>
  <c r="C6629" i="69"/>
  <c r="C6630" i="69"/>
  <c r="C6631" i="69"/>
  <c r="C6632" i="69"/>
  <c r="C6633" i="69"/>
  <c r="C6634" i="69"/>
  <c r="C6635" i="69"/>
  <c r="C6636" i="69"/>
  <c r="C6637" i="69"/>
  <c r="C6638" i="69"/>
  <c r="C6639" i="69"/>
  <c r="C6640" i="69"/>
  <c r="C6641" i="69"/>
  <c r="C6642" i="69"/>
  <c r="C6643" i="69"/>
  <c r="C6644" i="69"/>
  <c r="C6645" i="69"/>
  <c r="C6646" i="69"/>
  <c r="C6647" i="69"/>
  <c r="C6648" i="69"/>
  <c r="C6649" i="69"/>
  <c r="C6650" i="69"/>
  <c r="C6651" i="69"/>
  <c r="C6652" i="69"/>
  <c r="C6653" i="69"/>
  <c r="C6654" i="69"/>
  <c r="C6655" i="69"/>
  <c r="C6656" i="69"/>
  <c r="C6657" i="69"/>
  <c r="C6658" i="69"/>
  <c r="C6659" i="69"/>
  <c r="C6660" i="69"/>
  <c r="C6661" i="69"/>
  <c r="C6662" i="69"/>
  <c r="C6663" i="69"/>
  <c r="C6664" i="69"/>
  <c r="C6665" i="69"/>
  <c r="C6666" i="69"/>
  <c r="C6667" i="69"/>
  <c r="C6668" i="69"/>
  <c r="C6669" i="69"/>
  <c r="C6670" i="69"/>
  <c r="C6671" i="69"/>
  <c r="C6672" i="69"/>
  <c r="C6673" i="69"/>
  <c r="C6674" i="69"/>
  <c r="C6675" i="69"/>
  <c r="C6676" i="69"/>
  <c r="C6677" i="69"/>
  <c r="C6678" i="69"/>
  <c r="C6679" i="69"/>
  <c r="C6680" i="69"/>
  <c r="C6681" i="69"/>
  <c r="C6682" i="69"/>
  <c r="C6683" i="69"/>
  <c r="C6684" i="69"/>
  <c r="C6685" i="69"/>
  <c r="C6686" i="69"/>
  <c r="C6687" i="69"/>
  <c r="C6688" i="69"/>
  <c r="C6689" i="69"/>
  <c r="C6690" i="69"/>
  <c r="C6691" i="69"/>
  <c r="C6692" i="69"/>
  <c r="C6693" i="69"/>
  <c r="C6694" i="69"/>
  <c r="C6695" i="69"/>
  <c r="C6696" i="69"/>
  <c r="C6697" i="69"/>
  <c r="C6698" i="69"/>
  <c r="C6699" i="69"/>
  <c r="C6700" i="69"/>
  <c r="C6701" i="69"/>
  <c r="C6702" i="69"/>
  <c r="C6703" i="69"/>
  <c r="C6704" i="69"/>
  <c r="C6705" i="69"/>
  <c r="C6706" i="69"/>
  <c r="C6707" i="69"/>
  <c r="C6708" i="69"/>
  <c r="C6709" i="69"/>
  <c r="C6710" i="69"/>
  <c r="C6711" i="69"/>
  <c r="C6712" i="69"/>
  <c r="C6713" i="69"/>
  <c r="C6714" i="69"/>
  <c r="C6715" i="69"/>
  <c r="C6716" i="69"/>
  <c r="C6717" i="69"/>
  <c r="C6718" i="69"/>
  <c r="C6719" i="69"/>
  <c r="C6720" i="69"/>
  <c r="C6721" i="69"/>
  <c r="C6722" i="69"/>
  <c r="C6723" i="69"/>
  <c r="C6724" i="69"/>
  <c r="C6725" i="69"/>
  <c r="C6726" i="69"/>
  <c r="C6727" i="69"/>
  <c r="C6728" i="69"/>
  <c r="C6729" i="69"/>
  <c r="C6730" i="69"/>
  <c r="C6731" i="69"/>
  <c r="C6732" i="69"/>
  <c r="C6733" i="69"/>
  <c r="C6734" i="69"/>
  <c r="C6735" i="69"/>
  <c r="C6736" i="69"/>
  <c r="C6737" i="69"/>
  <c r="C6738" i="69"/>
  <c r="C6739" i="69"/>
  <c r="C6740" i="69"/>
  <c r="C6741" i="69"/>
  <c r="C6742" i="69"/>
  <c r="C6743" i="69"/>
  <c r="C6744" i="69"/>
  <c r="C6745" i="69"/>
  <c r="C6746" i="69"/>
  <c r="C6747" i="69"/>
  <c r="C6748" i="69"/>
  <c r="C6749" i="69"/>
  <c r="C6750" i="69"/>
  <c r="C6751" i="69"/>
  <c r="C6752" i="69"/>
  <c r="C6753" i="69"/>
  <c r="C6754" i="69"/>
  <c r="C6755" i="69"/>
  <c r="C6756" i="69"/>
  <c r="C6757" i="69"/>
  <c r="C6758" i="69"/>
  <c r="C6759" i="69"/>
  <c r="C6760" i="69"/>
  <c r="C6761" i="69"/>
  <c r="C6762" i="69"/>
  <c r="C6763" i="69"/>
  <c r="C6764" i="69"/>
  <c r="C6765" i="69"/>
  <c r="C6766" i="69"/>
  <c r="C6767" i="69"/>
  <c r="C6768" i="69"/>
  <c r="C6769" i="69"/>
  <c r="C6770" i="69"/>
  <c r="C6771" i="69"/>
  <c r="C6772" i="69"/>
  <c r="C6773" i="69"/>
  <c r="C6774" i="69"/>
  <c r="C6775" i="69"/>
  <c r="C6776" i="69"/>
  <c r="C6777" i="69"/>
  <c r="C6778" i="69"/>
  <c r="C6779" i="69"/>
  <c r="C6780" i="69"/>
  <c r="C6781" i="69"/>
  <c r="C6782" i="69"/>
  <c r="C6783" i="69"/>
  <c r="C6784" i="69"/>
  <c r="C6785" i="69"/>
  <c r="C6786" i="69"/>
  <c r="C6787" i="69"/>
  <c r="C6788" i="69"/>
  <c r="C6789" i="69"/>
  <c r="C6790" i="69"/>
  <c r="C6791" i="69"/>
  <c r="C6792" i="69"/>
  <c r="C6793" i="69"/>
  <c r="C6794" i="69"/>
  <c r="C6795" i="69"/>
  <c r="C6796" i="69"/>
  <c r="C6797" i="69"/>
  <c r="C6798" i="69"/>
  <c r="C6799" i="69"/>
  <c r="C6800" i="69"/>
  <c r="C6801" i="69"/>
  <c r="C6802" i="69"/>
  <c r="C6803" i="69"/>
  <c r="C6804" i="69"/>
  <c r="C6805" i="69"/>
  <c r="C6806" i="69"/>
  <c r="C6807" i="69"/>
  <c r="C6808" i="69"/>
  <c r="C6809" i="69"/>
  <c r="C6810" i="69"/>
  <c r="C6811" i="69"/>
  <c r="C6812" i="69"/>
  <c r="C6813" i="69"/>
  <c r="C6814" i="69"/>
  <c r="C6815" i="69"/>
  <c r="C6816" i="69"/>
  <c r="C6817" i="69"/>
  <c r="C6818" i="69"/>
  <c r="C6819" i="69"/>
  <c r="C6820" i="69"/>
  <c r="C6821" i="69"/>
  <c r="C6822" i="69"/>
  <c r="C6823" i="69"/>
  <c r="C6824" i="69"/>
  <c r="C6825" i="69"/>
  <c r="C6826" i="69"/>
  <c r="C6827" i="69"/>
  <c r="C6828" i="69"/>
  <c r="C6829" i="69"/>
  <c r="C6830" i="69"/>
  <c r="C6831" i="69"/>
  <c r="C6832" i="69"/>
  <c r="C6833" i="69"/>
  <c r="C6834" i="69"/>
  <c r="C6835" i="69"/>
  <c r="C6836" i="69"/>
  <c r="C6837" i="69"/>
  <c r="C6838" i="69"/>
  <c r="C6839" i="69"/>
  <c r="C6840" i="69"/>
  <c r="C6841" i="69"/>
  <c r="C6842" i="69"/>
  <c r="C6843" i="69"/>
  <c r="C6844" i="69"/>
  <c r="C6845" i="69"/>
  <c r="C6846" i="69"/>
  <c r="C6847" i="69"/>
  <c r="C6848" i="69"/>
  <c r="C6849" i="69"/>
  <c r="C6850" i="69"/>
  <c r="C6851" i="69"/>
  <c r="C6852" i="69"/>
  <c r="C6853" i="69"/>
  <c r="C6854" i="69"/>
  <c r="C6855" i="69"/>
  <c r="C6856" i="69"/>
  <c r="C6857" i="69"/>
  <c r="C6858" i="69"/>
  <c r="C6859" i="69"/>
  <c r="C6860" i="69"/>
  <c r="C6861" i="69"/>
  <c r="C6862" i="69"/>
  <c r="C6863" i="69"/>
  <c r="C6864" i="69"/>
  <c r="C6865" i="69"/>
  <c r="C6866" i="69"/>
  <c r="C6867" i="69"/>
  <c r="C6868" i="69"/>
  <c r="C6869" i="69"/>
  <c r="C6870" i="69"/>
  <c r="C6871" i="69"/>
  <c r="C6872" i="69"/>
  <c r="C6873" i="69"/>
  <c r="C6874" i="69"/>
  <c r="C6875" i="69"/>
  <c r="C6876" i="69"/>
  <c r="C6877" i="69"/>
  <c r="C6878" i="69"/>
  <c r="C6879" i="69"/>
  <c r="C6880" i="69"/>
  <c r="C6881" i="69"/>
  <c r="C6882" i="69"/>
  <c r="C6883" i="69"/>
  <c r="C6884" i="69"/>
  <c r="C6885" i="69"/>
  <c r="C6886" i="69"/>
  <c r="C6887" i="69"/>
  <c r="C6888" i="69"/>
  <c r="C6889" i="69"/>
  <c r="C6890" i="69"/>
  <c r="C6891" i="69"/>
  <c r="C6892" i="69"/>
  <c r="C6893" i="69"/>
  <c r="C6894" i="69"/>
  <c r="C6895" i="69"/>
  <c r="C6896" i="69"/>
  <c r="C6897" i="69"/>
  <c r="C6898" i="69"/>
  <c r="C6899" i="69"/>
  <c r="C6900" i="69"/>
  <c r="C6901" i="69"/>
  <c r="C6902" i="69"/>
  <c r="C6903" i="69"/>
  <c r="C6904" i="69"/>
  <c r="C6905" i="69"/>
  <c r="C6906" i="69"/>
  <c r="C6907" i="69"/>
  <c r="C6908" i="69"/>
  <c r="C6909" i="69"/>
  <c r="C6910" i="69"/>
  <c r="C6911" i="69"/>
  <c r="C6912" i="69"/>
  <c r="C6913" i="69"/>
  <c r="C6914" i="69"/>
  <c r="C6915" i="69"/>
  <c r="C6916" i="69"/>
  <c r="C6917" i="69"/>
  <c r="C6918" i="69"/>
  <c r="C6919" i="69"/>
  <c r="C6920" i="69"/>
  <c r="C6921" i="69"/>
  <c r="C6922" i="69"/>
  <c r="C6923" i="69"/>
  <c r="C6924" i="69"/>
  <c r="C6925" i="69"/>
  <c r="C6926" i="69"/>
  <c r="C6927" i="69"/>
  <c r="C6928" i="69"/>
  <c r="C6929" i="69"/>
  <c r="C6930" i="69"/>
  <c r="C6931" i="69"/>
  <c r="C6932" i="69"/>
  <c r="C6933" i="69"/>
  <c r="C6934" i="69"/>
  <c r="C6935" i="69"/>
  <c r="C6936" i="69"/>
  <c r="C6937" i="69"/>
  <c r="C6938" i="69"/>
  <c r="C6939" i="69"/>
  <c r="C6940" i="69"/>
  <c r="C6941" i="69"/>
  <c r="C6942" i="69"/>
  <c r="C6943" i="69"/>
  <c r="C6944" i="69"/>
  <c r="C6945" i="69"/>
  <c r="C6946" i="69"/>
  <c r="C6947" i="69"/>
  <c r="C6948" i="69"/>
  <c r="C6949" i="69"/>
  <c r="C6950" i="69"/>
  <c r="C6951" i="69"/>
  <c r="C6952" i="69"/>
  <c r="C6953" i="69"/>
  <c r="C6954" i="69"/>
  <c r="C6955" i="69"/>
  <c r="C6956" i="69"/>
  <c r="C6957" i="69"/>
  <c r="C6958" i="69"/>
  <c r="C6959" i="69"/>
  <c r="C6960" i="69"/>
  <c r="C6961" i="69"/>
  <c r="C6962" i="69"/>
  <c r="C6963" i="69"/>
  <c r="C6964" i="69"/>
  <c r="C6965" i="69"/>
  <c r="C6966" i="69"/>
  <c r="C6967" i="69"/>
  <c r="C6968" i="69"/>
  <c r="C6969" i="69"/>
  <c r="C6970" i="69"/>
  <c r="C6971" i="69"/>
  <c r="C6972" i="69"/>
  <c r="C6973" i="69"/>
  <c r="C6974" i="69"/>
  <c r="C6975" i="69"/>
  <c r="C6976" i="69"/>
  <c r="C6977" i="69"/>
  <c r="C6978" i="69"/>
  <c r="C6979" i="69"/>
  <c r="C6980" i="69"/>
  <c r="C6981" i="69"/>
  <c r="C6982" i="69"/>
  <c r="C6983" i="69"/>
  <c r="C6984" i="69"/>
  <c r="C6985" i="69"/>
  <c r="C6986" i="69"/>
  <c r="C6987" i="69"/>
  <c r="C6988" i="69"/>
  <c r="C6989" i="69"/>
  <c r="C6990" i="69"/>
  <c r="C6991" i="69"/>
  <c r="C6992" i="69"/>
  <c r="C6993" i="69"/>
  <c r="C6994" i="69"/>
  <c r="C6995" i="69"/>
  <c r="C6996" i="69"/>
  <c r="C6997" i="69"/>
  <c r="C6998" i="69"/>
  <c r="C6999" i="69"/>
  <c r="C7000" i="69"/>
  <c r="C7001" i="69"/>
  <c r="C7002" i="69"/>
  <c r="C7003" i="69"/>
  <c r="C7004" i="69"/>
  <c r="C7005" i="69"/>
  <c r="C7006" i="69"/>
  <c r="C7007" i="69"/>
  <c r="C7008" i="69"/>
  <c r="C7009" i="69"/>
  <c r="C7010" i="69"/>
  <c r="C7011" i="69"/>
  <c r="C7012" i="69"/>
  <c r="C7013" i="69"/>
  <c r="C7014" i="69"/>
  <c r="C7015" i="69"/>
  <c r="C7016" i="69"/>
  <c r="C7017" i="69"/>
  <c r="C7018" i="69"/>
  <c r="C7019" i="69"/>
  <c r="C7020" i="69"/>
  <c r="C7021" i="69"/>
  <c r="C7022" i="69"/>
  <c r="C7023" i="69"/>
  <c r="C7024" i="69"/>
  <c r="C7025" i="69"/>
  <c r="C7026" i="69"/>
  <c r="C7027" i="69"/>
  <c r="C7028" i="69"/>
  <c r="C7029" i="69"/>
  <c r="C7030" i="69"/>
  <c r="C7031" i="69"/>
  <c r="C7032" i="69"/>
  <c r="C7033" i="69"/>
  <c r="C7034" i="69"/>
  <c r="C7035" i="69"/>
  <c r="C7036" i="69"/>
  <c r="C7037" i="69"/>
  <c r="C7038" i="69"/>
  <c r="C7039" i="69"/>
  <c r="C7040" i="69"/>
  <c r="C7041" i="69"/>
  <c r="C7042" i="69"/>
  <c r="C7043" i="69"/>
  <c r="C7044" i="69"/>
  <c r="C7045" i="69"/>
  <c r="C7046" i="69"/>
  <c r="C7047" i="69"/>
  <c r="C7048" i="69"/>
  <c r="C7049" i="69"/>
  <c r="C7050" i="69"/>
  <c r="C7051" i="69"/>
  <c r="C7052" i="69"/>
  <c r="C7053" i="69"/>
  <c r="C7054" i="69"/>
  <c r="C7055" i="69"/>
  <c r="C7056" i="69"/>
  <c r="C7057" i="69"/>
  <c r="C7058" i="69"/>
  <c r="C7059" i="69"/>
  <c r="C7060" i="69"/>
  <c r="C7061" i="69"/>
  <c r="C7062" i="69"/>
  <c r="C7063" i="69"/>
  <c r="C7064" i="69"/>
  <c r="C7065" i="69"/>
  <c r="C7066" i="69"/>
  <c r="C7067" i="69"/>
  <c r="C7068" i="69"/>
  <c r="C7069" i="69"/>
  <c r="C7070" i="69"/>
  <c r="C7071" i="69"/>
  <c r="C7072" i="69"/>
  <c r="C7073" i="69"/>
  <c r="C7074" i="69"/>
  <c r="C7075" i="69"/>
  <c r="C7076" i="69"/>
  <c r="C7077" i="69"/>
  <c r="C7078" i="69"/>
  <c r="C7079" i="69"/>
  <c r="C7080" i="69"/>
  <c r="C7081" i="69"/>
  <c r="C7082" i="69"/>
  <c r="C7083" i="69"/>
  <c r="C7084" i="69"/>
  <c r="C7085" i="69"/>
  <c r="C7086" i="69"/>
  <c r="C7087" i="69"/>
  <c r="C7088" i="69"/>
  <c r="C7089" i="69"/>
  <c r="C7090" i="69"/>
  <c r="C7091" i="69"/>
  <c r="C7092" i="69"/>
  <c r="C7093" i="69"/>
  <c r="C7094" i="69"/>
  <c r="C7095" i="69"/>
  <c r="C7096" i="69"/>
  <c r="C7097" i="69"/>
  <c r="C7098" i="69"/>
  <c r="C7099" i="69"/>
  <c r="C7100" i="69"/>
  <c r="C7101" i="69"/>
  <c r="C7102" i="69"/>
  <c r="C7103" i="69"/>
  <c r="C7104" i="69"/>
  <c r="C7105" i="69"/>
  <c r="C7106" i="69"/>
  <c r="C7107" i="69"/>
  <c r="C7108" i="69"/>
  <c r="C7109" i="69"/>
  <c r="C7110" i="69"/>
  <c r="C7111" i="69"/>
  <c r="C7112" i="69"/>
  <c r="C7113" i="69"/>
  <c r="C7114" i="69"/>
  <c r="C7115" i="69"/>
  <c r="C7116" i="69"/>
  <c r="C7117" i="69"/>
  <c r="C7118" i="69"/>
  <c r="C7119" i="69"/>
  <c r="C7120" i="69"/>
  <c r="C7121" i="69"/>
  <c r="C7122" i="69"/>
  <c r="C7123" i="69"/>
  <c r="C7124" i="69"/>
  <c r="C7125" i="69"/>
  <c r="C7126" i="69"/>
  <c r="C7127" i="69"/>
  <c r="C7128" i="69"/>
  <c r="C7129" i="69"/>
  <c r="C7130" i="69"/>
  <c r="C7131" i="69"/>
  <c r="C7132" i="69"/>
  <c r="C7133" i="69"/>
  <c r="C7134" i="69"/>
  <c r="C7135" i="69"/>
  <c r="C7136" i="69"/>
  <c r="C7137" i="69"/>
  <c r="C7138" i="69"/>
  <c r="C7139" i="69"/>
  <c r="C7140" i="69"/>
  <c r="C7141" i="69"/>
  <c r="C7142" i="69"/>
  <c r="C7143" i="69"/>
  <c r="C7144" i="69"/>
  <c r="C7145" i="69"/>
  <c r="C7146" i="69"/>
  <c r="C7147" i="69"/>
  <c r="C7148" i="69"/>
  <c r="C7149" i="69"/>
  <c r="C7150" i="69"/>
  <c r="C7151" i="69"/>
  <c r="C7152" i="69"/>
  <c r="C7153" i="69"/>
  <c r="C7154" i="69"/>
  <c r="C7155" i="69"/>
  <c r="C7156" i="69"/>
  <c r="C7157" i="69"/>
  <c r="C7158" i="69"/>
  <c r="C7159" i="69"/>
  <c r="C7160" i="69"/>
  <c r="C7161" i="69"/>
  <c r="C7162" i="69"/>
  <c r="C7163" i="69"/>
  <c r="C7164" i="69"/>
  <c r="C7165" i="69"/>
  <c r="C7166" i="69"/>
  <c r="C7167" i="69"/>
  <c r="C7168" i="69"/>
  <c r="C7169" i="69"/>
  <c r="C7170" i="69"/>
  <c r="C7171" i="69"/>
  <c r="C7172" i="69"/>
  <c r="C7173" i="69"/>
  <c r="C7174" i="69"/>
  <c r="C7175" i="69"/>
  <c r="C7176" i="69"/>
  <c r="C7177" i="69"/>
  <c r="C7178" i="69"/>
  <c r="C7179" i="69"/>
  <c r="C7180" i="69"/>
  <c r="C7181" i="69"/>
  <c r="C7182" i="69"/>
  <c r="C7183" i="69"/>
  <c r="C7184" i="69"/>
  <c r="C7185" i="69"/>
  <c r="C7186" i="69"/>
  <c r="C7187" i="69"/>
  <c r="C7188" i="69"/>
  <c r="C7189" i="69"/>
  <c r="C7190" i="69"/>
  <c r="C7191" i="69"/>
  <c r="C7192" i="69"/>
  <c r="C7193" i="69"/>
  <c r="C7194" i="69"/>
  <c r="C7195" i="69"/>
  <c r="C7196" i="69"/>
  <c r="C7197" i="69"/>
  <c r="C7198" i="69"/>
  <c r="C7199" i="69"/>
  <c r="C7200" i="69"/>
  <c r="C7201" i="69"/>
  <c r="C7202" i="69"/>
  <c r="C7203" i="69"/>
  <c r="C7204" i="69"/>
  <c r="C7205" i="69"/>
  <c r="C7206" i="69"/>
  <c r="C7207" i="69"/>
  <c r="C7208" i="69"/>
  <c r="C7209" i="69"/>
  <c r="C7210" i="69"/>
  <c r="C7211" i="69"/>
  <c r="C7212" i="69"/>
  <c r="C7213" i="69"/>
  <c r="C7214" i="69"/>
  <c r="C7215" i="69"/>
  <c r="C7216" i="69"/>
  <c r="C7217" i="69"/>
  <c r="C7218" i="69"/>
  <c r="C7219" i="69"/>
  <c r="C7220" i="69"/>
  <c r="C7221" i="69"/>
  <c r="C7222" i="69"/>
  <c r="C7223" i="69"/>
  <c r="C7224" i="69"/>
  <c r="C7225" i="69"/>
  <c r="C7226" i="69"/>
  <c r="C7227" i="69"/>
  <c r="C7228" i="69"/>
  <c r="C7229" i="69"/>
  <c r="C7230" i="69"/>
  <c r="C7231" i="69"/>
  <c r="C7232" i="69"/>
  <c r="C7233" i="69"/>
  <c r="C7234" i="69"/>
  <c r="C7235" i="69"/>
  <c r="C7236" i="69"/>
  <c r="C7237" i="69"/>
  <c r="C7238" i="69"/>
  <c r="C7239" i="69"/>
  <c r="C7240" i="69"/>
  <c r="C7241" i="69"/>
  <c r="C7242" i="69"/>
  <c r="C7243" i="69"/>
  <c r="C7244" i="69"/>
  <c r="C7245" i="69"/>
  <c r="C7246" i="69"/>
  <c r="C7247" i="69"/>
  <c r="C7248" i="69"/>
  <c r="C7249" i="69"/>
  <c r="C7250" i="69"/>
  <c r="C7251" i="69"/>
  <c r="C7252" i="69"/>
  <c r="C7253" i="69"/>
  <c r="C7254" i="69"/>
  <c r="C7255" i="69"/>
  <c r="C7256" i="69"/>
  <c r="C7257" i="69"/>
  <c r="C7258" i="69"/>
  <c r="C7259" i="69"/>
  <c r="C7260" i="69"/>
  <c r="C7261" i="69"/>
  <c r="C7262" i="69"/>
  <c r="C7263" i="69"/>
  <c r="C7264" i="69"/>
  <c r="C7265" i="69"/>
  <c r="C7266" i="69"/>
  <c r="C7267" i="69"/>
  <c r="C7268" i="69"/>
  <c r="C7269" i="69"/>
  <c r="C7270" i="69"/>
  <c r="C7271" i="69"/>
  <c r="C7272" i="69"/>
  <c r="C7273" i="69"/>
  <c r="C7274" i="69"/>
  <c r="C7275" i="69"/>
  <c r="C7276" i="69"/>
  <c r="C7277" i="69"/>
  <c r="C7278" i="69"/>
  <c r="C7279" i="69"/>
  <c r="C7280" i="69"/>
  <c r="C7281" i="69"/>
  <c r="C7282" i="69"/>
  <c r="C7283" i="69"/>
  <c r="C7284" i="69"/>
  <c r="C7285" i="69"/>
  <c r="C7286" i="69"/>
  <c r="C7287" i="69"/>
  <c r="C7288" i="69"/>
  <c r="C7289" i="69"/>
  <c r="C7290" i="69"/>
  <c r="C7291" i="69"/>
  <c r="C7292" i="69"/>
  <c r="C7293" i="69"/>
  <c r="C7294" i="69"/>
  <c r="C7295" i="69"/>
  <c r="C7296" i="69"/>
  <c r="C7297" i="69"/>
  <c r="C7298" i="69"/>
  <c r="C7299" i="69"/>
  <c r="C7300" i="69"/>
  <c r="C7301" i="69"/>
  <c r="C7302" i="69"/>
  <c r="C7303" i="69"/>
  <c r="C7304" i="69"/>
  <c r="C7305" i="69"/>
  <c r="C7306" i="69"/>
  <c r="C7307" i="69"/>
  <c r="C7308" i="69"/>
  <c r="C7309" i="69"/>
  <c r="C7310" i="69"/>
  <c r="C7311" i="69"/>
  <c r="C7312" i="69"/>
  <c r="C7313" i="69"/>
  <c r="C7314" i="69"/>
  <c r="C7315" i="69"/>
  <c r="C7316" i="69"/>
  <c r="C7317" i="69"/>
  <c r="C7318" i="69"/>
  <c r="C7319" i="69"/>
  <c r="C7320" i="69"/>
  <c r="C7321" i="69"/>
  <c r="C7322" i="69"/>
  <c r="C7323" i="69"/>
  <c r="C7324" i="69"/>
  <c r="C7325" i="69"/>
  <c r="C7326" i="69"/>
  <c r="C7327" i="69"/>
  <c r="C7328" i="69"/>
  <c r="C7329" i="69"/>
  <c r="C7330" i="69"/>
  <c r="C7331" i="69"/>
  <c r="C7332" i="69"/>
  <c r="C7333" i="69"/>
  <c r="C7334" i="69"/>
  <c r="C7335" i="69"/>
  <c r="C7336" i="69"/>
  <c r="C7337" i="69"/>
  <c r="C7338" i="69"/>
  <c r="C7339" i="69"/>
  <c r="C7340" i="69"/>
  <c r="C7341" i="69"/>
  <c r="C7342" i="69"/>
  <c r="C7343" i="69"/>
  <c r="C7344" i="69"/>
  <c r="C7345" i="69"/>
  <c r="C7346" i="69"/>
  <c r="C7347" i="69"/>
  <c r="C7348" i="69"/>
  <c r="C7349" i="69"/>
  <c r="C7350" i="69"/>
  <c r="C7351" i="69"/>
  <c r="C7352" i="69"/>
  <c r="C7353" i="69"/>
  <c r="C7354" i="69"/>
  <c r="C7355" i="69"/>
  <c r="C7356" i="69"/>
  <c r="C7357" i="69"/>
  <c r="C7358" i="69"/>
  <c r="C7359" i="69"/>
  <c r="C7360" i="69"/>
  <c r="C7361" i="69"/>
  <c r="C7362" i="69"/>
  <c r="C7363" i="69"/>
  <c r="C7364" i="69"/>
  <c r="C7365" i="69"/>
  <c r="C7366" i="69"/>
  <c r="C7367" i="69"/>
  <c r="C7368" i="69"/>
  <c r="C7369" i="69"/>
  <c r="C7370" i="69"/>
  <c r="C7371" i="69"/>
  <c r="C7372" i="69"/>
  <c r="C7373" i="69"/>
  <c r="C7374" i="69"/>
  <c r="C7375" i="69"/>
  <c r="C7376" i="69"/>
  <c r="C7377" i="69"/>
  <c r="C7378" i="69"/>
  <c r="C7379" i="69"/>
  <c r="C7380" i="69"/>
  <c r="C7381" i="69"/>
  <c r="C7382" i="69"/>
  <c r="C7383" i="69"/>
  <c r="C7384" i="69"/>
  <c r="C7385" i="69"/>
  <c r="C7386" i="69"/>
  <c r="C7387" i="69"/>
  <c r="C7388" i="69"/>
  <c r="C7389" i="69"/>
  <c r="C7390" i="69"/>
  <c r="C7391" i="69"/>
  <c r="C7392" i="69"/>
  <c r="C7393" i="69"/>
  <c r="C7394" i="69"/>
  <c r="C7395" i="69"/>
  <c r="C7396" i="69"/>
  <c r="C7397" i="69"/>
  <c r="C7398" i="69"/>
  <c r="C7399" i="69"/>
  <c r="C7400" i="69"/>
  <c r="C7401" i="69"/>
  <c r="C7402" i="69"/>
  <c r="C7403" i="69"/>
  <c r="C7404" i="69"/>
  <c r="C7405" i="69"/>
  <c r="C7406" i="69"/>
  <c r="C7407" i="69"/>
  <c r="C7408" i="69"/>
  <c r="C7409" i="69"/>
  <c r="C7410" i="69"/>
  <c r="C7411" i="69"/>
  <c r="C7412" i="69"/>
  <c r="C7413" i="69"/>
  <c r="C7414" i="69"/>
  <c r="C7415" i="69"/>
  <c r="C7416" i="69"/>
  <c r="C7417" i="69"/>
  <c r="C7418" i="69"/>
  <c r="C7419" i="69"/>
  <c r="C7420" i="69"/>
  <c r="C7421" i="69"/>
  <c r="C7422" i="69"/>
  <c r="C7423" i="69"/>
  <c r="C7424" i="69"/>
  <c r="C7425" i="69"/>
  <c r="C7426" i="69"/>
  <c r="C7427" i="69"/>
  <c r="C7428" i="69"/>
  <c r="C7429" i="69"/>
  <c r="C7430" i="69"/>
  <c r="C7431" i="69"/>
  <c r="C7432" i="69"/>
  <c r="C7433" i="69"/>
  <c r="C7434" i="69"/>
  <c r="C7435" i="69"/>
  <c r="C7436" i="69"/>
  <c r="C7437" i="69"/>
  <c r="C7438" i="69"/>
  <c r="C7439" i="69"/>
  <c r="C7440" i="69"/>
  <c r="C7441" i="69"/>
  <c r="C7442" i="69"/>
  <c r="C7443" i="69"/>
  <c r="C7444" i="69"/>
  <c r="C7445" i="69"/>
  <c r="C7446" i="69"/>
  <c r="C7447" i="69"/>
  <c r="C7448" i="69"/>
  <c r="C7449" i="69"/>
  <c r="C7450" i="69"/>
  <c r="C7451" i="69"/>
  <c r="C7452" i="69"/>
  <c r="C7453" i="69"/>
  <c r="C7454" i="69"/>
  <c r="C7455" i="69"/>
  <c r="C7456" i="69"/>
  <c r="C7457" i="69"/>
  <c r="C7458" i="69"/>
  <c r="C7459" i="69"/>
  <c r="C7460" i="69"/>
  <c r="C7461" i="69"/>
  <c r="C7462" i="69"/>
  <c r="C7463" i="69"/>
  <c r="C7464" i="69"/>
  <c r="C7465" i="69"/>
  <c r="C7466" i="69"/>
  <c r="C7467" i="69"/>
  <c r="C7468" i="69"/>
  <c r="C7469" i="69"/>
  <c r="C7470" i="69"/>
  <c r="C7471" i="69"/>
  <c r="C7472" i="69"/>
  <c r="C7473" i="69"/>
  <c r="C7474" i="69"/>
  <c r="C7475" i="69"/>
  <c r="C7476" i="69"/>
  <c r="C7477" i="69"/>
  <c r="C7478" i="69"/>
  <c r="C7479" i="69"/>
  <c r="C7480" i="69"/>
  <c r="C7481" i="69"/>
  <c r="C7482" i="69"/>
  <c r="C7483" i="69"/>
  <c r="C7484" i="69"/>
  <c r="C7485" i="69"/>
  <c r="C7486" i="69"/>
  <c r="C7487" i="69"/>
  <c r="C7488" i="69"/>
  <c r="C7489" i="69"/>
  <c r="C7490" i="69"/>
  <c r="C7491" i="69"/>
  <c r="C7492" i="69"/>
  <c r="C7493" i="69"/>
  <c r="C7494" i="69"/>
  <c r="C7495" i="69"/>
  <c r="C7496" i="69"/>
  <c r="C7497" i="69"/>
  <c r="C7498" i="69"/>
  <c r="C7499" i="69"/>
  <c r="C7500" i="69"/>
  <c r="C7501" i="69"/>
  <c r="C7502" i="69"/>
  <c r="C7503" i="69"/>
  <c r="C7504" i="69"/>
  <c r="C7505" i="69"/>
  <c r="C7506" i="69"/>
  <c r="C7507" i="69"/>
  <c r="C7508" i="69"/>
  <c r="C7509" i="69"/>
  <c r="C7510" i="69"/>
  <c r="C7511" i="69"/>
  <c r="C7512" i="69"/>
  <c r="C7513" i="69"/>
  <c r="C7514" i="69"/>
  <c r="C7515" i="69"/>
  <c r="C7516" i="69"/>
  <c r="C7517" i="69"/>
  <c r="C7518" i="69"/>
  <c r="C7519" i="69"/>
  <c r="C7520" i="69"/>
  <c r="C7521" i="69"/>
  <c r="C7522" i="69"/>
  <c r="C7523" i="69"/>
  <c r="C7524" i="69"/>
  <c r="C7525" i="69"/>
  <c r="C7526" i="69"/>
  <c r="C7527" i="69"/>
  <c r="C7528" i="69"/>
  <c r="C7529" i="69"/>
  <c r="C7530" i="69"/>
  <c r="C7531" i="69"/>
  <c r="C7532" i="69"/>
  <c r="C7533" i="69"/>
  <c r="C7534" i="69"/>
  <c r="C7535" i="69"/>
  <c r="C7536" i="69"/>
  <c r="C7537" i="69"/>
  <c r="C7538" i="69"/>
  <c r="C7539" i="69"/>
  <c r="C7540" i="69"/>
  <c r="C7541" i="69"/>
  <c r="C7542" i="69"/>
  <c r="C7543" i="69"/>
  <c r="C7544" i="69"/>
  <c r="C7545" i="69"/>
  <c r="C7546" i="69"/>
  <c r="C7547" i="69"/>
  <c r="C7548" i="69"/>
  <c r="C7549" i="69"/>
  <c r="C7550" i="69"/>
  <c r="C7551" i="69"/>
  <c r="C7552" i="69"/>
  <c r="C7553" i="69"/>
  <c r="C7554" i="69"/>
  <c r="C7555" i="69"/>
  <c r="C7556" i="69"/>
  <c r="C7557" i="69"/>
  <c r="C7558" i="69"/>
  <c r="C7559" i="69"/>
  <c r="C7560" i="69"/>
  <c r="C7561" i="69"/>
  <c r="C7562" i="69"/>
  <c r="C7563" i="69"/>
  <c r="C7564" i="69"/>
  <c r="C7565" i="69"/>
  <c r="C7566" i="69"/>
  <c r="C7567" i="69"/>
  <c r="C7568" i="69"/>
  <c r="C7569" i="69"/>
  <c r="C7570" i="69"/>
  <c r="C7571" i="69"/>
  <c r="C7572" i="69"/>
  <c r="C7573" i="69"/>
  <c r="C7574" i="69"/>
  <c r="C7575" i="69"/>
  <c r="C7576" i="69"/>
  <c r="C7577" i="69"/>
  <c r="C7578" i="69"/>
  <c r="C7579" i="69"/>
  <c r="C7580" i="69"/>
  <c r="C7581" i="69"/>
  <c r="C7582" i="69"/>
  <c r="C7583" i="69"/>
  <c r="C7584" i="69"/>
  <c r="C7585" i="69"/>
  <c r="C7586" i="69"/>
  <c r="C7587" i="69"/>
  <c r="C7588" i="69"/>
  <c r="C7589" i="69"/>
  <c r="C7590" i="69"/>
  <c r="C7591" i="69"/>
  <c r="C7592" i="69"/>
  <c r="C7593" i="69"/>
  <c r="C7594" i="69"/>
  <c r="C7595" i="69"/>
  <c r="C7596" i="69"/>
  <c r="C7597" i="69"/>
  <c r="C7598" i="69"/>
  <c r="C7599" i="69"/>
  <c r="C7600" i="69"/>
  <c r="C7601" i="69"/>
  <c r="C7602" i="69"/>
  <c r="C7603" i="69"/>
  <c r="C7604" i="69"/>
  <c r="C7605" i="69"/>
  <c r="C7606" i="69"/>
  <c r="C7607" i="69"/>
  <c r="C7608" i="69"/>
  <c r="C7609" i="69"/>
  <c r="C7610" i="69"/>
  <c r="C7611" i="69"/>
  <c r="C7612" i="69"/>
  <c r="C7613" i="69"/>
  <c r="C7614" i="69"/>
  <c r="C7615" i="69"/>
  <c r="C7616" i="69"/>
  <c r="C7617" i="69"/>
  <c r="C7618" i="69"/>
  <c r="C7619" i="69"/>
  <c r="C7620" i="69"/>
  <c r="C7621" i="69"/>
  <c r="C7622" i="69"/>
  <c r="C7623" i="69"/>
  <c r="C7624" i="69"/>
  <c r="C7625" i="69"/>
  <c r="C7626" i="69"/>
  <c r="C7627" i="69"/>
  <c r="C7628" i="69"/>
  <c r="C7629" i="69"/>
  <c r="C7630" i="69"/>
  <c r="C7631" i="69"/>
  <c r="C7632" i="69"/>
  <c r="C7633" i="69"/>
  <c r="C7634" i="69"/>
  <c r="C7635" i="69"/>
  <c r="C7636" i="69"/>
  <c r="C7637" i="69"/>
  <c r="C7638" i="69"/>
  <c r="C7639" i="69"/>
  <c r="C7640" i="69"/>
  <c r="C7641" i="69"/>
  <c r="C7642" i="69"/>
  <c r="C7643" i="69"/>
  <c r="C7644" i="69"/>
  <c r="C7645" i="69"/>
  <c r="C7646" i="69"/>
  <c r="C7647" i="69"/>
  <c r="C7648" i="69"/>
  <c r="C7649" i="69"/>
  <c r="C7650" i="69"/>
  <c r="C7651" i="69"/>
  <c r="C7652" i="69"/>
  <c r="C7653" i="69"/>
  <c r="C7654" i="69"/>
  <c r="C7655" i="69"/>
  <c r="C7656" i="69"/>
  <c r="C7657" i="69"/>
  <c r="C7658" i="69"/>
  <c r="C7659" i="69"/>
  <c r="C7660" i="69"/>
  <c r="C7661" i="69"/>
  <c r="C7662" i="69"/>
  <c r="C7663" i="69"/>
  <c r="C7664" i="69"/>
  <c r="C7665" i="69"/>
  <c r="C7666" i="69"/>
  <c r="C7667" i="69"/>
  <c r="C7668" i="69"/>
  <c r="C7669" i="69"/>
  <c r="C7670" i="69"/>
  <c r="C7671" i="69"/>
  <c r="C7672" i="69"/>
  <c r="C7673" i="69"/>
  <c r="C7674" i="69"/>
  <c r="C7675" i="69"/>
  <c r="C7676" i="69"/>
  <c r="C7677" i="69"/>
  <c r="C7678" i="69"/>
  <c r="C7679" i="69"/>
  <c r="C7680" i="69"/>
  <c r="C7681" i="69"/>
  <c r="C7682" i="69"/>
  <c r="C7683" i="69"/>
  <c r="C7684" i="69"/>
  <c r="C7685" i="69"/>
  <c r="C7686" i="69"/>
  <c r="C7687" i="69"/>
  <c r="C7688" i="69"/>
  <c r="C7689" i="69"/>
  <c r="C7690" i="69"/>
  <c r="C7691" i="69"/>
  <c r="C7692" i="69"/>
  <c r="C7693" i="69"/>
  <c r="C7694" i="69"/>
  <c r="C7695" i="69"/>
  <c r="C7696" i="69"/>
  <c r="C7697" i="69"/>
  <c r="C7698" i="69"/>
  <c r="C7699" i="69"/>
  <c r="C7700" i="69"/>
  <c r="C7701" i="69"/>
  <c r="C7702" i="69"/>
  <c r="C7703" i="69"/>
  <c r="C7704" i="69"/>
  <c r="C7705" i="69"/>
  <c r="C7706" i="69"/>
  <c r="C7707" i="69"/>
  <c r="C7708" i="69"/>
  <c r="C7709" i="69"/>
  <c r="C7710" i="69"/>
  <c r="C7711" i="69"/>
  <c r="C7712" i="69"/>
  <c r="C7713" i="69"/>
  <c r="C7714" i="69"/>
  <c r="C7715" i="69"/>
  <c r="C7716" i="69"/>
  <c r="C7717" i="69"/>
  <c r="C7718" i="69"/>
  <c r="C7719" i="69"/>
  <c r="C7720" i="69"/>
  <c r="C7721" i="69"/>
  <c r="C7722" i="69"/>
  <c r="C7723" i="69"/>
  <c r="C7724" i="69"/>
  <c r="C7725" i="69"/>
  <c r="C7726" i="69"/>
  <c r="C7727" i="69"/>
  <c r="C7728" i="69"/>
  <c r="C7729" i="69"/>
  <c r="C7730" i="69"/>
  <c r="C7731" i="69"/>
  <c r="C7732" i="69"/>
  <c r="C7733" i="69"/>
  <c r="C7734" i="69"/>
  <c r="C7735" i="69"/>
  <c r="C7736" i="69"/>
  <c r="C7737" i="69"/>
  <c r="C7738" i="69"/>
  <c r="C7739" i="69"/>
  <c r="C7740" i="69"/>
  <c r="C7741" i="69"/>
  <c r="C7742" i="69"/>
  <c r="C7743" i="69"/>
  <c r="C7744" i="69"/>
  <c r="C7745" i="69"/>
  <c r="C7746" i="69"/>
  <c r="C7747" i="69"/>
  <c r="C7748" i="69"/>
  <c r="C7749" i="69"/>
  <c r="C7750" i="69"/>
  <c r="C7751" i="69"/>
  <c r="C7752" i="69"/>
  <c r="C7753" i="69"/>
  <c r="C7754" i="69"/>
  <c r="C7755" i="69"/>
  <c r="C7756" i="69"/>
  <c r="C7757" i="69"/>
  <c r="C7758" i="69"/>
  <c r="C7759" i="69"/>
  <c r="C7760" i="69"/>
  <c r="C7761" i="69"/>
  <c r="C7762" i="69"/>
  <c r="C7763" i="69"/>
  <c r="C7764" i="69"/>
  <c r="C7765" i="69"/>
  <c r="C7766" i="69"/>
  <c r="C7767" i="69"/>
  <c r="C7768" i="69"/>
  <c r="C7769" i="69"/>
  <c r="C7770" i="69"/>
  <c r="C7771" i="69"/>
  <c r="C7772" i="69"/>
  <c r="C7773" i="69"/>
  <c r="C7774" i="69"/>
  <c r="C7775" i="69"/>
  <c r="C7776" i="69"/>
  <c r="C7777" i="69"/>
  <c r="C7778" i="69"/>
  <c r="C7779" i="69"/>
  <c r="C7780" i="69"/>
  <c r="C7781" i="69"/>
  <c r="C7782" i="69"/>
  <c r="C7783" i="69"/>
  <c r="C7784" i="69"/>
  <c r="C7785" i="69"/>
  <c r="C7786" i="69"/>
  <c r="C7787" i="69"/>
  <c r="C7788" i="69"/>
  <c r="C7789" i="69"/>
  <c r="C7790" i="69"/>
  <c r="C7791" i="69"/>
  <c r="C7792" i="69"/>
  <c r="C7793" i="69"/>
  <c r="C7794" i="69"/>
  <c r="C7795" i="69"/>
  <c r="C7796" i="69"/>
  <c r="C7797" i="69"/>
  <c r="C7798" i="69"/>
  <c r="C7799" i="69"/>
  <c r="C7800" i="69"/>
  <c r="C7801" i="69"/>
  <c r="C7802" i="69"/>
  <c r="C7803" i="69"/>
  <c r="C7804" i="69"/>
  <c r="C7805" i="69"/>
  <c r="C7806" i="69"/>
  <c r="C7807" i="69"/>
  <c r="C7808" i="69"/>
  <c r="C7809" i="69"/>
  <c r="C7810" i="69"/>
  <c r="C7811" i="69"/>
  <c r="C7812" i="69"/>
  <c r="C7813" i="69"/>
  <c r="C7814" i="69"/>
  <c r="C7815" i="69"/>
  <c r="C7816" i="69"/>
  <c r="C7817" i="69"/>
  <c r="C7818" i="69"/>
  <c r="C7819" i="69"/>
  <c r="C7820" i="69"/>
  <c r="C7821" i="69"/>
  <c r="C7822" i="69"/>
  <c r="C7823" i="69"/>
  <c r="C7824" i="69"/>
  <c r="C7825" i="69"/>
  <c r="C7826" i="69"/>
  <c r="C7827" i="69"/>
  <c r="C7828" i="69"/>
  <c r="C7829" i="69"/>
  <c r="C7830" i="69"/>
  <c r="C7831" i="69"/>
  <c r="C7832" i="69"/>
  <c r="C7833" i="69"/>
  <c r="C7834" i="69"/>
  <c r="C7835" i="69"/>
  <c r="C7836" i="69"/>
  <c r="C7837" i="69"/>
  <c r="C7838" i="69"/>
  <c r="C7839" i="69"/>
  <c r="C7840" i="69"/>
  <c r="C7841" i="69"/>
  <c r="C7842" i="69"/>
  <c r="C7843" i="69"/>
  <c r="C7844" i="69"/>
  <c r="C7845" i="69"/>
  <c r="C7846" i="69"/>
  <c r="C7847" i="69"/>
  <c r="C7848" i="69"/>
  <c r="C7849" i="69"/>
  <c r="C7850" i="69"/>
  <c r="C7851" i="69"/>
  <c r="C7852" i="69"/>
  <c r="C7853" i="69"/>
  <c r="C7854" i="69"/>
  <c r="C7855" i="69"/>
  <c r="C7856" i="69"/>
  <c r="C7857" i="69"/>
  <c r="C7858" i="69"/>
  <c r="C7859" i="69"/>
  <c r="C7860" i="69"/>
  <c r="C7861" i="69"/>
  <c r="C7862" i="69"/>
  <c r="C7863" i="69"/>
  <c r="C7864" i="69"/>
  <c r="C7865" i="69"/>
  <c r="C7866" i="69"/>
  <c r="C7867" i="69"/>
  <c r="C7868" i="69"/>
  <c r="C7869" i="69"/>
  <c r="C7870" i="69"/>
  <c r="C7871" i="69"/>
  <c r="C7872" i="69"/>
  <c r="C7873" i="69"/>
  <c r="C7874" i="69"/>
  <c r="C7875" i="69"/>
  <c r="C7876" i="69"/>
  <c r="C7877" i="69"/>
  <c r="C7878" i="69"/>
  <c r="C7879" i="69"/>
  <c r="C7880" i="69"/>
  <c r="C7881" i="69"/>
  <c r="C7882" i="69"/>
  <c r="C7883" i="69"/>
  <c r="C7884" i="69"/>
  <c r="C7885" i="69"/>
  <c r="C7886" i="69"/>
  <c r="C7887" i="69"/>
  <c r="C7888" i="69"/>
  <c r="C7889" i="69"/>
  <c r="C7890" i="69"/>
  <c r="C7891" i="69"/>
  <c r="C7892" i="69"/>
  <c r="C7893" i="69"/>
  <c r="C7894" i="69"/>
  <c r="C7895" i="69"/>
  <c r="C7896" i="69"/>
  <c r="C7897" i="69"/>
  <c r="C7898" i="69"/>
  <c r="C7899" i="69"/>
  <c r="C7900" i="69"/>
  <c r="C7901" i="69"/>
  <c r="C7902" i="69"/>
  <c r="C7903" i="69"/>
  <c r="C7904" i="69"/>
  <c r="C7905" i="69"/>
  <c r="C7906" i="69"/>
  <c r="C7907" i="69"/>
  <c r="C7908" i="69"/>
  <c r="C7909" i="69"/>
  <c r="C7910" i="69"/>
  <c r="C7911" i="69"/>
  <c r="C7912" i="69"/>
  <c r="C7913" i="69"/>
  <c r="C7914" i="69"/>
  <c r="C7915" i="69"/>
  <c r="C7916" i="69"/>
  <c r="C7917" i="69"/>
  <c r="C7918" i="69"/>
  <c r="C7919" i="69"/>
  <c r="C7920" i="69"/>
  <c r="C7921" i="69"/>
  <c r="C7922" i="69"/>
  <c r="C7923" i="69"/>
  <c r="C7924" i="69"/>
  <c r="C7925" i="69"/>
  <c r="C7926" i="69"/>
  <c r="C7927" i="69"/>
  <c r="C7928" i="69"/>
  <c r="C7929" i="69"/>
  <c r="C7930" i="69"/>
  <c r="C7931" i="69"/>
  <c r="C7932" i="69"/>
  <c r="C7933" i="69"/>
  <c r="C7934" i="69"/>
  <c r="C7935" i="69"/>
  <c r="C7936" i="69"/>
  <c r="C7937" i="69"/>
  <c r="C7938" i="69"/>
  <c r="C7939" i="69"/>
  <c r="C7940" i="69"/>
  <c r="C7941" i="69"/>
  <c r="C7942" i="69"/>
  <c r="C7943" i="69"/>
  <c r="C7944" i="69"/>
  <c r="C7945" i="69"/>
  <c r="C7946" i="69"/>
  <c r="C7947" i="69"/>
  <c r="C7948" i="69"/>
  <c r="C7949" i="69"/>
  <c r="C7950" i="69"/>
  <c r="C7951" i="69"/>
  <c r="C7952" i="69"/>
  <c r="C7953" i="69"/>
  <c r="C7954" i="69"/>
  <c r="C7955" i="69"/>
  <c r="C7956" i="69"/>
  <c r="C7957" i="69"/>
  <c r="C7958" i="69"/>
  <c r="C7959" i="69"/>
  <c r="C7960" i="69"/>
  <c r="C7961" i="69"/>
  <c r="C7962" i="69"/>
  <c r="C7963" i="69"/>
  <c r="C7964" i="69"/>
  <c r="C7965" i="69"/>
  <c r="C7966" i="69"/>
  <c r="C7967" i="69"/>
  <c r="C7968" i="69"/>
  <c r="C7969" i="69"/>
  <c r="C7970" i="69"/>
  <c r="C7971" i="69"/>
  <c r="C7972" i="69"/>
  <c r="C7973" i="69"/>
  <c r="C7974" i="69"/>
  <c r="C7975" i="69"/>
  <c r="C7976" i="69"/>
  <c r="C7977" i="69"/>
  <c r="C7978" i="69"/>
  <c r="C7979" i="69"/>
  <c r="C7980" i="69"/>
  <c r="C7981" i="69"/>
  <c r="C7982" i="69"/>
  <c r="C7983" i="69"/>
  <c r="C7984" i="69"/>
  <c r="C7985" i="69"/>
  <c r="C7986" i="69"/>
  <c r="C7987" i="69"/>
  <c r="C7988" i="69"/>
  <c r="C7989" i="69"/>
  <c r="C7990" i="69"/>
  <c r="C7991" i="69"/>
  <c r="C7992" i="69"/>
  <c r="C7993" i="69"/>
  <c r="C7994" i="69"/>
  <c r="C7995" i="69"/>
  <c r="C7996" i="69"/>
  <c r="C7997" i="69"/>
  <c r="C7998" i="69"/>
  <c r="C7999" i="69"/>
  <c r="C8000" i="69"/>
  <c r="C8001" i="69"/>
  <c r="C8002" i="69"/>
  <c r="C8003" i="69"/>
  <c r="C8004" i="69"/>
  <c r="C8005" i="69"/>
  <c r="C8006" i="69"/>
  <c r="C8007" i="69"/>
  <c r="C8008" i="69"/>
  <c r="C8009" i="69"/>
  <c r="C8010" i="69"/>
  <c r="C8011" i="69"/>
  <c r="C8012" i="69"/>
  <c r="C8013" i="69"/>
  <c r="C8014" i="69"/>
  <c r="C8015" i="69"/>
  <c r="C8016" i="69"/>
  <c r="C8017" i="69"/>
  <c r="C8018" i="69"/>
  <c r="C8019" i="69"/>
  <c r="C8020" i="69"/>
  <c r="C8021" i="69"/>
  <c r="C8022" i="69"/>
  <c r="C8023" i="69"/>
  <c r="C8024" i="69"/>
  <c r="C8025" i="69"/>
  <c r="C8026" i="69"/>
  <c r="C8027" i="69"/>
  <c r="C8028" i="69"/>
  <c r="C8029" i="69"/>
  <c r="C8030" i="69"/>
  <c r="C8031" i="69"/>
  <c r="C8032" i="69"/>
  <c r="C8033" i="69"/>
  <c r="C8034" i="69"/>
  <c r="C8035" i="69"/>
  <c r="C8036" i="69"/>
  <c r="C8037" i="69"/>
  <c r="C8038" i="69"/>
  <c r="C8039" i="69"/>
  <c r="C8040" i="69"/>
  <c r="C8041" i="69"/>
  <c r="C8042" i="69"/>
  <c r="C8043" i="69"/>
  <c r="C8044" i="69"/>
  <c r="C8045" i="69"/>
  <c r="C8046" i="69"/>
  <c r="C8047" i="69"/>
  <c r="C8048" i="69"/>
  <c r="C8049" i="69"/>
  <c r="C8050" i="69"/>
  <c r="C8051" i="69"/>
  <c r="C8052" i="69"/>
  <c r="C8053" i="69"/>
  <c r="C8054" i="69"/>
  <c r="C8055" i="69"/>
  <c r="C8056" i="69"/>
  <c r="C8057" i="69"/>
  <c r="C8058" i="69"/>
  <c r="C8059" i="69"/>
  <c r="C8060" i="69"/>
  <c r="C8061" i="69"/>
  <c r="C8062" i="69"/>
  <c r="C8063" i="69"/>
  <c r="C8064" i="69"/>
  <c r="C8065" i="69"/>
  <c r="C8066" i="69"/>
  <c r="C8067" i="69"/>
  <c r="C8068" i="69"/>
  <c r="C8069" i="69"/>
  <c r="C8070" i="69"/>
  <c r="C8071" i="69"/>
  <c r="C8072" i="69"/>
  <c r="C8073" i="69"/>
  <c r="C8074" i="69"/>
  <c r="C8075" i="69"/>
  <c r="C8076" i="69"/>
  <c r="C8077" i="69"/>
  <c r="C8078" i="69"/>
  <c r="C8079" i="69"/>
  <c r="C8080" i="69"/>
  <c r="C8081" i="69"/>
  <c r="C8082" i="69"/>
  <c r="C8083" i="69"/>
  <c r="C8084" i="69"/>
  <c r="C8085" i="69"/>
  <c r="C8086" i="69"/>
  <c r="C8087" i="69"/>
  <c r="C8088" i="69"/>
  <c r="C8089" i="69"/>
  <c r="C8090" i="69"/>
  <c r="C8091" i="69"/>
  <c r="C8092" i="69"/>
  <c r="C8093" i="69"/>
  <c r="C8094" i="69"/>
  <c r="C8095" i="69"/>
  <c r="C8096" i="69"/>
  <c r="C8097" i="69"/>
  <c r="C8098" i="69"/>
  <c r="C8099" i="69"/>
  <c r="C8100" i="69"/>
  <c r="C8101" i="69"/>
  <c r="C8102" i="69"/>
  <c r="C8103" i="69"/>
  <c r="C8104" i="69"/>
  <c r="C8105" i="69"/>
  <c r="C8106" i="69"/>
  <c r="C8107" i="69"/>
  <c r="C8108" i="69"/>
  <c r="C8109" i="69"/>
  <c r="C8110" i="69"/>
  <c r="C8111" i="69"/>
  <c r="C8112" i="69"/>
  <c r="C8113" i="69"/>
  <c r="C8114" i="69"/>
  <c r="C8115" i="69"/>
  <c r="C8116" i="69"/>
  <c r="C8117" i="69"/>
  <c r="C8118" i="69"/>
  <c r="C8119" i="69"/>
  <c r="C8120" i="69"/>
  <c r="C8121" i="69"/>
  <c r="C8122" i="69"/>
  <c r="C8123" i="69"/>
  <c r="C8124" i="69"/>
  <c r="C8125" i="69"/>
  <c r="C8126" i="69"/>
  <c r="C8127" i="69"/>
  <c r="C8128" i="69"/>
  <c r="C8129" i="69"/>
  <c r="C8130" i="69"/>
  <c r="C8131" i="69"/>
  <c r="C8132" i="69"/>
  <c r="C8133" i="69"/>
  <c r="C8134" i="69"/>
  <c r="C8135" i="69"/>
  <c r="C8136" i="69"/>
  <c r="C8137" i="69"/>
  <c r="C8138" i="69"/>
  <c r="C8139" i="69"/>
  <c r="C8140" i="69"/>
  <c r="C8141" i="69"/>
  <c r="C8142" i="69"/>
  <c r="C8143" i="69"/>
  <c r="C8144" i="69"/>
  <c r="C8145" i="69"/>
  <c r="C8146" i="69"/>
  <c r="C8147" i="69"/>
  <c r="C8148" i="69"/>
  <c r="C8149" i="69"/>
  <c r="C8150" i="69"/>
  <c r="C8151" i="69"/>
  <c r="C8152" i="69"/>
  <c r="C8153" i="69"/>
  <c r="C8154" i="69"/>
  <c r="C8155" i="69"/>
  <c r="C8156" i="69"/>
  <c r="C8157" i="69"/>
  <c r="C8158" i="69"/>
  <c r="C8159" i="69"/>
  <c r="C8160" i="69"/>
  <c r="C8161" i="69"/>
  <c r="C8162" i="69"/>
  <c r="C8163" i="69"/>
  <c r="C8164" i="69"/>
  <c r="C8165" i="69"/>
  <c r="C8166" i="69"/>
  <c r="C8167" i="69"/>
  <c r="C8168" i="69"/>
  <c r="C8169" i="69"/>
  <c r="C8170" i="69"/>
  <c r="C8171" i="69"/>
  <c r="C8172" i="69"/>
  <c r="C8173" i="69"/>
  <c r="C8174" i="69"/>
  <c r="C8175" i="69"/>
  <c r="C8176" i="69"/>
  <c r="C8177" i="69"/>
  <c r="C8178" i="69"/>
  <c r="C8179" i="69"/>
  <c r="C8180" i="69"/>
  <c r="C8181" i="69"/>
  <c r="C8182" i="69"/>
  <c r="C8183" i="69"/>
  <c r="C8184" i="69"/>
  <c r="C8185" i="69"/>
  <c r="C8186" i="69"/>
  <c r="C8187" i="69"/>
  <c r="C8188" i="69"/>
  <c r="C8189" i="69"/>
  <c r="C8190" i="69"/>
  <c r="C8191" i="69"/>
  <c r="C8192" i="69"/>
  <c r="C8193" i="69"/>
  <c r="C8194" i="69"/>
  <c r="C8195" i="69"/>
  <c r="C8196" i="69"/>
  <c r="C8197" i="69"/>
  <c r="C8198" i="69"/>
  <c r="C8199" i="69"/>
  <c r="C8200" i="69"/>
  <c r="C8201" i="69"/>
  <c r="C8202" i="69"/>
  <c r="C8203" i="69"/>
  <c r="C8204" i="69"/>
  <c r="C8205" i="69"/>
  <c r="C8206" i="69"/>
  <c r="C8207" i="69"/>
  <c r="C8208" i="69"/>
  <c r="C8209" i="69"/>
  <c r="C8210" i="69"/>
  <c r="C8211" i="69"/>
  <c r="C8212" i="69"/>
  <c r="C8213" i="69"/>
  <c r="C8214" i="69"/>
  <c r="C8215" i="69"/>
  <c r="C8216" i="69"/>
  <c r="C8217" i="69"/>
  <c r="C8218" i="69"/>
  <c r="C8219" i="69"/>
  <c r="C8220" i="69"/>
  <c r="C8221" i="69"/>
  <c r="C8222" i="69"/>
  <c r="C8223" i="69"/>
  <c r="C8224" i="69"/>
  <c r="C8225" i="69"/>
  <c r="C8226" i="69"/>
  <c r="C8227" i="69"/>
  <c r="C8228" i="69"/>
  <c r="C8229" i="69"/>
  <c r="C8230" i="69"/>
  <c r="C8231" i="69"/>
  <c r="C8232" i="69"/>
  <c r="C8233" i="69"/>
  <c r="C8234" i="69"/>
  <c r="C8235" i="69"/>
  <c r="C8236" i="69"/>
  <c r="C8237" i="69"/>
  <c r="C8238" i="69"/>
  <c r="C8239" i="69"/>
  <c r="C8240" i="69"/>
  <c r="C8241" i="69"/>
  <c r="C8242" i="69"/>
  <c r="C8243" i="69"/>
  <c r="C8244" i="69"/>
  <c r="C8245" i="69"/>
  <c r="C8246" i="69"/>
  <c r="C8247" i="69"/>
  <c r="C8248" i="69"/>
  <c r="C8249" i="69"/>
  <c r="C8250" i="69"/>
  <c r="C8251" i="69"/>
  <c r="C8252" i="69"/>
  <c r="C8253" i="69"/>
  <c r="C8254" i="69"/>
  <c r="C8255" i="69"/>
  <c r="C8256" i="69"/>
  <c r="C8257" i="69"/>
  <c r="C8258" i="69"/>
  <c r="C8259" i="69"/>
  <c r="C8260" i="69"/>
  <c r="C8261" i="69"/>
  <c r="C8262" i="69"/>
  <c r="C8263" i="69"/>
  <c r="C8264" i="69"/>
  <c r="C8265" i="69"/>
  <c r="C8266" i="69"/>
  <c r="C8267" i="69"/>
  <c r="C8268" i="69"/>
  <c r="C8269" i="69"/>
  <c r="C8270" i="69"/>
  <c r="C8271" i="69"/>
  <c r="C8272" i="69"/>
  <c r="C8273" i="69"/>
  <c r="C8274" i="69"/>
  <c r="C8275" i="69"/>
  <c r="C8276" i="69"/>
  <c r="C8277" i="69"/>
  <c r="C8278" i="69"/>
  <c r="C8279" i="69"/>
  <c r="C8280" i="69"/>
  <c r="C8281" i="69"/>
  <c r="C8282" i="69"/>
  <c r="C8283" i="69"/>
  <c r="C8284" i="69"/>
  <c r="C8285" i="69"/>
  <c r="C8286" i="69"/>
  <c r="C8287" i="69"/>
  <c r="C8288" i="69"/>
  <c r="C8289" i="69"/>
  <c r="C8290" i="69"/>
  <c r="C8291" i="69"/>
  <c r="C8292" i="69"/>
  <c r="C8293" i="69"/>
  <c r="C8294" i="69"/>
  <c r="C8295" i="69"/>
  <c r="C8296" i="69"/>
  <c r="C8297" i="69"/>
  <c r="C8298" i="69"/>
  <c r="C8299" i="69"/>
  <c r="C8300" i="69"/>
  <c r="C8301" i="69"/>
  <c r="C8302" i="69"/>
  <c r="C8303" i="69"/>
  <c r="C8304" i="69"/>
  <c r="C8305" i="69"/>
  <c r="C8306" i="69"/>
  <c r="C8307" i="69"/>
  <c r="C8308" i="69"/>
  <c r="C8309" i="69"/>
  <c r="C8310" i="69"/>
  <c r="C8311" i="69"/>
  <c r="C8312" i="69"/>
  <c r="C8313" i="69"/>
  <c r="C8314" i="69"/>
  <c r="C8315" i="69"/>
  <c r="C8316" i="69"/>
  <c r="C8317" i="69"/>
  <c r="C8318" i="69"/>
  <c r="C8319" i="69"/>
  <c r="C8320" i="69"/>
  <c r="C8321" i="69"/>
  <c r="C8322" i="69"/>
  <c r="C8323" i="69"/>
  <c r="C8324" i="69"/>
  <c r="C8325" i="69"/>
  <c r="C8326" i="69"/>
  <c r="C8327" i="69"/>
  <c r="C8328" i="69"/>
  <c r="C8329" i="69"/>
  <c r="C8330" i="69"/>
  <c r="C8331" i="69"/>
  <c r="C8332" i="69"/>
  <c r="C8333" i="69"/>
  <c r="C8334" i="69"/>
  <c r="C8335" i="69"/>
  <c r="C8336" i="69"/>
  <c r="C8337" i="69"/>
  <c r="C8338" i="69"/>
  <c r="C8339" i="69"/>
  <c r="C8340" i="69"/>
  <c r="C8341" i="69"/>
  <c r="C8342" i="69"/>
  <c r="C8343" i="69"/>
  <c r="C8344" i="69"/>
  <c r="C8345" i="69"/>
  <c r="C8346" i="69"/>
  <c r="C8347" i="69"/>
  <c r="C8348" i="69"/>
  <c r="C8349" i="69"/>
  <c r="C8350" i="69"/>
  <c r="C8351" i="69"/>
  <c r="C8352" i="69"/>
  <c r="C8353" i="69"/>
  <c r="C8354" i="69"/>
  <c r="C8355" i="69"/>
  <c r="C8356" i="69"/>
  <c r="C8357" i="69"/>
  <c r="C8358" i="69"/>
  <c r="C8359" i="69"/>
  <c r="C8360" i="69"/>
  <c r="C8361" i="69"/>
  <c r="C8362" i="69"/>
  <c r="C8363" i="69"/>
  <c r="C8364" i="69"/>
  <c r="C8365" i="69"/>
  <c r="C8366" i="69"/>
  <c r="C8367" i="69"/>
  <c r="C8368" i="69"/>
  <c r="C8369" i="69"/>
  <c r="C8370" i="69"/>
  <c r="C8371" i="69"/>
  <c r="C8372" i="69"/>
  <c r="C8373" i="69"/>
  <c r="C8374" i="69"/>
  <c r="C8375" i="69"/>
  <c r="C8376" i="69"/>
  <c r="C8377" i="69"/>
  <c r="C8378" i="69"/>
  <c r="C8379" i="69"/>
  <c r="C8380" i="69"/>
  <c r="C8381" i="69"/>
  <c r="C8382" i="69"/>
  <c r="C8383" i="69"/>
  <c r="C8384" i="69"/>
  <c r="C8385" i="69"/>
  <c r="C8386" i="69"/>
  <c r="C8387" i="69"/>
  <c r="C8388" i="69"/>
  <c r="C8389" i="69"/>
  <c r="C8390" i="69"/>
  <c r="C8391" i="69"/>
  <c r="C8392" i="69"/>
  <c r="C8393" i="69"/>
  <c r="C8394" i="69"/>
  <c r="C8395" i="69"/>
  <c r="C8396" i="69"/>
  <c r="C8397" i="69"/>
  <c r="C8398" i="69"/>
  <c r="C8399" i="69"/>
  <c r="C8400" i="69"/>
  <c r="C8401" i="69"/>
  <c r="C8402" i="69"/>
  <c r="C8403" i="69"/>
  <c r="C8404" i="69"/>
  <c r="C8405" i="69"/>
  <c r="C8406" i="69"/>
  <c r="C8407" i="69"/>
  <c r="C8408" i="69"/>
  <c r="C8409" i="69"/>
  <c r="C8410" i="69"/>
  <c r="C8411" i="69"/>
  <c r="C8412" i="69"/>
  <c r="C8413" i="69"/>
  <c r="C8414" i="69"/>
  <c r="C8415" i="69"/>
  <c r="C8416" i="69"/>
  <c r="C8417" i="69"/>
  <c r="C8418" i="69"/>
  <c r="C8419" i="69"/>
  <c r="C8420" i="69"/>
  <c r="C8421" i="69"/>
  <c r="C8422" i="69"/>
  <c r="C8423" i="69"/>
  <c r="C8424" i="69"/>
  <c r="C8425" i="69"/>
  <c r="C8426" i="69"/>
  <c r="C8427" i="69"/>
  <c r="C8428" i="69"/>
  <c r="C8429" i="69"/>
  <c r="C8430" i="69"/>
  <c r="C8431" i="69"/>
  <c r="C8432" i="69"/>
  <c r="C8433" i="69"/>
  <c r="C8434" i="69"/>
  <c r="C8435" i="69"/>
  <c r="C8436" i="69"/>
  <c r="C8437" i="69"/>
  <c r="C8438" i="69"/>
  <c r="C8439" i="69"/>
  <c r="C8440" i="69"/>
  <c r="C8441" i="69"/>
  <c r="C8442" i="69"/>
  <c r="C8443" i="69"/>
  <c r="C8444" i="69"/>
  <c r="C8445" i="69"/>
  <c r="C8446" i="69"/>
  <c r="C8447" i="69"/>
  <c r="C8448" i="69"/>
  <c r="C8449" i="69"/>
  <c r="C8450" i="69"/>
  <c r="C8451" i="69"/>
  <c r="C8452" i="69"/>
  <c r="C8453" i="69"/>
  <c r="C8454" i="69"/>
  <c r="C8455" i="69"/>
  <c r="C8456" i="69"/>
  <c r="C8457" i="69"/>
  <c r="C8458" i="69"/>
  <c r="C8459" i="69"/>
  <c r="C8460" i="69"/>
  <c r="C8461" i="69"/>
  <c r="C8462" i="69"/>
  <c r="C8463" i="69"/>
  <c r="C8464" i="69"/>
  <c r="C8465" i="69"/>
  <c r="C8466" i="69"/>
  <c r="C8467" i="69"/>
  <c r="C8468" i="69"/>
  <c r="C8469" i="69"/>
  <c r="C8470" i="69"/>
  <c r="C8471" i="69"/>
  <c r="C8472" i="69"/>
  <c r="C8473" i="69"/>
  <c r="C8474" i="69"/>
  <c r="C8475" i="69"/>
  <c r="C8476" i="69"/>
  <c r="C8477" i="69"/>
  <c r="C8478" i="69"/>
  <c r="C8479" i="69"/>
  <c r="C8480" i="69"/>
  <c r="C8481" i="69"/>
  <c r="C8482" i="69"/>
  <c r="C8483" i="69"/>
  <c r="C8484" i="69"/>
  <c r="C8485" i="69"/>
  <c r="C8486" i="69"/>
  <c r="C8487" i="69"/>
  <c r="C8488" i="69"/>
  <c r="C8489" i="69"/>
  <c r="C8490" i="69"/>
  <c r="C8491" i="69"/>
  <c r="C8492" i="69"/>
  <c r="C8493" i="69"/>
  <c r="C8494" i="69"/>
  <c r="C8495" i="69"/>
  <c r="C8496" i="69"/>
  <c r="C8497" i="69"/>
  <c r="C8498" i="69"/>
  <c r="C8499" i="69"/>
  <c r="C8500" i="69"/>
  <c r="C8501" i="69"/>
  <c r="C8502" i="69"/>
  <c r="C8503" i="69"/>
  <c r="C8504" i="69"/>
  <c r="C8505" i="69"/>
  <c r="C8506" i="69"/>
  <c r="C8507" i="69"/>
  <c r="C8508" i="69"/>
  <c r="C8509" i="69"/>
  <c r="C8510" i="69"/>
  <c r="C8511" i="69"/>
  <c r="C8512" i="69"/>
  <c r="C8513" i="69"/>
  <c r="C8514" i="69"/>
  <c r="C8515" i="69"/>
  <c r="C8516" i="69"/>
  <c r="C8517" i="69"/>
  <c r="C8518" i="69"/>
  <c r="C8519" i="69"/>
  <c r="C8520" i="69"/>
  <c r="C8521" i="69"/>
  <c r="C8522" i="69"/>
  <c r="C8523" i="69"/>
  <c r="C8524" i="69"/>
  <c r="C8525" i="69"/>
  <c r="C8526" i="69"/>
  <c r="C8527" i="69"/>
  <c r="C8528" i="69"/>
  <c r="C8529" i="69"/>
  <c r="C8530" i="69"/>
  <c r="C8531" i="69"/>
  <c r="C8532" i="69"/>
  <c r="C8533" i="69"/>
  <c r="C8534" i="69"/>
  <c r="C8535" i="69"/>
  <c r="C8536" i="69"/>
  <c r="C8537" i="69"/>
  <c r="C8538" i="69"/>
  <c r="C8539" i="69"/>
  <c r="C8540" i="69"/>
  <c r="C8541" i="69"/>
  <c r="C8542" i="69"/>
  <c r="C8543" i="69"/>
  <c r="C8544" i="69"/>
  <c r="C8545" i="69"/>
  <c r="C8546" i="69"/>
  <c r="C8547" i="69"/>
  <c r="C8548" i="69"/>
  <c r="C8549" i="69"/>
  <c r="C8550" i="69"/>
  <c r="C8551" i="69"/>
  <c r="C8552" i="69"/>
  <c r="C8553" i="69"/>
  <c r="C8554" i="69"/>
  <c r="C8555" i="69"/>
  <c r="C8556" i="69"/>
  <c r="C8557" i="69"/>
  <c r="C8558" i="69"/>
  <c r="C8559" i="69"/>
  <c r="C8560" i="69"/>
  <c r="C8561" i="69"/>
  <c r="C8562" i="69"/>
  <c r="C8563" i="69"/>
  <c r="C8564" i="69"/>
  <c r="C8565" i="69"/>
  <c r="C8566" i="69"/>
  <c r="C8567" i="69"/>
  <c r="C8568" i="69"/>
  <c r="C8569" i="69"/>
  <c r="C8570" i="69"/>
  <c r="C8571" i="69"/>
  <c r="C8572" i="69"/>
  <c r="C8573" i="69"/>
  <c r="C8574" i="69"/>
  <c r="C8575" i="69"/>
  <c r="C8576" i="69"/>
  <c r="C8577" i="69"/>
  <c r="C8578" i="69"/>
  <c r="C8579" i="69"/>
  <c r="C8580" i="69"/>
  <c r="C8581" i="69"/>
  <c r="C8582" i="69"/>
  <c r="C8583" i="69"/>
  <c r="C8584" i="69"/>
  <c r="C8585" i="69"/>
  <c r="C8586" i="69"/>
  <c r="C8587" i="69"/>
  <c r="C8588" i="69"/>
  <c r="C8589" i="69"/>
  <c r="C8590" i="69"/>
  <c r="C8591" i="69"/>
  <c r="C8592" i="69"/>
  <c r="C8593" i="69"/>
  <c r="C8594" i="69"/>
  <c r="C8595" i="69"/>
  <c r="C8596" i="69"/>
  <c r="C8597" i="69"/>
  <c r="C8598" i="69"/>
  <c r="C8599" i="69"/>
  <c r="C8600" i="69"/>
  <c r="C8601" i="69"/>
  <c r="C8602" i="69"/>
  <c r="C8603" i="69"/>
  <c r="C8604" i="69"/>
  <c r="C8605" i="69"/>
  <c r="C8606" i="69"/>
  <c r="C8607" i="69"/>
  <c r="C8608" i="69"/>
  <c r="C8609" i="69"/>
  <c r="C8610" i="69"/>
  <c r="C8611" i="69"/>
  <c r="C8612" i="69"/>
  <c r="C8613" i="69"/>
  <c r="C8614" i="69"/>
  <c r="C8615" i="69"/>
  <c r="C8616" i="69"/>
  <c r="C8617" i="69"/>
  <c r="C8618" i="69"/>
  <c r="C8619" i="69"/>
  <c r="C8620" i="69"/>
  <c r="C8621" i="69"/>
  <c r="C8622" i="69"/>
  <c r="C8623" i="69"/>
  <c r="C8624" i="69"/>
  <c r="C8625" i="69"/>
  <c r="C8626" i="69"/>
  <c r="C8627" i="69"/>
  <c r="C8628" i="69"/>
  <c r="C8629" i="69"/>
  <c r="C8630" i="69"/>
  <c r="C8631" i="69"/>
  <c r="C8632" i="69"/>
  <c r="C8633" i="69"/>
  <c r="C8634" i="69"/>
  <c r="C8635" i="69"/>
  <c r="C8636" i="69"/>
  <c r="C8637" i="69"/>
  <c r="C8638" i="69"/>
  <c r="C8639" i="69"/>
  <c r="C8640" i="69"/>
  <c r="C8641" i="69"/>
  <c r="C8642" i="69"/>
  <c r="C8643" i="69"/>
  <c r="C8644" i="69"/>
  <c r="C8645" i="69"/>
  <c r="C8646" i="69"/>
  <c r="C8647" i="69"/>
  <c r="C8648" i="69"/>
  <c r="C8649" i="69"/>
  <c r="C8650" i="69"/>
  <c r="C8651" i="69"/>
  <c r="C8652" i="69"/>
  <c r="C8653" i="69"/>
  <c r="C8654" i="69"/>
  <c r="C8655" i="69"/>
  <c r="C8656" i="69"/>
  <c r="C8657" i="69"/>
  <c r="C8658" i="69"/>
  <c r="C8659" i="69"/>
  <c r="C8660" i="69"/>
  <c r="C8661" i="69"/>
  <c r="C8662" i="69"/>
  <c r="C8663" i="69"/>
  <c r="C8664" i="69"/>
  <c r="C8665" i="69"/>
  <c r="C8666" i="69"/>
  <c r="C8667" i="69"/>
  <c r="C8668" i="69"/>
  <c r="C8669" i="69"/>
  <c r="C8670" i="69"/>
  <c r="C8671" i="69"/>
  <c r="C8672" i="69"/>
  <c r="C8673" i="69"/>
  <c r="C8674" i="69"/>
  <c r="C8675" i="69"/>
  <c r="C8676" i="69"/>
  <c r="C8677" i="69"/>
  <c r="C8678" i="69"/>
  <c r="C8679" i="69"/>
  <c r="C8680" i="69"/>
  <c r="C8681" i="69"/>
  <c r="C8682" i="69"/>
  <c r="C8683" i="69"/>
  <c r="C8684" i="69"/>
  <c r="C8685" i="69"/>
  <c r="C8686" i="69"/>
  <c r="C8687" i="69"/>
  <c r="C8688" i="69"/>
  <c r="C8689" i="69"/>
  <c r="C8690" i="69"/>
  <c r="C8691" i="69"/>
  <c r="C8692" i="69"/>
  <c r="C8693" i="69"/>
  <c r="C8694" i="69"/>
  <c r="C8695" i="69"/>
  <c r="C8696" i="69"/>
  <c r="C8697" i="69"/>
  <c r="C8698" i="69"/>
  <c r="C8699" i="69"/>
  <c r="C8700" i="69"/>
  <c r="C8701" i="69"/>
  <c r="C8702" i="69"/>
  <c r="C8703" i="69"/>
  <c r="C8704" i="69"/>
  <c r="C8705" i="69"/>
  <c r="C8706" i="69"/>
  <c r="C8707" i="69"/>
  <c r="C8708" i="69"/>
  <c r="C8709" i="69"/>
  <c r="C8710" i="69"/>
  <c r="C8711" i="69"/>
  <c r="C8712" i="69"/>
  <c r="C8713" i="69"/>
  <c r="C8714" i="69"/>
  <c r="C8715" i="69"/>
  <c r="C8716" i="69"/>
  <c r="C8717" i="69"/>
  <c r="C8718" i="69"/>
  <c r="C8719" i="69"/>
  <c r="C8720" i="69"/>
  <c r="C8721" i="69"/>
  <c r="C8722" i="69"/>
  <c r="C8723" i="69"/>
  <c r="C8724" i="69"/>
  <c r="C8725" i="69"/>
  <c r="C8726" i="69"/>
  <c r="C8727" i="69"/>
  <c r="C8728" i="69"/>
  <c r="C8729" i="69"/>
  <c r="C8730" i="69"/>
  <c r="C8731" i="69"/>
  <c r="C8732" i="69"/>
  <c r="C8733" i="69"/>
  <c r="C8734" i="69"/>
  <c r="C8735" i="69"/>
  <c r="C8736" i="69"/>
  <c r="C8737" i="69"/>
  <c r="C8738" i="69"/>
  <c r="C8739" i="69"/>
  <c r="C8740" i="69"/>
  <c r="C8741" i="69"/>
  <c r="C8742" i="69"/>
  <c r="C8743" i="69"/>
  <c r="C8744" i="69"/>
  <c r="C8745" i="69"/>
  <c r="C8746" i="69"/>
  <c r="C8747" i="69"/>
  <c r="C8748" i="69"/>
  <c r="C8749" i="69"/>
  <c r="C8750" i="69"/>
  <c r="C8751" i="69"/>
  <c r="C8752" i="69"/>
  <c r="C8753" i="69"/>
  <c r="C8754" i="69"/>
  <c r="C8755" i="69"/>
  <c r="C8756" i="69"/>
  <c r="C8757" i="69"/>
  <c r="C8758" i="69"/>
  <c r="C8759" i="69"/>
  <c r="C8760" i="69"/>
  <c r="C8761" i="69"/>
  <c r="C8762" i="69"/>
  <c r="C8763" i="69"/>
  <c r="C8764" i="69"/>
  <c r="C8765" i="69"/>
  <c r="C8766" i="69"/>
  <c r="C8767" i="69"/>
  <c r="C8768" i="69"/>
  <c r="C8769" i="69"/>
  <c r="C8770" i="69"/>
  <c r="C8771" i="69"/>
  <c r="C8772" i="69"/>
  <c r="C8773" i="69"/>
  <c r="C8774" i="69"/>
  <c r="C8775" i="69"/>
  <c r="C8776" i="69"/>
  <c r="C8777" i="69"/>
  <c r="C8778" i="69"/>
  <c r="C8779" i="69"/>
  <c r="C8780" i="69"/>
  <c r="C8781" i="69"/>
  <c r="C8782" i="69"/>
  <c r="C8783" i="69"/>
  <c r="C8784" i="69"/>
  <c r="C8785" i="69"/>
  <c r="C8786" i="69"/>
  <c r="C8787" i="69"/>
  <c r="C8788" i="69"/>
  <c r="C8789" i="69"/>
  <c r="C8790" i="69"/>
  <c r="C8791" i="69"/>
  <c r="C8792" i="69"/>
  <c r="C8793" i="69"/>
  <c r="C8794" i="69"/>
  <c r="C8795" i="69"/>
  <c r="C8796" i="69"/>
  <c r="C8797" i="69"/>
  <c r="C8798" i="69"/>
  <c r="C8799" i="69"/>
  <c r="C8800" i="69"/>
  <c r="C8801" i="69"/>
  <c r="C8802" i="69"/>
  <c r="C8803" i="69"/>
  <c r="C8804" i="69"/>
  <c r="C8805" i="69"/>
  <c r="C8806" i="69"/>
  <c r="C8807" i="69"/>
  <c r="C8808" i="69"/>
  <c r="C8809" i="69"/>
  <c r="C8810" i="69"/>
  <c r="C8811" i="69"/>
  <c r="C8812" i="69"/>
  <c r="C8813" i="69"/>
  <c r="C8814" i="69"/>
  <c r="C8815" i="69"/>
  <c r="C8816" i="69"/>
  <c r="C8817" i="69"/>
  <c r="C8818" i="69"/>
  <c r="C8819" i="69"/>
  <c r="C8820" i="69"/>
  <c r="C8821" i="69"/>
  <c r="C8822" i="69"/>
  <c r="C8823" i="69"/>
  <c r="C8824" i="69"/>
  <c r="C8825" i="69"/>
  <c r="C8826" i="69"/>
  <c r="C8827" i="69"/>
  <c r="C8828" i="69"/>
  <c r="C8829" i="69"/>
  <c r="C8830" i="69"/>
  <c r="C8831" i="69"/>
  <c r="C8832" i="69"/>
  <c r="C8833" i="69"/>
  <c r="C8834" i="69"/>
  <c r="C8835" i="69"/>
  <c r="C8836" i="69"/>
  <c r="C8837" i="69"/>
  <c r="C8838" i="69"/>
  <c r="C8839" i="69"/>
  <c r="C8840" i="69"/>
  <c r="C8841" i="69"/>
  <c r="C8842" i="69"/>
  <c r="C8843" i="69"/>
  <c r="C8844" i="69"/>
  <c r="C8845" i="69"/>
  <c r="C8846" i="69"/>
  <c r="C8847" i="69"/>
  <c r="C8848" i="69"/>
  <c r="C8849" i="69"/>
  <c r="C8850" i="69"/>
  <c r="C8851" i="69"/>
  <c r="C8852" i="69"/>
  <c r="C8853" i="69"/>
  <c r="C8854" i="69"/>
  <c r="C8855" i="69"/>
  <c r="C8856" i="69"/>
  <c r="C8857" i="69"/>
  <c r="C8858" i="69"/>
  <c r="C8859" i="69"/>
  <c r="C8860" i="69"/>
  <c r="C8861" i="69"/>
  <c r="C8862" i="69"/>
  <c r="C8863" i="69"/>
  <c r="C8864" i="69"/>
  <c r="C8865" i="69"/>
  <c r="C8866" i="69"/>
  <c r="C8867" i="69"/>
  <c r="C8868" i="69"/>
  <c r="C8869" i="69"/>
  <c r="C8870" i="69"/>
  <c r="C8871" i="69"/>
  <c r="C8872" i="69"/>
  <c r="C8873" i="69"/>
  <c r="C8874" i="69"/>
  <c r="C8875" i="69"/>
  <c r="C8876" i="69"/>
  <c r="C8877" i="69"/>
  <c r="C8878" i="69"/>
  <c r="C8879" i="69"/>
  <c r="C8880" i="69"/>
  <c r="C8881" i="69"/>
  <c r="C8882" i="69"/>
  <c r="C8883" i="69"/>
  <c r="C8884" i="69"/>
  <c r="C8885" i="69"/>
  <c r="C8886" i="69"/>
  <c r="C8887" i="69"/>
  <c r="C8888" i="69"/>
  <c r="C8889" i="69"/>
  <c r="C8890" i="69"/>
  <c r="C8891" i="69"/>
  <c r="C8892" i="69"/>
  <c r="C8893" i="69"/>
  <c r="C8894" i="69"/>
  <c r="C8895" i="69"/>
  <c r="C8896" i="69"/>
  <c r="C8897" i="69"/>
  <c r="C8898" i="69"/>
  <c r="C8899" i="69"/>
  <c r="C8900" i="69"/>
  <c r="C8901" i="69"/>
  <c r="C8902" i="69"/>
  <c r="C8903" i="69"/>
  <c r="C8904" i="69"/>
  <c r="C8905" i="69"/>
  <c r="C8906" i="69"/>
  <c r="C8907" i="69"/>
  <c r="C8908" i="69"/>
  <c r="C8909" i="69"/>
  <c r="C8910" i="69"/>
  <c r="C8911" i="69"/>
  <c r="C8912" i="69"/>
  <c r="C8913" i="69"/>
  <c r="C8914" i="69"/>
  <c r="C8915" i="69"/>
  <c r="C8916" i="69"/>
  <c r="C8917" i="69"/>
  <c r="C8918" i="69"/>
  <c r="C8919" i="69"/>
  <c r="C8920" i="69"/>
  <c r="C8921" i="69"/>
  <c r="C8922" i="69"/>
  <c r="C8923" i="69"/>
  <c r="C8924" i="69"/>
  <c r="C8925" i="69"/>
  <c r="C8926" i="69"/>
  <c r="C8927" i="69"/>
  <c r="C8928" i="69"/>
  <c r="C8929" i="69"/>
  <c r="C8930" i="69"/>
  <c r="C8931" i="69"/>
  <c r="C8932" i="69"/>
  <c r="C8933" i="69"/>
  <c r="C8934" i="69"/>
  <c r="C8935" i="69"/>
  <c r="C8936" i="69"/>
  <c r="C8937" i="69"/>
  <c r="C8938" i="69"/>
  <c r="C8939" i="69"/>
  <c r="C8940" i="69"/>
  <c r="C8941" i="69"/>
  <c r="C8942" i="69"/>
  <c r="C8943" i="69"/>
  <c r="C8944" i="69"/>
  <c r="C8945" i="69"/>
  <c r="C8946" i="69"/>
  <c r="C8947" i="69"/>
  <c r="C8948" i="69"/>
  <c r="C8949" i="69"/>
  <c r="C8950" i="69"/>
  <c r="C8951" i="69"/>
  <c r="C8952" i="69"/>
  <c r="C8953" i="69"/>
  <c r="C8954" i="69"/>
  <c r="C8955" i="69"/>
  <c r="C8956" i="69"/>
  <c r="C8957" i="69"/>
  <c r="C8958" i="69"/>
  <c r="C8959" i="69"/>
  <c r="C8960" i="69"/>
  <c r="C9" i="69"/>
  <c r="E8960" i="69"/>
  <c r="E8959" i="69"/>
  <c r="E8958" i="69"/>
  <c r="E8957" i="69"/>
  <c r="E8956" i="69"/>
  <c r="E8955" i="69"/>
  <c r="E8954" i="69"/>
  <c r="E8953" i="69"/>
  <c r="E8952" i="69"/>
  <c r="E8951" i="69"/>
  <c r="E8950" i="69"/>
  <c r="E8949" i="69"/>
  <c r="E8948" i="69"/>
  <c r="E8947" i="69"/>
  <c r="E8946" i="69"/>
  <c r="E8945" i="69"/>
  <c r="E8944" i="69"/>
  <c r="E8943" i="69"/>
  <c r="E8942" i="69"/>
  <c r="E8941" i="69"/>
  <c r="E8940" i="69"/>
  <c r="E8939" i="69"/>
  <c r="E8938" i="69"/>
  <c r="E8937" i="69"/>
  <c r="E8936" i="69"/>
  <c r="E8935" i="69"/>
  <c r="E8934" i="69"/>
  <c r="E8933" i="69"/>
  <c r="E8932" i="69"/>
  <c r="E8931" i="69"/>
  <c r="E8930" i="69"/>
  <c r="E8929" i="69"/>
  <c r="E8928" i="69"/>
  <c r="E8927" i="69"/>
  <c r="E8926" i="69"/>
  <c r="E8925" i="69"/>
  <c r="E8924" i="69"/>
  <c r="E8923" i="69"/>
  <c r="E8922" i="69"/>
  <c r="E8921" i="69"/>
  <c r="E8920" i="69"/>
  <c r="E8919" i="69"/>
  <c r="E8918" i="69"/>
  <c r="E8917" i="69"/>
  <c r="E8916" i="69"/>
  <c r="E8915" i="69"/>
  <c r="E8914" i="69"/>
  <c r="E8913" i="69"/>
  <c r="E8912" i="69"/>
  <c r="E8911" i="69"/>
  <c r="E8910" i="69"/>
  <c r="E8909" i="69"/>
  <c r="E8908" i="69"/>
  <c r="E8907" i="69"/>
  <c r="E8906" i="69"/>
  <c r="E8905" i="69"/>
  <c r="E8904" i="69"/>
  <c r="E8903" i="69"/>
  <c r="E8902" i="69"/>
  <c r="E8901" i="69"/>
  <c r="E8900" i="69"/>
  <c r="E8899" i="69"/>
  <c r="E8898" i="69"/>
  <c r="E8897" i="69"/>
  <c r="E8896" i="69"/>
  <c r="E8895" i="69"/>
  <c r="E8894" i="69"/>
  <c r="E8893" i="69"/>
  <c r="E8892" i="69"/>
  <c r="E8891" i="69"/>
  <c r="E8890" i="69"/>
  <c r="E8889" i="69"/>
  <c r="E8888" i="69"/>
  <c r="E8887" i="69"/>
  <c r="E8886" i="69"/>
  <c r="E8885" i="69"/>
  <c r="E8884" i="69"/>
  <c r="E8883" i="69"/>
  <c r="E8882" i="69"/>
  <c r="E8881" i="69"/>
  <c r="E8880" i="69"/>
  <c r="E8879" i="69"/>
  <c r="E8878" i="69"/>
  <c r="E8877" i="69"/>
  <c r="E8876" i="69"/>
  <c r="E8875" i="69"/>
  <c r="E8874" i="69"/>
  <c r="E8873" i="69"/>
  <c r="E8872" i="69"/>
  <c r="E8871" i="69"/>
  <c r="E8870" i="69"/>
  <c r="E8869" i="69"/>
  <c r="E8868" i="69"/>
  <c r="E8867" i="69"/>
  <c r="E8866" i="69"/>
  <c r="E8865" i="69"/>
  <c r="E8864" i="69"/>
  <c r="E8863" i="69"/>
  <c r="E8862" i="69"/>
  <c r="E8861" i="69"/>
  <c r="E8860" i="69"/>
  <c r="E8859" i="69"/>
  <c r="E8858" i="69"/>
  <c r="E8857" i="69"/>
  <c r="E8856" i="69"/>
  <c r="E8855" i="69"/>
  <c r="E8854" i="69"/>
  <c r="E8853" i="69"/>
  <c r="E8852" i="69"/>
  <c r="E8851" i="69"/>
  <c r="E8850" i="69"/>
  <c r="E8849" i="69"/>
  <c r="E8848" i="69"/>
  <c r="E8847" i="69"/>
  <c r="E8846" i="69"/>
  <c r="E8845" i="69"/>
  <c r="E8844" i="69"/>
  <c r="E8843" i="69"/>
  <c r="E8842" i="69"/>
  <c r="E8841" i="69"/>
  <c r="E8840" i="69"/>
  <c r="E8839" i="69"/>
  <c r="E8838" i="69"/>
  <c r="E8837" i="69"/>
  <c r="E8836" i="69"/>
  <c r="E8835" i="69"/>
  <c r="E8834" i="69"/>
  <c r="E8833" i="69"/>
  <c r="E8832" i="69"/>
  <c r="E8831" i="69"/>
  <c r="E8830" i="69"/>
  <c r="E8829" i="69"/>
  <c r="E8828" i="69"/>
  <c r="E8827" i="69"/>
  <c r="E8826" i="69"/>
  <c r="E8825" i="69"/>
  <c r="E8824" i="69"/>
  <c r="E8823" i="69"/>
  <c r="E8822" i="69"/>
  <c r="E8821" i="69"/>
  <c r="E8820" i="69"/>
  <c r="E8819" i="69"/>
  <c r="E8818" i="69"/>
  <c r="E8817" i="69"/>
  <c r="E8816" i="69"/>
  <c r="E8815" i="69"/>
  <c r="E8814" i="69"/>
  <c r="E8813" i="69"/>
  <c r="E8812" i="69"/>
  <c r="E8811" i="69"/>
  <c r="E8810" i="69"/>
  <c r="E8809" i="69"/>
  <c r="E8808" i="69"/>
  <c r="E8807" i="69"/>
  <c r="E8806" i="69"/>
  <c r="E8805" i="69"/>
  <c r="E8804" i="69"/>
  <c r="E8803" i="69"/>
  <c r="E8802" i="69"/>
  <c r="E8801" i="69"/>
  <c r="E8800" i="69"/>
  <c r="E8799" i="69"/>
  <c r="E8798" i="69"/>
  <c r="E8797" i="69"/>
  <c r="E8796" i="69"/>
  <c r="E8795" i="69"/>
  <c r="E8794" i="69"/>
  <c r="E8793" i="69"/>
  <c r="E8792" i="69"/>
  <c r="E8791" i="69"/>
  <c r="E8790" i="69"/>
  <c r="E8789" i="69"/>
  <c r="E8788" i="69"/>
  <c r="E8787" i="69"/>
  <c r="E8786" i="69"/>
  <c r="E8785" i="69"/>
  <c r="E8784" i="69"/>
  <c r="E8783" i="69"/>
  <c r="E8782" i="69"/>
  <c r="E8781" i="69"/>
  <c r="E8780" i="69"/>
  <c r="E8779" i="69"/>
  <c r="E8778" i="69"/>
  <c r="E8777" i="69"/>
  <c r="E8776" i="69"/>
  <c r="E8775" i="69"/>
  <c r="E8774" i="69"/>
  <c r="E8773" i="69"/>
  <c r="E8772" i="69"/>
  <c r="E8771" i="69"/>
  <c r="E8770" i="69"/>
  <c r="E8769" i="69"/>
  <c r="E8768" i="69"/>
  <c r="E8767" i="69"/>
  <c r="E8766" i="69"/>
  <c r="E8765" i="69"/>
  <c r="E8764" i="69"/>
  <c r="E8763" i="69"/>
  <c r="E8762" i="69"/>
  <c r="E8761" i="69"/>
  <c r="E8760" i="69"/>
  <c r="E8759" i="69"/>
  <c r="E8758" i="69"/>
  <c r="E8757" i="69"/>
  <c r="E8756" i="69"/>
  <c r="E8755" i="69"/>
  <c r="E8754" i="69"/>
  <c r="E8753" i="69"/>
  <c r="E8752" i="69"/>
  <c r="E8751" i="69"/>
  <c r="E8750" i="69"/>
  <c r="E8749" i="69"/>
  <c r="E8748" i="69"/>
  <c r="E8747" i="69"/>
  <c r="E8746" i="69"/>
  <c r="E8745" i="69"/>
  <c r="E8744" i="69"/>
  <c r="E8743" i="69"/>
  <c r="E8742" i="69"/>
  <c r="E8741" i="69"/>
  <c r="E8740" i="69"/>
  <c r="E8739" i="69"/>
  <c r="E8738" i="69"/>
  <c r="E8737" i="69"/>
  <c r="E8736" i="69"/>
  <c r="E8735" i="69"/>
  <c r="E8734" i="69"/>
  <c r="E8733" i="69"/>
  <c r="E8732" i="69"/>
  <c r="E8731" i="69"/>
  <c r="E8730" i="69"/>
  <c r="E8729" i="69"/>
  <c r="E8728" i="69"/>
  <c r="E8727" i="69"/>
  <c r="E8726" i="69"/>
  <c r="E8725" i="69"/>
  <c r="E8724" i="69"/>
  <c r="E8723" i="69"/>
  <c r="E8722" i="69"/>
  <c r="E8721" i="69"/>
  <c r="E8720" i="69"/>
  <c r="E8719" i="69"/>
  <c r="E8718" i="69"/>
  <c r="E8717" i="69"/>
  <c r="E8716" i="69"/>
  <c r="E8715" i="69"/>
  <c r="E8714" i="69"/>
  <c r="E8713" i="69"/>
  <c r="E8712" i="69"/>
  <c r="E8711" i="69"/>
  <c r="E8710" i="69"/>
  <c r="E8709" i="69"/>
  <c r="E8708" i="69"/>
  <c r="E8707" i="69"/>
  <c r="E8706" i="69"/>
  <c r="E8705" i="69"/>
  <c r="E8704" i="69"/>
  <c r="E8703" i="69"/>
  <c r="E8702" i="69"/>
  <c r="E8701" i="69"/>
  <c r="E8700" i="69"/>
  <c r="E8699" i="69"/>
  <c r="E8698" i="69"/>
  <c r="E8697" i="69"/>
  <c r="E8696" i="69"/>
  <c r="E8695" i="69"/>
  <c r="E8694" i="69"/>
  <c r="E8693" i="69"/>
  <c r="E8692" i="69"/>
  <c r="E8691" i="69"/>
  <c r="E8690" i="69"/>
  <c r="E8689" i="69"/>
  <c r="E8688" i="69"/>
  <c r="E8687" i="69"/>
  <c r="E8686" i="69"/>
  <c r="E8685" i="69"/>
  <c r="E8684" i="69"/>
  <c r="E8683" i="69"/>
  <c r="E8682" i="69"/>
  <c r="E8681" i="69"/>
  <c r="E8680" i="69"/>
  <c r="E8679" i="69"/>
  <c r="E8678" i="69"/>
  <c r="E8677" i="69"/>
  <c r="E8676" i="69"/>
  <c r="E8675" i="69"/>
  <c r="E8674" i="69"/>
  <c r="E8673" i="69"/>
  <c r="E8672" i="69"/>
  <c r="E8671" i="69"/>
  <c r="E8670" i="69"/>
  <c r="E8669" i="69"/>
  <c r="E8668" i="69"/>
  <c r="E8667" i="69"/>
  <c r="E8666" i="69"/>
  <c r="E8665" i="69"/>
  <c r="E8664" i="69"/>
  <c r="E8663" i="69"/>
  <c r="E8662" i="69"/>
  <c r="E8661" i="69"/>
  <c r="E8660" i="69"/>
  <c r="E8659" i="69"/>
  <c r="E8658" i="69"/>
  <c r="E8657" i="69"/>
  <c r="E8656" i="69"/>
  <c r="E8655" i="69"/>
  <c r="E8654" i="69"/>
  <c r="E8653" i="69"/>
  <c r="E8652" i="69"/>
  <c r="E8651" i="69"/>
  <c r="E8650" i="69"/>
  <c r="E8649" i="69"/>
  <c r="E8648" i="69"/>
  <c r="E8647" i="69"/>
  <c r="E8646" i="69"/>
  <c r="E8645" i="69"/>
  <c r="E8644" i="69"/>
  <c r="E8643" i="69"/>
  <c r="E8642" i="69"/>
  <c r="E8641" i="69"/>
  <c r="E8640" i="69"/>
  <c r="E8639" i="69"/>
  <c r="E8638" i="69"/>
  <c r="E8637" i="69"/>
  <c r="E8636" i="69"/>
  <c r="E8635" i="69"/>
  <c r="E8634" i="69"/>
  <c r="E8633" i="69"/>
  <c r="E8632" i="69"/>
  <c r="E8631" i="69"/>
  <c r="E8630" i="69"/>
  <c r="E8629" i="69"/>
  <c r="E8628" i="69"/>
  <c r="E8627" i="69"/>
  <c r="E8626" i="69"/>
  <c r="E8625" i="69"/>
  <c r="E8624" i="69"/>
  <c r="E8623" i="69"/>
  <c r="E8622" i="69"/>
  <c r="E8621" i="69"/>
  <c r="E8620" i="69"/>
  <c r="E8619" i="69"/>
  <c r="E8618" i="69"/>
  <c r="E8617" i="69"/>
  <c r="E8616" i="69"/>
  <c r="E8615" i="69"/>
  <c r="E8614" i="69"/>
  <c r="E8613" i="69"/>
  <c r="E8612" i="69"/>
  <c r="E8611" i="69"/>
  <c r="E8610" i="69"/>
  <c r="E8609" i="69"/>
  <c r="E8608" i="69"/>
  <c r="E8607" i="69"/>
  <c r="E8606" i="69"/>
  <c r="E8605" i="69"/>
  <c r="E8604" i="69"/>
  <c r="E8603" i="69"/>
  <c r="E8602" i="69"/>
  <c r="E8601" i="69"/>
  <c r="E8600" i="69"/>
  <c r="E8599" i="69"/>
  <c r="E8598" i="69"/>
  <c r="E8597" i="69"/>
  <c r="E8596" i="69"/>
  <c r="E8595" i="69"/>
  <c r="E8594" i="69"/>
  <c r="E8593" i="69"/>
  <c r="E8592" i="69"/>
  <c r="E8591" i="69"/>
  <c r="E8590" i="69"/>
  <c r="E8589" i="69"/>
  <c r="E8588" i="69"/>
  <c r="E8587" i="69"/>
  <c r="E8586" i="69"/>
  <c r="E8585" i="69"/>
  <c r="E8584" i="69"/>
  <c r="E8583" i="69"/>
  <c r="E8582" i="69"/>
  <c r="E8581" i="69"/>
  <c r="E8580" i="69"/>
  <c r="E8579" i="69"/>
  <c r="E8578" i="69"/>
  <c r="E8577" i="69"/>
  <c r="E8576" i="69"/>
  <c r="E8575" i="69"/>
  <c r="E8574" i="69"/>
  <c r="E8573" i="69"/>
  <c r="E8572" i="69"/>
  <c r="E8571" i="69"/>
  <c r="E8570" i="69"/>
  <c r="E8569" i="69"/>
  <c r="E8568" i="69"/>
  <c r="E8567" i="69"/>
  <c r="E8566" i="69"/>
  <c r="E8565" i="69"/>
  <c r="E8564" i="69"/>
  <c r="E8563" i="69"/>
  <c r="E8562" i="69"/>
  <c r="E8561" i="69"/>
  <c r="E8560" i="69"/>
  <c r="E8559" i="69"/>
  <c r="E8558" i="69"/>
  <c r="E8557" i="69"/>
  <c r="E8556" i="69"/>
  <c r="E8555" i="69"/>
  <c r="E8554" i="69"/>
  <c r="E8553" i="69"/>
  <c r="E8552" i="69"/>
  <c r="E8551" i="69"/>
  <c r="E8550" i="69"/>
  <c r="E8549" i="69"/>
  <c r="E8548" i="69"/>
  <c r="E8547" i="69"/>
  <c r="E8546" i="69"/>
  <c r="E8545" i="69"/>
  <c r="E8544" i="69"/>
  <c r="E8543" i="69"/>
  <c r="E8542" i="69"/>
  <c r="E8541" i="69"/>
  <c r="E8540" i="69"/>
  <c r="E8539" i="69"/>
  <c r="E8538" i="69"/>
  <c r="E8537" i="69"/>
  <c r="E8536" i="69"/>
  <c r="E8535" i="69"/>
  <c r="E8534" i="69"/>
  <c r="E8533" i="69"/>
  <c r="E8532" i="69"/>
  <c r="E8531" i="69"/>
  <c r="E8530" i="69"/>
  <c r="E8529" i="69"/>
  <c r="E8528" i="69"/>
  <c r="E8527" i="69"/>
  <c r="E8526" i="69"/>
  <c r="E8525" i="69"/>
  <c r="E8524" i="69"/>
  <c r="E8523" i="69"/>
  <c r="E8522" i="69"/>
  <c r="E8521" i="69"/>
  <c r="E8520" i="69"/>
  <c r="E8519" i="69"/>
  <c r="E8518" i="69"/>
  <c r="E8517" i="69"/>
  <c r="E8516" i="69"/>
  <c r="E8515" i="69"/>
  <c r="E8514" i="69"/>
  <c r="E8513" i="69"/>
  <c r="E8512" i="69"/>
  <c r="E8511" i="69"/>
  <c r="E8510" i="69"/>
  <c r="E8509" i="69"/>
  <c r="E8508" i="69"/>
  <c r="E8507" i="69"/>
  <c r="E8506" i="69"/>
  <c r="E8505" i="69"/>
  <c r="E8504" i="69"/>
  <c r="E8503" i="69"/>
  <c r="E8502" i="69"/>
  <c r="E8501" i="69"/>
  <c r="E8500" i="69"/>
  <c r="E8499" i="69"/>
  <c r="E8498" i="69"/>
  <c r="E8497" i="69"/>
  <c r="E8496" i="69"/>
  <c r="E8495" i="69"/>
  <c r="E8494" i="69"/>
  <c r="E8493" i="69"/>
  <c r="E8492" i="69"/>
  <c r="E8491" i="69"/>
  <c r="E8490" i="69"/>
  <c r="E8489" i="69"/>
  <c r="E8488" i="69"/>
  <c r="E8487" i="69"/>
  <c r="E8486" i="69"/>
  <c r="E8485" i="69"/>
  <c r="E8484" i="69"/>
  <c r="E8483" i="69"/>
  <c r="E8482" i="69"/>
  <c r="E8481" i="69"/>
  <c r="E8480" i="69"/>
  <c r="E8479" i="69"/>
  <c r="E8478" i="69"/>
  <c r="E8477" i="69"/>
  <c r="E8476" i="69"/>
  <c r="E8475" i="69"/>
  <c r="E8474" i="69"/>
  <c r="E8473" i="69"/>
  <c r="E8472" i="69"/>
  <c r="E8471" i="69"/>
  <c r="E8470" i="69"/>
  <c r="E8469" i="69"/>
  <c r="E8468" i="69"/>
  <c r="E8467" i="69"/>
  <c r="E8466" i="69"/>
  <c r="E8465" i="69"/>
  <c r="E8464" i="69"/>
  <c r="E8463" i="69"/>
  <c r="E8462" i="69"/>
  <c r="E8461" i="69"/>
  <c r="E8460" i="69"/>
  <c r="E8459" i="69"/>
  <c r="E8458" i="69"/>
  <c r="E8457" i="69"/>
  <c r="E8456" i="69"/>
  <c r="E8455" i="69"/>
  <c r="E8454" i="69"/>
  <c r="E8453" i="69"/>
  <c r="E8452" i="69"/>
  <c r="E8451" i="69"/>
  <c r="E8450" i="69"/>
  <c r="E8449" i="69"/>
  <c r="E8448" i="69"/>
  <c r="E8447" i="69"/>
  <c r="E8446" i="69"/>
  <c r="E8445" i="69"/>
  <c r="E8444" i="69"/>
  <c r="E8443" i="69"/>
  <c r="E8442" i="69"/>
  <c r="E8441" i="69"/>
  <c r="E8440" i="69"/>
  <c r="E8439" i="69"/>
  <c r="E8438" i="69"/>
  <c r="E8437" i="69"/>
  <c r="E8436" i="69"/>
  <c r="E8435" i="69"/>
  <c r="E8434" i="69"/>
  <c r="E8433" i="69"/>
  <c r="E8432" i="69"/>
  <c r="E8431" i="69"/>
  <c r="E8430" i="69"/>
  <c r="E8429" i="69"/>
  <c r="E8428" i="69"/>
  <c r="E8427" i="69"/>
  <c r="E8426" i="69"/>
  <c r="E8425" i="69"/>
  <c r="E8424" i="69"/>
  <c r="E8423" i="69"/>
  <c r="E8422" i="69"/>
  <c r="E8421" i="69"/>
  <c r="E8420" i="69"/>
  <c r="E8419" i="69"/>
  <c r="E8418" i="69"/>
  <c r="E8417" i="69"/>
  <c r="E8416" i="69"/>
  <c r="E8415" i="69"/>
  <c r="E8414" i="69"/>
  <c r="E8413" i="69"/>
  <c r="E8412" i="69"/>
  <c r="E8411" i="69"/>
  <c r="E8410" i="69"/>
  <c r="E8409" i="69"/>
  <c r="E8408" i="69"/>
  <c r="E8407" i="69"/>
  <c r="E8406" i="69"/>
  <c r="E8405" i="69"/>
  <c r="E8404" i="69"/>
  <c r="E8403" i="69"/>
  <c r="E8402" i="69"/>
  <c r="E8401" i="69"/>
  <c r="E8400" i="69"/>
  <c r="E8399" i="69"/>
  <c r="E8398" i="69"/>
  <c r="E8397" i="69"/>
  <c r="E8396" i="69"/>
  <c r="E8395" i="69"/>
  <c r="E8394" i="69"/>
  <c r="E8393" i="69"/>
  <c r="E8392" i="69"/>
  <c r="E8391" i="69"/>
  <c r="E8390" i="69"/>
  <c r="E8389" i="69"/>
  <c r="E8388" i="69"/>
  <c r="E8387" i="69"/>
  <c r="E8386" i="69"/>
  <c r="E8385" i="69"/>
  <c r="E8384" i="69"/>
  <c r="E8383" i="69"/>
  <c r="E8382" i="69"/>
  <c r="E8381" i="69"/>
  <c r="E8380" i="69"/>
  <c r="E8379" i="69"/>
  <c r="E8378" i="69"/>
  <c r="E8377" i="69"/>
  <c r="E8376" i="69"/>
  <c r="E8375" i="69"/>
  <c r="E8374" i="69"/>
  <c r="E8373" i="69"/>
  <c r="E8372" i="69"/>
  <c r="E8371" i="69"/>
  <c r="E8370" i="69"/>
  <c r="E8369" i="69"/>
  <c r="E8368" i="69"/>
  <c r="E8367" i="69"/>
  <c r="E8366" i="69"/>
  <c r="E8365" i="69"/>
  <c r="E8364" i="69"/>
  <c r="E8363" i="69"/>
  <c r="E8362" i="69"/>
  <c r="E8361" i="69"/>
  <c r="E8360" i="69"/>
  <c r="E8359" i="69"/>
  <c r="E8358" i="69"/>
  <c r="E8357" i="69"/>
  <c r="E8356" i="69"/>
  <c r="E8355" i="69"/>
  <c r="E8354" i="69"/>
  <c r="E8353" i="69"/>
  <c r="E8352" i="69"/>
  <c r="E8351" i="69"/>
  <c r="E8350" i="69"/>
  <c r="E8349" i="69"/>
  <c r="E8348" i="69"/>
  <c r="E8347" i="69"/>
  <c r="E8346" i="69"/>
  <c r="E8345" i="69"/>
  <c r="E8344" i="69"/>
  <c r="E8343" i="69"/>
  <c r="E8342" i="69"/>
  <c r="E8341" i="69"/>
  <c r="E8340" i="69"/>
  <c r="E8339" i="69"/>
  <c r="E8338" i="69"/>
  <c r="E8337" i="69"/>
  <c r="E8336" i="69"/>
  <c r="E8335" i="69"/>
  <c r="E8334" i="69"/>
  <c r="E8333" i="69"/>
  <c r="E8332" i="69"/>
  <c r="E8331" i="69"/>
  <c r="E8330" i="69"/>
  <c r="E8329" i="69"/>
  <c r="E8328" i="69"/>
  <c r="E8327" i="69"/>
  <c r="E8326" i="69"/>
  <c r="E8325" i="69"/>
  <c r="E8324" i="69"/>
  <c r="E8323" i="69"/>
  <c r="E8322" i="69"/>
  <c r="E8321" i="69"/>
  <c r="E8320" i="69"/>
  <c r="E8319" i="69"/>
  <c r="E8318" i="69"/>
  <c r="E8317" i="69"/>
  <c r="E8316" i="69"/>
  <c r="E8315" i="69"/>
  <c r="E8314" i="69"/>
  <c r="E8313" i="69"/>
  <c r="E8312" i="69"/>
  <c r="E8311" i="69"/>
  <c r="E8310" i="69"/>
  <c r="E8309" i="69"/>
  <c r="E8308" i="69"/>
  <c r="E8307" i="69"/>
  <c r="E8306" i="69"/>
  <c r="E8305" i="69"/>
  <c r="E8304" i="69"/>
  <c r="E8303" i="69"/>
  <c r="E8302" i="69"/>
  <c r="E8301" i="69"/>
  <c r="E8300" i="69"/>
  <c r="E8299" i="69"/>
  <c r="E8298" i="69"/>
  <c r="E8297" i="69"/>
  <c r="E8296" i="69"/>
  <c r="E8295" i="69"/>
  <c r="E8294" i="69"/>
  <c r="E8293" i="69"/>
  <c r="E8292" i="69"/>
  <c r="E8291" i="69"/>
  <c r="E8290" i="69"/>
  <c r="E8289" i="69"/>
  <c r="E8288" i="69"/>
  <c r="E8287" i="69"/>
  <c r="E8286" i="69"/>
  <c r="E8285" i="69"/>
  <c r="E8284" i="69"/>
  <c r="E8283" i="69"/>
  <c r="E8282" i="69"/>
  <c r="E8281" i="69"/>
  <c r="E8280" i="69"/>
  <c r="E8279" i="69"/>
  <c r="E8278" i="69"/>
  <c r="E8277" i="69"/>
  <c r="E8276" i="69"/>
  <c r="E8275" i="69"/>
  <c r="E8274" i="69"/>
  <c r="E8273" i="69"/>
  <c r="E8272" i="69"/>
  <c r="E8271" i="69"/>
  <c r="E8270" i="69"/>
  <c r="E8269" i="69"/>
  <c r="E8268" i="69"/>
  <c r="E8267" i="69"/>
  <c r="E8266" i="69"/>
  <c r="E8265" i="69"/>
  <c r="E8264" i="69"/>
  <c r="E8263" i="69"/>
  <c r="E8262" i="69"/>
  <c r="E8261" i="69"/>
  <c r="E8260" i="69"/>
  <c r="E8259" i="69"/>
  <c r="E8258" i="69"/>
  <c r="E8257" i="69"/>
  <c r="E8256" i="69"/>
  <c r="E8255" i="69"/>
  <c r="E8254" i="69"/>
  <c r="E8253" i="69"/>
  <c r="E8252" i="69"/>
  <c r="E8251" i="69"/>
  <c r="E8250" i="69"/>
  <c r="E8249" i="69"/>
  <c r="E8248" i="69"/>
  <c r="E8247" i="69"/>
  <c r="E8246" i="69"/>
  <c r="E8245" i="69"/>
  <c r="E8244" i="69"/>
  <c r="E8243" i="69"/>
  <c r="E8242" i="69"/>
  <c r="E8241" i="69"/>
  <c r="E8240" i="69"/>
  <c r="E8239" i="69"/>
  <c r="E8238" i="69"/>
  <c r="E8237" i="69"/>
  <c r="E8236" i="69"/>
  <c r="E8235" i="69"/>
  <c r="E8234" i="69"/>
  <c r="E8233" i="69"/>
  <c r="E8232" i="69"/>
  <c r="E8231" i="69"/>
  <c r="E8230" i="69"/>
  <c r="E8229" i="69"/>
  <c r="E8228" i="69"/>
  <c r="E8227" i="69"/>
  <c r="E8226" i="69"/>
  <c r="E8225" i="69"/>
  <c r="E8224" i="69"/>
  <c r="E8223" i="69"/>
  <c r="E8222" i="69"/>
  <c r="E8221" i="69"/>
  <c r="E8220" i="69"/>
  <c r="E8219" i="69"/>
  <c r="E8218" i="69"/>
  <c r="E8217" i="69"/>
  <c r="E8216" i="69"/>
  <c r="E8215" i="69"/>
  <c r="E8214" i="69"/>
  <c r="E8213" i="69"/>
  <c r="E8212" i="69"/>
  <c r="E8211" i="69"/>
  <c r="E8210" i="69"/>
  <c r="E8209" i="69"/>
  <c r="E8208" i="69"/>
  <c r="E8207" i="69"/>
  <c r="E8206" i="69"/>
  <c r="E8205" i="69"/>
  <c r="E8204" i="69"/>
  <c r="E8203" i="69"/>
  <c r="E8202" i="69"/>
  <c r="E8201" i="69"/>
  <c r="E8200" i="69"/>
  <c r="E8199" i="69"/>
  <c r="E8198" i="69"/>
  <c r="E8197" i="69"/>
  <c r="E8196" i="69"/>
  <c r="E8195" i="69"/>
  <c r="E8194" i="69"/>
  <c r="E8193" i="69"/>
  <c r="E8192" i="69"/>
  <c r="E8191" i="69"/>
  <c r="E8190" i="69"/>
  <c r="E8189" i="69"/>
  <c r="E8188" i="69"/>
  <c r="E8187" i="69"/>
  <c r="E8186" i="69"/>
  <c r="E8185" i="69"/>
  <c r="E8184" i="69"/>
  <c r="E8183" i="69"/>
  <c r="E8182" i="69"/>
  <c r="E8181" i="69"/>
  <c r="E8180" i="69"/>
  <c r="E8179" i="69"/>
  <c r="E8178" i="69"/>
  <c r="E8177" i="69"/>
  <c r="E8176" i="69"/>
  <c r="E8175" i="69"/>
  <c r="E8174" i="69"/>
  <c r="E8173" i="69"/>
  <c r="E8172" i="69"/>
  <c r="E8171" i="69"/>
  <c r="E8170" i="69"/>
  <c r="E8169" i="69"/>
  <c r="E8168" i="69"/>
  <c r="E8167" i="69"/>
  <c r="E8166" i="69"/>
  <c r="E8165" i="69"/>
  <c r="E8164" i="69"/>
  <c r="E8163" i="69"/>
  <c r="E8162" i="69"/>
  <c r="E8161" i="69"/>
  <c r="E8160" i="69"/>
  <c r="E8159" i="69"/>
  <c r="E8158" i="69"/>
  <c r="E8157" i="69"/>
  <c r="E8156" i="69"/>
  <c r="E8155" i="69"/>
  <c r="E8154" i="69"/>
  <c r="E8153" i="69"/>
  <c r="E8152" i="69"/>
  <c r="E8151" i="69"/>
  <c r="E8150" i="69"/>
  <c r="E8149" i="69"/>
  <c r="E8148" i="69"/>
  <c r="E8147" i="69"/>
  <c r="E8146" i="69"/>
  <c r="E8145" i="69"/>
  <c r="E8144" i="69"/>
  <c r="E8143" i="69"/>
  <c r="E8142" i="69"/>
  <c r="E8141" i="69"/>
  <c r="E8140" i="69"/>
  <c r="E8139" i="69"/>
  <c r="E8138" i="69"/>
  <c r="E8137" i="69"/>
  <c r="E8136" i="69"/>
  <c r="E8135" i="69"/>
  <c r="E8134" i="69"/>
  <c r="E8133" i="69"/>
  <c r="E8132" i="69"/>
  <c r="E8131" i="69"/>
  <c r="E8130" i="69"/>
  <c r="E8129" i="69"/>
  <c r="E8128" i="69"/>
  <c r="E8127" i="69"/>
  <c r="E8126" i="69"/>
  <c r="E8125" i="69"/>
  <c r="E8124" i="69"/>
  <c r="E8123" i="69"/>
  <c r="E8122" i="69"/>
  <c r="E8121" i="69"/>
  <c r="E8120" i="69"/>
  <c r="E8119" i="69"/>
  <c r="E8118" i="69"/>
  <c r="E8117" i="69"/>
  <c r="E8116" i="69"/>
  <c r="E8115" i="69"/>
  <c r="E8114" i="69"/>
  <c r="E8113" i="69"/>
  <c r="E8112" i="69"/>
  <c r="E8111" i="69"/>
  <c r="E8110" i="69"/>
  <c r="E8109" i="69"/>
  <c r="E8108" i="69"/>
  <c r="E8107" i="69"/>
  <c r="E8106" i="69"/>
  <c r="E8105" i="69"/>
  <c r="E8104" i="69"/>
  <c r="E8103" i="69"/>
  <c r="E8102" i="69"/>
  <c r="E8101" i="69"/>
  <c r="E8100" i="69"/>
  <c r="E8099" i="69"/>
  <c r="E8098" i="69"/>
  <c r="E8097" i="69"/>
  <c r="E8096" i="69"/>
  <c r="E8095" i="69"/>
  <c r="E8094" i="69"/>
  <c r="E8093" i="69"/>
  <c r="E8092" i="69"/>
  <c r="E8091" i="69"/>
  <c r="E8090" i="69"/>
  <c r="E8089" i="69"/>
  <c r="E8088" i="69"/>
  <c r="E8087" i="69"/>
  <c r="E8086" i="69"/>
  <c r="E8085" i="69"/>
  <c r="E8084" i="69"/>
  <c r="E8083" i="69"/>
  <c r="E8082" i="69"/>
  <c r="E8081" i="69"/>
  <c r="E8080" i="69"/>
  <c r="E8079" i="69"/>
  <c r="E8078" i="69"/>
  <c r="E8077" i="69"/>
  <c r="E8076" i="69"/>
  <c r="E8075" i="69"/>
  <c r="E8074" i="69"/>
  <c r="E8073" i="69"/>
  <c r="E8072" i="69"/>
  <c r="E8071" i="69"/>
  <c r="E8070" i="69"/>
  <c r="E8069" i="69"/>
  <c r="E8068" i="69"/>
  <c r="E8067" i="69"/>
  <c r="E8066" i="69"/>
  <c r="E8065" i="69"/>
  <c r="E8064" i="69"/>
  <c r="E8063" i="69"/>
  <c r="E8062" i="69"/>
  <c r="E8061" i="69"/>
  <c r="E8060" i="69"/>
  <c r="E8059" i="69"/>
  <c r="E8058" i="69"/>
  <c r="E8057" i="69"/>
  <c r="E8056" i="69"/>
  <c r="E8055" i="69"/>
  <c r="E8054" i="69"/>
  <c r="E8053" i="69"/>
  <c r="E8052" i="69"/>
  <c r="E8051" i="69"/>
  <c r="E8050" i="69"/>
  <c r="E8049" i="69"/>
  <c r="E8048" i="69"/>
  <c r="E8047" i="69"/>
  <c r="E8046" i="69"/>
  <c r="E8045" i="69"/>
  <c r="E8044" i="69"/>
  <c r="E8043" i="69"/>
  <c r="E8042" i="69"/>
  <c r="E8041" i="69"/>
  <c r="E8040" i="69"/>
  <c r="E8039" i="69"/>
  <c r="E8038" i="69"/>
  <c r="E8037" i="69"/>
  <c r="E8036" i="69"/>
  <c r="E8035" i="69"/>
  <c r="E8034" i="69"/>
  <c r="E8033" i="69"/>
  <c r="E8032" i="69"/>
  <c r="E8031" i="69"/>
  <c r="E8030" i="69"/>
  <c r="E8029" i="69"/>
  <c r="E8028" i="69"/>
  <c r="E8027" i="69"/>
  <c r="E8026" i="69"/>
  <c r="E8025" i="69"/>
  <c r="E8024" i="69"/>
  <c r="E8023" i="69"/>
  <c r="E8022" i="69"/>
  <c r="E8021" i="69"/>
  <c r="E8020" i="69"/>
  <c r="E8019" i="69"/>
  <c r="E8018" i="69"/>
  <c r="E8017" i="69"/>
  <c r="E8016" i="69"/>
  <c r="E8015" i="69"/>
  <c r="E8014" i="69"/>
  <c r="E8013" i="69"/>
  <c r="E8012" i="69"/>
  <c r="E8011" i="69"/>
  <c r="E8010" i="69"/>
  <c r="E8009" i="69"/>
  <c r="E8008" i="69"/>
  <c r="E8007" i="69"/>
  <c r="E8006" i="69"/>
  <c r="E8005" i="69"/>
  <c r="E8004" i="69"/>
  <c r="E8003" i="69"/>
  <c r="E8002" i="69"/>
  <c r="E8001" i="69"/>
  <c r="E8000" i="69"/>
  <c r="E7999" i="69"/>
  <c r="E7998" i="69"/>
  <c r="E7997" i="69"/>
  <c r="E7996" i="69"/>
  <c r="E7995" i="69"/>
  <c r="E7994" i="69"/>
  <c r="E7993" i="69"/>
  <c r="E7992" i="69"/>
  <c r="E7991" i="69"/>
  <c r="E7990" i="69"/>
  <c r="E7989" i="69"/>
  <c r="E7988" i="69"/>
  <c r="E7987" i="69"/>
  <c r="E7986" i="69"/>
  <c r="E7985" i="69"/>
  <c r="E7984" i="69"/>
  <c r="E7983" i="69"/>
  <c r="E7982" i="69"/>
  <c r="E7981" i="69"/>
  <c r="E7980" i="69"/>
  <c r="E7979" i="69"/>
  <c r="E7978" i="69"/>
  <c r="E7977" i="69"/>
  <c r="E7976" i="69"/>
  <c r="E7975" i="69"/>
  <c r="E7974" i="69"/>
  <c r="E7973" i="69"/>
  <c r="E7972" i="69"/>
  <c r="E7971" i="69"/>
  <c r="E7970" i="69"/>
  <c r="E7969" i="69"/>
  <c r="E7968" i="69"/>
  <c r="E7967" i="69"/>
  <c r="E7966" i="69"/>
  <c r="E7965" i="69"/>
  <c r="E7964" i="69"/>
  <c r="E7963" i="69"/>
  <c r="E7962" i="69"/>
  <c r="E7961" i="69"/>
  <c r="E7960" i="69"/>
  <c r="E7959" i="69"/>
  <c r="E7958" i="69"/>
  <c r="E7957" i="69"/>
  <c r="E7956" i="69"/>
  <c r="E7955" i="69"/>
  <c r="E7954" i="69"/>
  <c r="E7953" i="69"/>
  <c r="E7952" i="69"/>
  <c r="E7951" i="69"/>
  <c r="E7950" i="69"/>
  <c r="E7949" i="69"/>
  <c r="E7948" i="69"/>
  <c r="E7947" i="69"/>
  <c r="E7946" i="69"/>
  <c r="E7945" i="69"/>
  <c r="E7944" i="69"/>
  <c r="E7943" i="69"/>
  <c r="E7942" i="69"/>
  <c r="E7941" i="69"/>
  <c r="E7940" i="69"/>
  <c r="E7939" i="69"/>
  <c r="E7938" i="69"/>
  <c r="E7937" i="69"/>
  <c r="E7936" i="69"/>
  <c r="E7935" i="69"/>
  <c r="E7934" i="69"/>
  <c r="E7933" i="69"/>
  <c r="E7932" i="69"/>
  <c r="E7931" i="69"/>
  <c r="E7930" i="69"/>
  <c r="E7929" i="69"/>
  <c r="E7928" i="69"/>
  <c r="E7927" i="69"/>
  <c r="E7926" i="69"/>
  <c r="E7925" i="69"/>
  <c r="E7924" i="69"/>
  <c r="E7923" i="69"/>
  <c r="E7922" i="69"/>
  <c r="E7921" i="69"/>
  <c r="E7920" i="69"/>
  <c r="E7919" i="69"/>
  <c r="E7918" i="69"/>
  <c r="E7917" i="69"/>
  <c r="E7916" i="69"/>
  <c r="E7915" i="69"/>
  <c r="E7914" i="69"/>
  <c r="E7913" i="69"/>
  <c r="E7912" i="69"/>
  <c r="E7911" i="69"/>
  <c r="E7910" i="69"/>
  <c r="E7909" i="69"/>
  <c r="E7908" i="69"/>
  <c r="E7907" i="69"/>
  <c r="E7906" i="69"/>
  <c r="E7905" i="69"/>
  <c r="E7904" i="69"/>
  <c r="E7903" i="69"/>
  <c r="E7902" i="69"/>
  <c r="E7901" i="69"/>
  <c r="E7900" i="69"/>
  <c r="E7899" i="69"/>
  <c r="E7898" i="69"/>
  <c r="E7897" i="69"/>
  <c r="E7896" i="69"/>
  <c r="E7895" i="69"/>
  <c r="E7894" i="69"/>
  <c r="E7893" i="69"/>
  <c r="E7892" i="69"/>
  <c r="E7891" i="69"/>
  <c r="E7890" i="69"/>
  <c r="E7889" i="69"/>
  <c r="E7888" i="69"/>
  <c r="E7887" i="69"/>
  <c r="E7886" i="69"/>
  <c r="E7885" i="69"/>
  <c r="E7884" i="69"/>
  <c r="E7883" i="69"/>
  <c r="E7882" i="69"/>
  <c r="E7881" i="69"/>
  <c r="E7880" i="69"/>
  <c r="E7879" i="69"/>
  <c r="E7878" i="69"/>
  <c r="E7877" i="69"/>
  <c r="E7876" i="69"/>
  <c r="E7875" i="69"/>
  <c r="E7874" i="69"/>
  <c r="E7873" i="69"/>
  <c r="E7872" i="69"/>
  <c r="E7871" i="69"/>
  <c r="E7870" i="69"/>
  <c r="E7869" i="69"/>
  <c r="E7868" i="69"/>
  <c r="E7867" i="69"/>
  <c r="E7866" i="69"/>
  <c r="E7865" i="69"/>
  <c r="E7864" i="69"/>
  <c r="E7863" i="69"/>
  <c r="E7862" i="69"/>
  <c r="E7861" i="69"/>
  <c r="E7860" i="69"/>
  <c r="E7859" i="69"/>
  <c r="E7858" i="69"/>
  <c r="E7857" i="69"/>
  <c r="E7856" i="69"/>
  <c r="E7855" i="69"/>
  <c r="E7854" i="69"/>
  <c r="E7853" i="69"/>
  <c r="E7852" i="69"/>
  <c r="E7851" i="69"/>
  <c r="E7850" i="69"/>
  <c r="E7849" i="69"/>
  <c r="E7848" i="69"/>
  <c r="E7847" i="69"/>
  <c r="E7846" i="69"/>
  <c r="E7845" i="69"/>
  <c r="E7844" i="69"/>
  <c r="E7843" i="69"/>
  <c r="E7842" i="69"/>
  <c r="E7841" i="69"/>
  <c r="E7840" i="69"/>
  <c r="E7839" i="69"/>
  <c r="E7838" i="69"/>
  <c r="E7837" i="69"/>
  <c r="E7836" i="69"/>
  <c r="E7835" i="69"/>
  <c r="E7834" i="69"/>
  <c r="E7833" i="69"/>
  <c r="E7832" i="69"/>
  <c r="E7831" i="69"/>
  <c r="E7830" i="69"/>
  <c r="E7829" i="69"/>
  <c r="E7828" i="69"/>
  <c r="E7827" i="69"/>
  <c r="E7826" i="69"/>
  <c r="E7825" i="69"/>
  <c r="E7824" i="69"/>
  <c r="E7823" i="69"/>
  <c r="E7822" i="69"/>
  <c r="E7821" i="69"/>
  <c r="E7820" i="69"/>
  <c r="E7819" i="69"/>
  <c r="E7818" i="69"/>
  <c r="E7817" i="69"/>
  <c r="E7816" i="69"/>
  <c r="E7815" i="69"/>
  <c r="E7814" i="69"/>
  <c r="E7813" i="69"/>
  <c r="E7812" i="69"/>
  <c r="E7811" i="69"/>
  <c r="E7810" i="69"/>
  <c r="E7809" i="69"/>
  <c r="E7808" i="69"/>
  <c r="E7807" i="69"/>
  <c r="E7806" i="69"/>
  <c r="E7805" i="69"/>
  <c r="E7804" i="69"/>
  <c r="E7803" i="69"/>
  <c r="E7802" i="69"/>
  <c r="E7801" i="69"/>
  <c r="E7800" i="69"/>
  <c r="E7799" i="69"/>
  <c r="E7798" i="69"/>
  <c r="E7797" i="69"/>
  <c r="E7796" i="69"/>
  <c r="E7795" i="69"/>
  <c r="E7794" i="69"/>
  <c r="E7793" i="69"/>
  <c r="E7792" i="69"/>
  <c r="E7791" i="69"/>
  <c r="E7790" i="69"/>
  <c r="E7789" i="69"/>
  <c r="E7788" i="69"/>
  <c r="E7787" i="69"/>
  <c r="E7786" i="69"/>
  <c r="E7785" i="69"/>
  <c r="E7784" i="69"/>
  <c r="E7783" i="69"/>
  <c r="E7782" i="69"/>
  <c r="E7781" i="69"/>
  <c r="E7780" i="69"/>
  <c r="E7779" i="69"/>
  <c r="E7778" i="69"/>
  <c r="E7777" i="69"/>
  <c r="E7776" i="69"/>
  <c r="E7775" i="69"/>
  <c r="E7774" i="69"/>
  <c r="E7773" i="69"/>
  <c r="E7772" i="69"/>
  <c r="E7771" i="69"/>
  <c r="E7770" i="69"/>
  <c r="E7769" i="69"/>
  <c r="E7768" i="69"/>
  <c r="E7767" i="69"/>
  <c r="E7766" i="69"/>
  <c r="E7765" i="69"/>
  <c r="E7764" i="69"/>
  <c r="E7763" i="69"/>
  <c r="E7762" i="69"/>
  <c r="E7761" i="69"/>
  <c r="E7760" i="69"/>
  <c r="E7759" i="69"/>
  <c r="E7758" i="69"/>
  <c r="E7757" i="69"/>
  <c r="E7756" i="69"/>
  <c r="E7755" i="69"/>
  <c r="E7754" i="69"/>
  <c r="E7753" i="69"/>
  <c r="E7752" i="69"/>
  <c r="E7751" i="69"/>
  <c r="E7750" i="69"/>
  <c r="E7749" i="69"/>
  <c r="E7748" i="69"/>
  <c r="E7747" i="69"/>
  <c r="E7746" i="69"/>
  <c r="E7745" i="69"/>
  <c r="E7744" i="69"/>
  <c r="E7743" i="69"/>
  <c r="E7742" i="69"/>
  <c r="E7741" i="69"/>
  <c r="E7740" i="69"/>
  <c r="E7739" i="69"/>
  <c r="E7738" i="69"/>
  <c r="E7737" i="69"/>
  <c r="E7736" i="69"/>
  <c r="E7735" i="69"/>
  <c r="E7734" i="69"/>
  <c r="E7733" i="69"/>
  <c r="E7732" i="69"/>
  <c r="E7731" i="69"/>
  <c r="E7730" i="69"/>
  <c r="E7729" i="69"/>
  <c r="E7728" i="69"/>
  <c r="E7727" i="69"/>
  <c r="E7726" i="69"/>
  <c r="E7725" i="69"/>
  <c r="E7724" i="69"/>
  <c r="E7723" i="69"/>
  <c r="E7722" i="69"/>
  <c r="E7721" i="69"/>
  <c r="E7720" i="69"/>
  <c r="E7719" i="69"/>
  <c r="E7718" i="69"/>
  <c r="E7717" i="69"/>
  <c r="E7716" i="69"/>
  <c r="E7715" i="69"/>
  <c r="E7714" i="69"/>
  <c r="E7713" i="69"/>
  <c r="E7712" i="69"/>
  <c r="E7711" i="69"/>
  <c r="E7710" i="69"/>
  <c r="E7709" i="69"/>
  <c r="E7708" i="69"/>
  <c r="E7707" i="69"/>
  <c r="E7706" i="69"/>
  <c r="E7705" i="69"/>
  <c r="E7704" i="69"/>
  <c r="E7703" i="69"/>
  <c r="E7702" i="69"/>
  <c r="E7701" i="69"/>
  <c r="E7700" i="69"/>
  <c r="E7699" i="69"/>
  <c r="E7698" i="69"/>
  <c r="E7697" i="69"/>
  <c r="E7696" i="69"/>
  <c r="E7695" i="69"/>
  <c r="E7694" i="69"/>
  <c r="E7693" i="69"/>
  <c r="E7692" i="69"/>
  <c r="E7691" i="69"/>
  <c r="E7690" i="69"/>
  <c r="E7689" i="69"/>
  <c r="E7688" i="69"/>
  <c r="E7687" i="69"/>
  <c r="E7686" i="69"/>
  <c r="E7685" i="69"/>
  <c r="E7684" i="69"/>
  <c r="E7683" i="69"/>
  <c r="E7682" i="69"/>
  <c r="E7681" i="69"/>
  <c r="E7680" i="69"/>
  <c r="E7679" i="69"/>
  <c r="E7678" i="69"/>
  <c r="E7677" i="69"/>
  <c r="E7676" i="69"/>
  <c r="E7675" i="69"/>
  <c r="E7674" i="69"/>
  <c r="E7673" i="69"/>
  <c r="E7672" i="69"/>
  <c r="E7671" i="69"/>
  <c r="E7670" i="69"/>
  <c r="E7669" i="69"/>
  <c r="E7668" i="69"/>
  <c r="E7667" i="69"/>
  <c r="E7666" i="69"/>
  <c r="E7665" i="69"/>
  <c r="E7664" i="69"/>
  <c r="E7663" i="69"/>
  <c r="E7662" i="69"/>
  <c r="E7661" i="69"/>
  <c r="E7660" i="69"/>
  <c r="E7659" i="69"/>
  <c r="E7658" i="69"/>
  <c r="E7657" i="69"/>
  <c r="E7656" i="69"/>
  <c r="E7655" i="69"/>
  <c r="E7654" i="69"/>
  <c r="E7653" i="69"/>
  <c r="E7652" i="69"/>
  <c r="E7651" i="69"/>
  <c r="E7650" i="69"/>
  <c r="E7649" i="69"/>
  <c r="E7648" i="69"/>
  <c r="E7647" i="69"/>
  <c r="E7646" i="69"/>
  <c r="E7645" i="69"/>
  <c r="E7644" i="69"/>
  <c r="E7643" i="69"/>
  <c r="E7642" i="69"/>
  <c r="E7641" i="69"/>
  <c r="E7640" i="69"/>
  <c r="E7639" i="69"/>
  <c r="E7638" i="69"/>
  <c r="E7637" i="69"/>
  <c r="E7636" i="69"/>
  <c r="E7635" i="69"/>
  <c r="E7634" i="69"/>
  <c r="E7633" i="69"/>
  <c r="E7632" i="69"/>
  <c r="E7631" i="69"/>
  <c r="E7630" i="69"/>
  <c r="E7629" i="69"/>
  <c r="E7628" i="69"/>
  <c r="E7627" i="69"/>
  <c r="E7626" i="69"/>
  <c r="E7625" i="69"/>
  <c r="E7624" i="69"/>
  <c r="E7623" i="69"/>
  <c r="E7622" i="69"/>
  <c r="E7621" i="69"/>
  <c r="E7620" i="69"/>
  <c r="E7619" i="69"/>
  <c r="E7618" i="69"/>
  <c r="E7617" i="69"/>
  <c r="E7616" i="69"/>
  <c r="E7615" i="69"/>
  <c r="E7614" i="69"/>
  <c r="E7613" i="69"/>
  <c r="E7612" i="69"/>
  <c r="E7611" i="69"/>
  <c r="E7610" i="69"/>
  <c r="E7609" i="69"/>
  <c r="E7608" i="69"/>
  <c r="E7607" i="69"/>
  <c r="E7606" i="69"/>
  <c r="E7605" i="69"/>
  <c r="E7604" i="69"/>
  <c r="E7603" i="69"/>
  <c r="E7602" i="69"/>
  <c r="E7601" i="69"/>
  <c r="E7600" i="69"/>
  <c r="E7599" i="69"/>
  <c r="E7598" i="69"/>
  <c r="E7597" i="69"/>
  <c r="E7596" i="69"/>
  <c r="E7595" i="69"/>
  <c r="E7594" i="69"/>
  <c r="E7593" i="69"/>
  <c r="E7592" i="69"/>
  <c r="E7591" i="69"/>
  <c r="E7590" i="69"/>
  <c r="E7589" i="69"/>
  <c r="E7588" i="69"/>
  <c r="E7587" i="69"/>
  <c r="E7586" i="69"/>
  <c r="E7585" i="69"/>
  <c r="E7584" i="69"/>
  <c r="E7583" i="69"/>
  <c r="E7582" i="69"/>
  <c r="E7581" i="69"/>
  <c r="E7580" i="69"/>
  <c r="E7579" i="69"/>
  <c r="E7578" i="69"/>
  <c r="E7577" i="69"/>
  <c r="E7576" i="69"/>
  <c r="E7575" i="69"/>
  <c r="E7574" i="69"/>
  <c r="E7573" i="69"/>
  <c r="E7572" i="69"/>
  <c r="E7571" i="69"/>
  <c r="E7570" i="69"/>
  <c r="E7569" i="69"/>
  <c r="E7568" i="69"/>
  <c r="E7567" i="69"/>
  <c r="E7566" i="69"/>
  <c r="E7565" i="69"/>
  <c r="E7564" i="69"/>
  <c r="E7563" i="69"/>
  <c r="E7562" i="69"/>
  <c r="E7561" i="69"/>
  <c r="E7560" i="69"/>
  <c r="E7559" i="69"/>
  <c r="E7558" i="69"/>
  <c r="E7557" i="69"/>
  <c r="E7556" i="69"/>
  <c r="E7555" i="69"/>
  <c r="E7554" i="69"/>
  <c r="E7553" i="69"/>
  <c r="E7552" i="69"/>
  <c r="E7551" i="69"/>
  <c r="E7550" i="69"/>
  <c r="E7549" i="69"/>
  <c r="E7548" i="69"/>
  <c r="E7547" i="69"/>
  <c r="E7546" i="69"/>
  <c r="E7545" i="69"/>
  <c r="E7544" i="69"/>
  <c r="E7543" i="69"/>
  <c r="E7542" i="69"/>
  <c r="E7541" i="69"/>
  <c r="E7540" i="69"/>
  <c r="E7539" i="69"/>
  <c r="E7538" i="69"/>
  <c r="E7537" i="69"/>
  <c r="E7536" i="69"/>
  <c r="E7535" i="69"/>
  <c r="E7534" i="69"/>
  <c r="E7533" i="69"/>
  <c r="E7532" i="69"/>
  <c r="E7531" i="69"/>
  <c r="E7530" i="69"/>
  <c r="E7529" i="69"/>
  <c r="E7528" i="69"/>
  <c r="E7527" i="69"/>
  <c r="E7526" i="69"/>
  <c r="E7525" i="69"/>
  <c r="E7524" i="69"/>
  <c r="E7523" i="69"/>
  <c r="E7522" i="69"/>
  <c r="E7521" i="69"/>
  <c r="E7520" i="69"/>
  <c r="E7519" i="69"/>
  <c r="E7518" i="69"/>
  <c r="E7517" i="69"/>
  <c r="E7516" i="69"/>
  <c r="E7515" i="69"/>
  <c r="E7514" i="69"/>
  <c r="E7513" i="69"/>
  <c r="E7512" i="69"/>
  <c r="E7511" i="69"/>
  <c r="E7510" i="69"/>
  <c r="E7509" i="69"/>
  <c r="E7508" i="69"/>
  <c r="E7507" i="69"/>
  <c r="E7506" i="69"/>
  <c r="E7505" i="69"/>
  <c r="E7504" i="69"/>
  <c r="E7503" i="69"/>
  <c r="E7502" i="69"/>
  <c r="E7501" i="69"/>
  <c r="E7500" i="69"/>
  <c r="E7499" i="69"/>
  <c r="E7498" i="69"/>
  <c r="E7497" i="69"/>
  <c r="E7496" i="69"/>
  <c r="E7495" i="69"/>
  <c r="E7494" i="69"/>
  <c r="E7493" i="69"/>
  <c r="E7492" i="69"/>
  <c r="E7491" i="69"/>
  <c r="E7490" i="69"/>
  <c r="E7489" i="69"/>
  <c r="E7488" i="69"/>
  <c r="E7487" i="69"/>
  <c r="E7486" i="69"/>
  <c r="E7485" i="69"/>
  <c r="E7484" i="69"/>
  <c r="E7483" i="69"/>
  <c r="E7482" i="69"/>
  <c r="E7481" i="69"/>
  <c r="E7480" i="69"/>
  <c r="E7479" i="69"/>
  <c r="E7478" i="69"/>
  <c r="E7477" i="69"/>
  <c r="E7476" i="69"/>
  <c r="E7475" i="69"/>
  <c r="E7474" i="69"/>
  <c r="E7473" i="69"/>
  <c r="E7472" i="69"/>
  <c r="E7471" i="69"/>
  <c r="E7470" i="69"/>
  <c r="E7469" i="69"/>
  <c r="E7468" i="69"/>
  <c r="E7467" i="69"/>
  <c r="E7466" i="69"/>
  <c r="E7465" i="69"/>
  <c r="E7464" i="69"/>
  <c r="E7463" i="69"/>
  <c r="E7462" i="69"/>
  <c r="E7461" i="69"/>
  <c r="E7460" i="69"/>
  <c r="E7459" i="69"/>
  <c r="E7458" i="69"/>
  <c r="E7457" i="69"/>
  <c r="E7456" i="69"/>
  <c r="E7455" i="69"/>
  <c r="E7454" i="69"/>
  <c r="E7453" i="69"/>
  <c r="E7452" i="69"/>
  <c r="E7451" i="69"/>
  <c r="E7450" i="69"/>
  <c r="E7449" i="69"/>
  <c r="E7448" i="69"/>
  <c r="E7447" i="69"/>
  <c r="E7446" i="69"/>
  <c r="E7445" i="69"/>
  <c r="E7444" i="69"/>
  <c r="E7443" i="69"/>
  <c r="E7442" i="69"/>
  <c r="E7441" i="69"/>
  <c r="E7440" i="69"/>
  <c r="E7439" i="69"/>
  <c r="E7438" i="69"/>
  <c r="E7437" i="69"/>
  <c r="E7436" i="69"/>
  <c r="E7435" i="69"/>
  <c r="E7434" i="69"/>
  <c r="E7433" i="69"/>
  <c r="E7432" i="69"/>
  <c r="E7431" i="69"/>
  <c r="E7430" i="69"/>
  <c r="E7429" i="69"/>
  <c r="E7428" i="69"/>
  <c r="E7427" i="69"/>
  <c r="E7426" i="69"/>
  <c r="E7425" i="69"/>
  <c r="E7424" i="69"/>
  <c r="E7423" i="69"/>
  <c r="E7422" i="69"/>
  <c r="E7421" i="69"/>
  <c r="E7420" i="69"/>
  <c r="E7419" i="69"/>
  <c r="E7418" i="69"/>
  <c r="E7417" i="69"/>
  <c r="E7416" i="69"/>
  <c r="E7415" i="69"/>
  <c r="E7414" i="69"/>
  <c r="E7413" i="69"/>
  <c r="E7412" i="69"/>
  <c r="E7411" i="69"/>
  <c r="E7410" i="69"/>
  <c r="E7409" i="69"/>
  <c r="E7408" i="69"/>
  <c r="E7407" i="69"/>
  <c r="E7406" i="69"/>
  <c r="E7405" i="69"/>
  <c r="E7404" i="69"/>
  <c r="E7403" i="69"/>
  <c r="E7402" i="69"/>
  <c r="E7401" i="69"/>
  <c r="E7400" i="69"/>
  <c r="E7399" i="69"/>
  <c r="E7398" i="69"/>
  <c r="E7397" i="69"/>
  <c r="E7396" i="69"/>
  <c r="E7395" i="69"/>
  <c r="E7394" i="69"/>
  <c r="E7393" i="69"/>
  <c r="E7392" i="69"/>
  <c r="E7391" i="69"/>
  <c r="E7390" i="69"/>
  <c r="E7389" i="69"/>
  <c r="E7388" i="69"/>
  <c r="E7387" i="69"/>
  <c r="E7386" i="69"/>
  <c r="E7385" i="69"/>
  <c r="E7384" i="69"/>
  <c r="E7383" i="69"/>
  <c r="E7382" i="69"/>
  <c r="E7381" i="69"/>
  <c r="E7380" i="69"/>
  <c r="E7379" i="69"/>
  <c r="E7378" i="69"/>
  <c r="E7377" i="69"/>
  <c r="E7376" i="69"/>
  <c r="E7375" i="69"/>
  <c r="E7374" i="69"/>
  <c r="E7373" i="69"/>
  <c r="E7372" i="69"/>
  <c r="E7371" i="69"/>
  <c r="E7370" i="69"/>
  <c r="E7369" i="69"/>
  <c r="E7368" i="69"/>
  <c r="E7367" i="69"/>
  <c r="E7366" i="69"/>
  <c r="E7365" i="69"/>
  <c r="E7364" i="69"/>
  <c r="E7363" i="69"/>
  <c r="E7362" i="69"/>
  <c r="E7361" i="69"/>
  <c r="E7360" i="69"/>
  <c r="E7359" i="69"/>
  <c r="E7358" i="69"/>
  <c r="E7357" i="69"/>
  <c r="E7356" i="69"/>
  <c r="E7355" i="69"/>
  <c r="E7354" i="69"/>
  <c r="E7353" i="69"/>
  <c r="E7352" i="69"/>
  <c r="E7351" i="69"/>
  <c r="E7350" i="69"/>
  <c r="E7349" i="69"/>
  <c r="E7348" i="69"/>
  <c r="E7347" i="69"/>
  <c r="E7346" i="69"/>
  <c r="E7345" i="69"/>
  <c r="E7344" i="69"/>
  <c r="E7343" i="69"/>
  <c r="E7342" i="69"/>
  <c r="E7341" i="69"/>
  <c r="E7340" i="69"/>
  <c r="E7339" i="69"/>
  <c r="E7338" i="69"/>
  <c r="E7337" i="69"/>
  <c r="E7336" i="69"/>
  <c r="E7335" i="69"/>
  <c r="E7334" i="69"/>
  <c r="E7333" i="69"/>
  <c r="E7332" i="69"/>
  <c r="E7331" i="69"/>
  <c r="E7330" i="69"/>
  <c r="E7329" i="69"/>
  <c r="E7328" i="69"/>
  <c r="E7327" i="69"/>
  <c r="E7326" i="69"/>
  <c r="E7325" i="69"/>
  <c r="E7324" i="69"/>
  <c r="E7323" i="69"/>
  <c r="E7322" i="69"/>
  <c r="E7321" i="69"/>
  <c r="E7320" i="69"/>
  <c r="E7319" i="69"/>
  <c r="E7318" i="69"/>
  <c r="E7317" i="69"/>
  <c r="E7316" i="69"/>
  <c r="E7315" i="69"/>
  <c r="E7314" i="69"/>
  <c r="E7313" i="69"/>
  <c r="E7312" i="69"/>
  <c r="E7311" i="69"/>
  <c r="E7310" i="69"/>
  <c r="E7309" i="69"/>
  <c r="E7308" i="69"/>
  <c r="E7307" i="69"/>
  <c r="E7306" i="69"/>
  <c r="E7305" i="69"/>
  <c r="E7304" i="69"/>
  <c r="E7303" i="69"/>
  <c r="E7302" i="69"/>
  <c r="E7301" i="69"/>
  <c r="E7300" i="69"/>
  <c r="E7299" i="69"/>
  <c r="E7298" i="69"/>
  <c r="E7297" i="69"/>
  <c r="E7296" i="69"/>
  <c r="E7295" i="69"/>
  <c r="E7294" i="69"/>
  <c r="E7293" i="69"/>
  <c r="E7292" i="69"/>
  <c r="E7291" i="69"/>
  <c r="E7290" i="69"/>
  <c r="E7289" i="69"/>
  <c r="E7288" i="69"/>
  <c r="E7287" i="69"/>
  <c r="E7286" i="69"/>
  <c r="E7285" i="69"/>
  <c r="E7284" i="69"/>
  <c r="E7283" i="69"/>
  <c r="E7282" i="69"/>
  <c r="E7281" i="69"/>
  <c r="E7280" i="69"/>
  <c r="E7279" i="69"/>
  <c r="E7278" i="69"/>
  <c r="E7277" i="69"/>
  <c r="E7276" i="69"/>
  <c r="E7275" i="69"/>
  <c r="E7274" i="69"/>
  <c r="E7273" i="69"/>
  <c r="E7272" i="69"/>
  <c r="E7271" i="69"/>
  <c r="E7270" i="69"/>
  <c r="E7269" i="69"/>
  <c r="E7268" i="69"/>
  <c r="E7267" i="69"/>
  <c r="E7266" i="69"/>
  <c r="E7265" i="69"/>
  <c r="E7264" i="69"/>
  <c r="E7263" i="69"/>
  <c r="E7262" i="69"/>
  <c r="E7261" i="69"/>
  <c r="E7260" i="69"/>
  <c r="E7259" i="69"/>
  <c r="E7258" i="69"/>
  <c r="E7257" i="69"/>
  <c r="E7256" i="69"/>
  <c r="E7255" i="69"/>
  <c r="E7254" i="69"/>
  <c r="E7253" i="69"/>
  <c r="E7252" i="69"/>
  <c r="E7251" i="69"/>
  <c r="E7250" i="69"/>
  <c r="E7249" i="69"/>
  <c r="E7248" i="69"/>
  <c r="E7247" i="69"/>
  <c r="E7246" i="69"/>
  <c r="E7245" i="69"/>
  <c r="E7244" i="69"/>
  <c r="E7243" i="69"/>
  <c r="E7242" i="69"/>
  <c r="E7241" i="69"/>
  <c r="E7240" i="69"/>
  <c r="E7239" i="69"/>
  <c r="E7238" i="69"/>
  <c r="E7237" i="69"/>
  <c r="E7236" i="69"/>
  <c r="E7235" i="69"/>
  <c r="E7234" i="69"/>
  <c r="E7233" i="69"/>
  <c r="E7232" i="69"/>
  <c r="E7231" i="69"/>
  <c r="E7230" i="69"/>
  <c r="E7229" i="69"/>
  <c r="E7228" i="69"/>
  <c r="E7227" i="69"/>
  <c r="E7226" i="69"/>
  <c r="E7225" i="69"/>
  <c r="E7224" i="69"/>
  <c r="E7223" i="69"/>
  <c r="E7222" i="69"/>
  <c r="E7221" i="69"/>
  <c r="E7220" i="69"/>
  <c r="E7219" i="69"/>
  <c r="E7218" i="69"/>
  <c r="E7217" i="69"/>
  <c r="E7216" i="69"/>
  <c r="E7215" i="69"/>
  <c r="E7214" i="69"/>
  <c r="E7213" i="69"/>
  <c r="E7212" i="69"/>
  <c r="E7211" i="69"/>
  <c r="E7210" i="69"/>
  <c r="E7209" i="69"/>
  <c r="E7208" i="69"/>
  <c r="E7207" i="69"/>
  <c r="E7206" i="69"/>
  <c r="E7205" i="69"/>
  <c r="E7204" i="69"/>
  <c r="E7203" i="69"/>
  <c r="E7202" i="69"/>
  <c r="E7201" i="69"/>
  <c r="E7200" i="69"/>
  <c r="E7199" i="69"/>
  <c r="E7198" i="69"/>
  <c r="E7197" i="69"/>
  <c r="E7196" i="69"/>
  <c r="E7195" i="69"/>
  <c r="E7194" i="69"/>
  <c r="E7193" i="69"/>
  <c r="E7192" i="69"/>
  <c r="E7191" i="69"/>
  <c r="E7190" i="69"/>
  <c r="E7189" i="69"/>
  <c r="E7188" i="69"/>
  <c r="E7187" i="69"/>
  <c r="E7186" i="69"/>
  <c r="E7185" i="69"/>
  <c r="E7184" i="69"/>
  <c r="E7183" i="69"/>
  <c r="E7182" i="69"/>
  <c r="E7181" i="69"/>
  <c r="E7180" i="69"/>
  <c r="E7179" i="69"/>
  <c r="E7178" i="69"/>
  <c r="E7177" i="69"/>
  <c r="E7176" i="69"/>
  <c r="E7175" i="69"/>
  <c r="E7174" i="69"/>
  <c r="E7173" i="69"/>
  <c r="E7172" i="69"/>
  <c r="E7171" i="69"/>
  <c r="E7170" i="69"/>
  <c r="E7169" i="69"/>
  <c r="E7168" i="69"/>
  <c r="E7167" i="69"/>
  <c r="E7166" i="69"/>
  <c r="E7165" i="69"/>
  <c r="E7164" i="69"/>
  <c r="E7163" i="69"/>
  <c r="E7162" i="69"/>
  <c r="E7161" i="69"/>
  <c r="E7160" i="69"/>
  <c r="E7159" i="69"/>
  <c r="E7158" i="69"/>
  <c r="E7157" i="69"/>
  <c r="E7156" i="69"/>
  <c r="E7155" i="69"/>
  <c r="E7154" i="69"/>
  <c r="E7153" i="69"/>
  <c r="E7152" i="69"/>
  <c r="E7151" i="69"/>
  <c r="E7150" i="69"/>
  <c r="E7149" i="69"/>
  <c r="E7148" i="69"/>
  <c r="E7147" i="69"/>
  <c r="E7146" i="69"/>
  <c r="E7145" i="69"/>
  <c r="E7144" i="69"/>
  <c r="E7143" i="69"/>
  <c r="E7142" i="69"/>
  <c r="E7141" i="69"/>
  <c r="E7140" i="69"/>
  <c r="E7139" i="69"/>
  <c r="E7138" i="69"/>
  <c r="E7137" i="69"/>
  <c r="E7136" i="69"/>
  <c r="E7135" i="69"/>
  <c r="E7134" i="69"/>
  <c r="E7133" i="69"/>
  <c r="E7132" i="69"/>
  <c r="E7131" i="69"/>
  <c r="E7130" i="69"/>
  <c r="E7129" i="69"/>
  <c r="E7128" i="69"/>
  <c r="E7127" i="69"/>
  <c r="E7126" i="69"/>
  <c r="E7125" i="69"/>
  <c r="E7124" i="69"/>
  <c r="E7123" i="69"/>
  <c r="E7122" i="69"/>
  <c r="E7121" i="69"/>
  <c r="E7120" i="69"/>
  <c r="E7119" i="69"/>
  <c r="E7118" i="69"/>
  <c r="E7117" i="69"/>
  <c r="E7116" i="69"/>
  <c r="E7115" i="69"/>
  <c r="E7114" i="69"/>
  <c r="E7113" i="69"/>
  <c r="E7112" i="69"/>
  <c r="E7111" i="69"/>
  <c r="E7110" i="69"/>
  <c r="E7109" i="69"/>
  <c r="E7108" i="69"/>
  <c r="E7107" i="69"/>
  <c r="E7106" i="69"/>
  <c r="E7105" i="69"/>
  <c r="E7104" i="69"/>
  <c r="E7103" i="69"/>
  <c r="E7102" i="69"/>
  <c r="E7101" i="69"/>
  <c r="E7100" i="69"/>
  <c r="E7099" i="69"/>
  <c r="E7098" i="69"/>
  <c r="E7097" i="69"/>
  <c r="E7096" i="69"/>
  <c r="E7095" i="69"/>
  <c r="E7094" i="69"/>
  <c r="E7093" i="69"/>
  <c r="E7092" i="69"/>
  <c r="E7091" i="69"/>
  <c r="E7090" i="69"/>
  <c r="E7089" i="69"/>
  <c r="E7088" i="69"/>
  <c r="E7087" i="69"/>
  <c r="E7086" i="69"/>
  <c r="E7085" i="69"/>
  <c r="E7084" i="69"/>
  <c r="E7083" i="69"/>
  <c r="E7082" i="69"/>
  <c r="E7081" i="69"/>
  <c r="E7080" i="69"/>
  <c r="E7079" i="69"/>
  <c r="E7078" i="69"/>
  <c r="E7077" i="69"/>
  <c r="E7076" i="69"/>
  <c r="E7075" i="69"/>
  <c r="E7074" i="69"/>
  <c r="E7073" i="69"/>
  <c r="E7072" i="69"/>
  <c r="E7071" i="69"/>
  <c r="E7070" i="69"/>
  <c r="E7069" i="69"/>
  <c r="E7068" i="69"/>
  <c r="E7067" i="69"/>
  <c r="E7066" i="69"/>
  <c r="E7065" i="69"/>
  <c r="E7064" i="69"/>
  <c r="E7063" i="69"/>
  <c r="E7062" i="69"/>
  <c r="E7061" i="69"/>
  <c r="E7060" i="69"/>
  <c r="E7059" i="69"/>
  <c r="E7058" i="69"/>
  <c r="E7057" i="69"/>
  <c r="E7056" i="69"/>
  <c r="E7055" i="69"/>
  <c r="E7054" i="69"/>
  <c r="E7053" i="69"/>
  <c r="E7052" i="69"/>
  <c r="E7051" i="69"/>
  <c r="E7050" i="69"/>
  <c r="E7049" i="69"/>
  <c r="E7048" i="69"/>
  <c r="E7047" i="69"/>
  <c r="E7046" i="69"/>
  <c r="E7045" i="69"/>
  <c r="E7044" i="69"/>
  <c r="E7043" i="69"/>
  <c r="E7042" i="69"/>
  <c r="E7041" i="69"/>
  <c r="E7040" i="69"/>
  <c r="E7039" i="69"/>
  <c r="E7038" i="69"/>
  <c r="E7037" i="69"/>
  <c r="E7036" i="69"/>
  <c r="E7035" i="69"/>
  <c r="E7034" i="69"/>
  <c r="E7033" i="69"/>
  <c r="E7032" i="69"/>
  <c r="E7031" i="69"/>
  <c r="E7030" i="69"/>
  <c r="E7029" i="69"/>
  <c r="E7028" i="69"/>
  <c r="E7027" i="69"/>
  <c r="E7026" i="69"/>
  <c r="E7025" i="69"/>
  <c r="E7024" i="69"/>
  <c r="E7023" i="69"/>
  <c r="E7022" i="69"/>
  <c r="E7021" i="69"/>
  <c r="E7020" i="69"/>
  <c r="E7019" i="69"/>
  <c r="E7018" i="69"/>
  <c r="E7017" i="69"/>
  <c r="E7016" i="69"/>
  <c r="E7015" i="69"/>
  <c r="E7014" i="69"/>
  <c r="E7013" i="69"/>
  <c r="E7012" i="69"/>
  <c r="E7011" i="69"/>
  <c r="E7010" i="69"/>
  <c r="E7009" i="69"/>
  <c r="E7008" i="69"/>
  <c r="E7007" i="69"/>
  <c r="E7006" i="69"/>
  <c r="E7005" i="69"/>
  <c r="E7004" i="69"/>
  <c r="E7003" i="69"/>
  <c r="E7002" i="69"/>
  <c r="E7001" i="69"/>
  <c r="E7000" i="69"/>
  <c r="E6999" i="69"/>
  <c r="E6998" i="69"/>
  <c r="E6997" i="69"/>
  <c r="E6996" i="69"/>
  <c r="E6995" i="69"/>
  <c r="E6994" i="69"/>
  <c r="E6993" i="69"/>
  <c r="E6992" i="69"/>
  <c r="E6991" i="69"/>
  <c r="E6990" i="69"/>
  <c r="E6989" i="69"/>
  <c r="E6988" i="69"/>
  <c r="E6987" i="69"/>
  <c r="E6986" i="69"/>
  <c r="E6985" i="69"/>
  <c r="E6984" i="69"/>
  <c r="E6983" i="69"/>
  <c r="E6982" i="69"/>
  <c r="E6981" i="69"/>
  <c r="E6980" i="69"/>
  <c r="E6979" i="69"/>
  <c r="E6978" i="69"/>
  <c r="E6977" i="69"/>
  <c r="E6976" i="69"/>
  <c r="E6975" i="69"/>
  <c r="E6974" i="69"/>
  <c r="E6973" i="69"/>
  <c r="E6972" i="69"/>
  <c r="E6971" i="69"/>
  <c r="E6970" i="69"/>
  <c r="E6969" i="69"/>
  <c r="E6968" i="69"/>
  <c r="E6967" i="69"/>
  <c r="E6966" i="69"/>
  <c r="E6965" i="69"/>
  <c r="E6964" i="69"/>
  <c r="E6963" i="69"/>
  <c r="E6962" i="69"/>
  <c r="E6961" i="69"/>
  <c r="E6960" i="69"/>
  <c r="E6959" i="69"/>
  <c r="E6958" i="69"/>
  <c r="E6957" i="69"/>
  <c r="E6956" i="69"/>
  <c r="E6955" i="69"/>
  <c r="E6954" i="69"/>
  <c r="E6953" i="69"/>
  <c r="E6952" i="69"/>
  <c r="E6951" i="69"/>
  <c r="E6950" i="69"/>
  <c r="E6949" i="69"/>
  <c r="E6948" i="69"/>
  <c r="E6947" i="69"/>
  <c r="E6946" i="69"/>
  <c r="E6945" i="69"/>
  <c r="E6944" i="69"/>
  <c r="E6943" i="69"/>
  <c r="E6942" i="69"/>
  <c r="E6941" i="69"/>
  <c r="E6940" i="69"/>
  <c r="E6939" i="69"/>
  <c r="E6938" i="69"/>
  <c r="E6937" i="69"/>
  <c r="E6936" i="69"/>
  <c r="E6935" i="69"/>
  <c r="E6934" i="69"/>
  <c r="E6933" i="69"/>
  <c r="E6932" i="69"/>
  <c r="E6931" i="69"/>
  <c r="E6930" i="69"/>
  <c r="E6929" i="69"/>
  <c r="E6928" i="69"/>
  <c r="E6927" i="69"/>
  <c r="E6926" i="69"/>
  <c r="E6925" i="69"/>
  <c r="E6924" i="69"/>
  <c r="E6923" i="69"/>
  <c r="E6922" i="69"/>
  <c r="E6921" i="69"/>
  <c r="E6920" i="69"/>
  <c r="E6919" i="69"/>
  <c r="E6918" i="69"/>
  <c r="E6917" i="69"/>
  <c r="E6916" i="69"/>
  <c r="E6915" i="69"/>
  <c r="E6914" i="69"/>
  <c r="E6913" i="69"/>
  <c r="E6912" i="69"/>
  <c r="E6911" i="69"/>
  <c r="E6910" i="69"/>
  <c r="E6909" i="69"/>
  <c r="E6908" i="69"/>
  <c r="E6907" i="69"/>
  <c r="E6906" i="69"/>
  <c r="E6905" i="69"/>
  <c r="E6904" i="69"/>
  <c r="E6903" i="69"/>
  <c r="E6902" i="69"/>
  <c r="E6901" i="69"/>
  <c r="E6900" i="69"/>
  <c r="E6899" i="69"/>
  <c r="E6898" i="69"/>
  <c r="E6897" i="69"/>
  <c r="E6896" i="69"/>
  <c r="E6895" i="69"/>
  <c r="E6894" i="69"/>
  <c r="E6893" i="69"/>
  <c r="E6892" i="69"/>
  <c r="E6891" i="69"/>
  <c r="E6890" i="69"/>
  <c r="E6889" i="69"/>
  <c r="E6888" i="69"/>
  <c r="E6887" i="69"/>
  <c r="E6886" i="69"/>
  <c r="E6885" i="69"/>
  <c r="E6884" i="69"/>
  <c r="E6883" i="69"/>
  <c r="E6882" i="69"/>
  <c r="E6881" i="69"/>
  <c r="E6880" i="69"/>
  <c r="E6879" i="69"/>
  <c r="E6878" i="69"/>
  <c r="E6877" i="69"/>
  <c r="E6876" i="69"/>
  <c r="E6875" i="69"/>
  <c r="E6874" i="69"/>
  <c r="E6873" i="69"/>
  <c r="E6872" i="69"/>
  <c r="E6871" i="69"/>
  <c r="E6870" i="69"/>
  <c r="E6869" i="69"/>
  <c r="E6868" i="69"/>
  <c r="E6867" i="69"/>
  <c r="E6866" i="69"/>
  <c r="E6865" i="69"/>
  <c r="E6864" i="69"/>
  <c r="E6863" i="69"/>
  <c r="E6862" i="69"/>
  <c r="E6861" i="69"/>
  <c r="E6860" i="69"/>
  <c r="E6859" i="69"/>
  <c r="E6858" i="69"/>
  <c r="E6857" i="69"/>
  <c r="E6856" i="69"/>
  <c r="E6855" i="69"/>
  <c r="E6854" i="69"/>
  <c r="E6853" i="69"/>
  <c r="E6852" i="69"/>
  <c r="E6851" i="69"/>
  <c r="E6850" i="69"/>
  <c r="E6849" i="69"/>
  <c r="E6848" i="69"/>
  <c r="E6847" i="69"/>
  <c r="E6846" i="69"/>
  <c r="E6845" i="69"/>
  <c r="E6844" i="69"/>
  <c r="E6843" i="69"/>
  <c r="E6842" i="69"/>
  <c r="E6841" i="69"/>
  <c r="E6840" i="69"/>
  <c r="E6839" i="69"/>
  <c r="E6838" i="69"/>
  <c r="E6837" i="69"/>
  <c r="E6836" i="69"/>
  <c r="E6835" i="69"/>
  <c r="E6834" i="69"/>
  <c r="E6833" i="69"/>
  <c r="E6832" i="69"/>
  <c r="E6831" i="69"/>
  <c r="E6830" i="69"/>
  <c r="E6829" i="69"/>
  <c r="E6828" i="69"/>
  <c r="E6827" i="69"/>
  <c r="E6826" i="69"/>
  <c r="E6825" i="69"/>
  <c r="E6824" i="69"/>
  <c r="E6823" i="69"/>
  <c r="E6822" i="69"/>
  <c r="E6821" i="69"/>
  <c r="E6820" i="69"/>
  <c r="E6819" i="69"/>
  <c r="E6818" i="69"/>
  <c r="E6817" i="69"/>
  <c r="E6816" i="69"/>
  <c r="E6815" i="69"/>
  <c r="E6814" i="69"/>
  <c r="E6813" i="69"/>
  <c r="E6812" i="69"/>
  <c r="E6811" i="69"/>
  <c r="E6810" i="69"/>
  <c r="E6809" i="69"/>
  <c r="E6808" i="69"/>
  <c r="E6807" i="69"/>
  <c r="E6806" i="69"/>
  <c r="E6805" i="69"/>
  <c r="E6804" i="69"/>
  <c r="E6803" i="69"/>
  <c r="E6802" i="69"/>
  <c r="E6801" i="69"/>
  <c r="E6800" i="69"/>
  <c r="E6799" i="69"/>
  <c r="E6798" i="69"/>
  <c r="E6797" i="69"/>
  <c r="E6796" i="69"/>
  <c r="E6795" i="69"/>
  <c r="E6794" i="69"/>
  <c r="E6793" i="69"/>
  <c r="E6792" i="69"/>
  <c r="E6791" i="69"/>
  <c r="E6790" i="69"/>
  <c r="E6789" i="69"/>
  <c r="E6788" i="69"/>
  <c r="E6787" i="69"/>
  <c r="E6786" i="69"/>
  <c r="E6785" i="69"/>
  <c r="E6784" i="69"/>
  <c r="E6783" i="69"/>
  <c r="E6782" i="69"/>
  <c r="E6781" i="69"/>
  <c r="E6780" i="69"/>
  <c r="E6779" i="69"/>
  <c r="E6778" i="69"/>
  <c r="E6777" i="69"/>
  <c r="E6776" i="69"/>
  <c r="E6775" i="69"/>
  <c r="E6774" i="69"/>
  <c r="E6773" i="69"/>
  <c r="E6772" i="69"/>
  <c r="E6771" i="69"/>
  <c r="E6770" i="69"/>
  <c r="E6769" i="69"/>
  <c r="E6768" i="69"/>
  <c r="E6767" i="69"/>
  <c r="E6766" i="69"/>
  <c r="E6765" i="69"/>
  <c r="E6764" i="69"/>
  <c r="E6763" i="69"/>
  <c r="E6762" i="69"/>
  <c r="E6761" i="69"/>
  <c r="E6760" i="69"/>
  <c r="E6759" i="69"/>
  <c r="E6758" i="69"/>
  <c r="E6757" i="69"/>
  <c r="E6756" i="69"/>
  <c r="E6755" i="69"/>
  <c r="E6754" i="69"/>
  <c r="E6753" i="69"/>
  <c r="E6752" i="69"/>
  <c r="E6751" i="69"/>
  <c r="E6750" i="69"/>
  <c r="E6749" i="69"/>
  <c r="E6748" i="69"/>
  <c r="E6747" i="69"/>
  <c r="E6746" i="69"/>
  <c r="E6745" i="69"/>
  <c r="E6744" i="69"/>
  <c r="E6743" i="69"/>
  <c r="E6742" i="69"/>
  <c r="E6741" i="69"/>
  <c r="E6740" i="69"/>
  <c r="E6739" i="69"/>
  <c r="E6738" i="69"/>
  <c r="E6737" i="69"/>
  <c r="E6736" i="69"/>
  <c r="E6735" i="69"/>
  <c r="E6734" i="69"/>
  <c r="E6733" i="69"/>
  <c r="E6732" i="69"/>
  <c r="E6731" i="69"/>
  <c r="E6730" i="69"/>
  <c r="E6729" i="69"/>
  <c r="E6728" i="69"/>
  <c r="E6727" i="69"/>
  <c r="E6726" i="69"/>
  <c r="E6725" i="69"/>
  <c r="E6724" i="69"/>
  <c r="E6723" i="69"/>
  <c r="E6722" i="69"/>
  <c r="E6721" i="69"/>
  <c r="E6720" i="69"/>
  <c r="E6719" i="69"/>
  <c r="E6718" i="69"/>
  <c r="E6717" i="69"/>
  <c r="E6716" i="69"/>
  <c r="E6715" i="69"/>
  <c r="E6714" i="69"/>
  <c r="E6713" i="69"/>
  <c r="E6712" i="69"/>
  <c r="E6711" i="69"/>
  <c r="E6710" i="69"/>
  <c r="E6709" i="69"/>
  <c r="E6708" i="69"/>
  <c r="E6707" i="69"/>
  <c r="E6706" i="69"/>
  <c r="E6705" i="69"/>
  <c r="E6704" i="69"/>
  <c r="E6703" i="69"/>
  <c r="E6702" i="69"/>
  <c r="E6701" i="69"/>
  <c r="E6700" i="69"/>
  <c r="E6699" i="69"/>
  <c r="E6698" i="69"/>
  <c r="E6697" i="69"/>
  <c r="E6696" i="69"/>
  <c r="E6695" i="69"/>
  <c r="E6694" i="69"/>
  <c r="E6693" i="69"/>
  <c r="E6692" i="69"/>
  <c r="E6691" i="69"/>
  <c r="E6690" i="69"/>
  <c r="E6689" i="69"/>
  <c r="E6688" i="69"/>
  <c r="E6687" i="69"/>
  <c r="E6686" i="69"/>
  <c r="E6685" i="69"/>
  <c r="E6684" i="69"/>
  <c r="E6683" i="69"/>
  <c r="E6682" i="69"/>
  <c r="E6681" i="69"/>
  <c r="E6680" i="69"/>
  <c r="E6679" i="69"/>
  <c r="E6678" i="69"/>
  <c r="E6677" i="69"/>
  <c r="E6676" i="69"/>
  <c r="E6675" i="69"/>
  <c r="E6674" i="69"/>
  <c r="E6673" i="69"/>
  <c r="E6672" i="69"/>
  <c r="E6671" i="69"/>
  <c r="E6670" i="69"/>
  <c r="E6669" i="69"/>
  <c r="E6668" i="69"/>
  <c r="E6667" i="69"/>
  <c r="E6666" i="69"/>
  <c r="E6665" i="69"/>
  <c r="E6664" i="69"/>
  <c r="E6663" i="69"/>
  <c r="E6662" i="69"/>
  <c r="E6661" i="69"/>
  <c r="E6660" i="69"/>
  <c r="E6659" i="69"/>
  <c r="E6658" i="69"/>
  <c r="E6657" i="69"/>
  <c r="E6656" i="69"/>
  <c r="E6655" i="69"/>
  <c r="E6654" i="69"/>
  <c r="E6653" i="69"/>
  <c r="E6652" i="69"/>
  <c r="E6651" i="69"/>
  <c r="E6650" i="69"/>
  <c r="E6649" i="69"/>
  <c r="E6648" i="69"/>
  <c r="E6647" i="69"/>
  <c r="E6646" i="69"/>
  <c r="E6645" i="69"/>
  <c r="E6644" i="69"/>
  <c r="E6643" i="69"/>
  <c r="E6642" i="69"/>
  <c r="E6641" i="69"/>
  <c r="E6640" i="69"/>
  <c r="E6639" i="69"/>
  <c r="E6638" i="69"/>
  <c r="E6637" i="69"/>
  <c r="E6636" i="69"/>
  <c r="E6635" i="69"/>
  <c r="E6634" i="69"/>
  <c r="E6633" i="69"/>
  <c r="E6632" i="69"/>
  <c r="E6631" i="69"/>
  <c r="E6630" i="69"/>
  <c r="E6629" i="69"/>
  <c r="E6628" i="69"/>
  <c r="E6627" i="69"/>
  <c r="E6626" i="69"/>
  <c r="E6625" i="69"/>
  <c r="E6624" i="69"/>
  <c r="E6623" i="69"/>
  <c r="E6622" i="69"/>
  <c r="E6621" i="69"/>
  <c r="E6620" i="69"/>
  <c r="E6619" i="69"/>
  <c r="E6618" i="69"/>
  <c r="E6617" i="69"/>
  <c r="E6616" i="69"/>
  <c r="E6615" i="69"/>
  <c r="E6614" i="69"/>
  <c r="E6613" i="69"/>
  <c r="E6612" i="69"/>
  <c r="E6611" i="69"/>
  <c r="E6610" i="69"/>
  <c r="E6609" i="69"/>
  <c r="E6608" i="69"/>
  <c r="E6607" i="69"/>
  <c r="E6606" i="69"/>
  <c r="E6605" i="69"/>
  <c r="E6604" i="69"/>
  <c r="E6603" i="69"/>
  <c r="E6602" i="69"/>
  <c r="E6601" i="69"/>
  <c r="E6600" i="69"/>
  <c r="E6599" i="69"/>
  <c r="E6598" i="69"/>
  <c r="E6597" i="69"/>
  <c r="E6596" i="69"/>
  <c r="E6595" i="69"/>
  <c r="E6594" i="69"/>
  <c r="E6593" i="69"/>
  <c r="E6592" i="69"/>
  <c r="E6591" i="69"/>
  <c r="E6590" i="69"/>
  <c r="E6589" i="69"/>
  <c r="E6588" i="69"/>
  <c r="E6587" i="69"/>
  <c r="E6586" i="69"/>
  <c r="E6585" i="69"/>
  <c r="E6584" i="69"/>
  <c r="E6583" i="69"/>
  <c r="E6582" i="69"/>
  <c r="E6581" i="69"/>
  <c r="E6580" i="69"/>
  <c r="E6579" i="69"/>
  <c r="E6578" i="69"/>
  <c r="E6577" i="69"/>
  <c r="E6576" i="69"/>
  <c r="E6575" i="69"/>
  <c r="E6574" i="69"/>
  <c r="E6573" i="69"/>
  <c r="E6572" i="69"/>
  <c r="E6571" i="69"/>
  <c r="E6570" i="69"/>
  <c r="E6569" i="69"/>
  <c r="E6568" i="69"/>
  <c r="E6567" i="69"/>
  <c r="E6566" i="69"/>
  <c r="E6565" i="69"/>
  <c r="E6564" i="69"/>
  <c r="E6563" i="69"/>
  <c r="E6562" i="69"/>
  <c r="E6561" i="69"/>
  <c r="E6560" i="69"/>
  <c r="E6559" i="69"/>
  <c r="E6558" i="69"/>
  <c r="E6557" i="69"/>
  <c r="E6556" i="69"/>
  <c r="E6555" i="69"/>
  <c r="E6554" i="69"/>
  <c r="E6553" i="69"/>
  <c r="E6552" i="69"/>
  <c r="E6551" i="69"/>
  <c r="E6550" i="69"/>
  <c r="E6549" i="69"/>
  <c r="E6548" i="69"/>
  <c r="E6547" i="69"/>
  <c r="E6546" i="69"/>
  <c r="E6545" i="69"/>
  <c r="E6544" i="69"/>
  <c r="E6543" i="69"/>
  <c r="E6542" i="69"/>
  <c r="E6541" i="69"/>
  <c r="E6540" i="69"/>
  <c r="E6539" i="69"/>
  <c r="E6538" i="69"/>
  <c r="E6537" i="69"/>
  <c r="E6536" i="69"/>
  <c r="E6535" i="69"/>
  <c r="E6534" i="69"/>
  <c r="E6533" i="69"/>
  <c r="E6532" i="69"/>
  <c r="E6531" i="69"/>
  <c r="E6530" i="69"/>
  <c r="E6529" i="69"/>
  <c r="E6528" i="69"/>
  <c r="E6527" i="69"/>
  <c r="E6526" i="69"/>
  <c r="E6525" i="69"/>
  <c r="E6524" i="69"/>
  <c r="E6523" i="69"/>
  <c r="E6522" i="69"/>
  <c r="E6521" i="69"/>
  <c r="E6520" i="69"/>
  <c r="E6519" i="69"/>
  <c r="E6518" i="69"/>
  <c r="E6517" i="69"/>
  <c r="E6516" i="69"/>
  <c r="E6515" i="69"/>
  <c r="E6514" i="69"/>
  <c r="E6513" i="69"/>
  <c r="E6512" i="69"/>
  <c r="E6511" i="69"/>
  <c r="E6510" i="69"/>
  <c r="E6509" i="69"/>
  <c r="E6508" i="69"/>
  <c r="E6507" i="69"/>
  <c r="E6506" i="69"/>
  <c r="E6505" i="69"/>
  <c r="E6504" i="69"/>
  <c r="E6503" i="69"/>
  <c r="E6502" i="69"/>
  <c r="E6501" i="69"/>
  <c r="E6500" i="69"/>
  <c r="E6499" i="69"/>
  <c r="E6498" i="69"/>
  <c r="E6497" i="69"/>
  <c r="E6496" i="69"/>
  <c r="E6495" i="69"/>
  <c r="E6494" i="69"/>
  <c r="E6493" i="69"/>
  <c r="E6492" i="69"/>
  <c r="E6491" i="69"/>
  <c r="E6490" i="69"/>
  <c r="E6489" i="69"/>
  <c r="E6488" i="69"/>
  <c r="E6487" i="69"/>
  <c r="E6486" i="69"/>
  <c r="E6485" i="69"/>
  <c r="E6484" i="69"/>
  <c r="E6483" i="69"/>
  <c r="E6482" i="69"/>
  <c r="E6481" i="69"/>
  <c r="E6480" i="69"/>
  <c r="E6479" i="69"/>
  <c r="E6478" i="69"/>
  <c r="E6477" i="69"/>
  <c r="E6476" i="69"/>
  <c r="E6475" i="69"/>
  <c r="E6474" i="69"/>
  <c r="E6473" i="69"/>
  <c r="E6472" i="69"/>
  <c r="E6471" i="69"/>
  <c r="E6470" i="69"/>
  <c r="E6469" i="69"/>
  <c r="E6468" i="69"/>
  <c r="E6467" i="69"/>
  <c r="E6466" i="69"/>
  <c r="E6465" i="69"/>
  <c r="E6464" i="69"/>
  <c r="E6463" i="69"/>
  <c r="E6462" i="69"/>
  <c r="E6461" i="69"/>
  <c r="E6460" i="69"/>
  <c r="E6459" i="69"/>
  <c r="E6458" i="69"/>
  <c r="E6457" i="69"/>
  <c r="E6456" i="69"/>
  <c r="E6455" i="69"/>
  <c r="E6454" i="69"/>
  <c r="E6453" i="69"/>
  <c r="E6452" i="69"/>
  <c r="E6451" i="69"/>
  <c r="E6450" i="69"/>
  <c r="E6449" i="69"/>
  <c r="E6448" i="69"/>
  <c r="E6447" i="69"/>
  <c r="E6446" i="69"/>
  <c r="E6445" i="69"/>
  <c r="E6444" i="69"/>
  <c r="E6443" i="69"/>
  <c r="E6442" i="69"/>
  <c r="E6441" i="69"/>
  <c r="E6440" i="69"/>
  <c r="E6439" i="69"/>
  <c r="E6438" i="69"/>
  <c r="E6437" i="69"/>
  <c r="E6436" i="69"/>
  <c r="E6435" i="69"/>
  <c r="E6434" i="69"/>
  <c r="E6433" i="69"/>
  <c r="E6432" i="69"/>
  <c r="E6431" i="69"/>
  <c r="E6430" i="69"/>
  <c r="E6429" i="69"/>
  <c r="E6428" i="69"/>
  <c r="E6427" i="69"/>
  <c r="E6426" i="69"/>
  <c r="E6425" i="69"/>
  <c r="E6424" i="69"/>
  <c r="E6423" i="69"/>
  <c r="E6422" i="69"/>
  <c r="E6421" i="69"/>
  <c r="E6420" i="69"/>
  <c r="E6419" i="69"/>
  <c r="E6418" i="69"/>
  <c r="E6417" i="69"/>
  <c r="E6416" i="69"/>
  <c r="E6415" i="69"/>
  <c r="E6414" i="69"/>
  <c r="E6413" i="69"/>
  <c r="E6412" i="69"/>
  <c r="E6411" i="69"/>
  <c r="E6410" i="69"/>
  <c r="E6409" i="69"/>
  <c r="E6408" i="69"/>
  <c r="E6407" i="69"/>
  <c r="E6406" i="69"/>
  <c r="E6405" i="69"/>
  <c r="E6404" i="69"/>
  <c r="E6403" i="69"/>
  <c r="E6402" i="69"/>
  <c r="E6401" i="69"/>
  <c r="E6400" i="69"/>
  <c r="E6399" i="69"/>
  <c r="E6398" i="69"/>
  <c r="E6397" i="69"/>
  <c r="E6396" i="69"/>
  <c r="E6395" i="69"/>
  <c r="E6394" i="69"/>
  <c r="E6393" i="69"/>
  <c r="E6392" i="69"/>
  <c r="E6391" i="69"/>
  <c r="E6390" i="69"/>
  <c r="E6389" i="69"/>
  <c r="E6388" i="69"/>
  <c r="E6387" i="69"/>
  <c r="E6386" i="69"/>
  <c r="E6385" i="69"/>
  <c r="E6384" i="69"/>
  <c r="E6383" i="69"/>
  <c r="E6382" i="69"/>
  <c r="E6381" i="69"/>
  <c r="E6380" i="69"/>
  <c r="E6379" i="69"/>
  <c r="E6378" i="69"/>
  <c r="E6377" i="69"/>
  <c r="E6376" i="69"/>
  <c r="E6375" i="69"/>
  <c r="E6374" i="69"/>
  <c r="E6373" i="69"/>
  <c r="E6372" i="69"/>
  <c r="E6371" i="69"/>
  <c r="E6370" i="69"/>
  <c r="E6369" i="69"/>
  <c r="E6368" i="69"/>
  <c r="E6367" i="69"/>
  <c r="E6366" i="69"/>
  <c r="E6365" i="69"/>
  <c r="E6364" i="69"/>
  <c r="E6363" i="69"/>
  <c r="E6362" i="69"/>
  <c r="E6361" i="69"/>
  <c r="E6360" i="69"/>
  <c r="E6359" i="69"/>
  <c r="E6358" i="69"/>
  <c r="E6357" i="69"/>
  <c r="E6356" i="69"/>
  <c r="E6355" i="69"/>
  <c r="E6354" i="69"/>
  <c r="E6353" i="69"/>
  <c r="E6352" i="69"/>
  <c r="E6351" i="69"/>
  <c r="E6350" i="69"/>
  <c r="E6349" i="69"/>
  <c r="E6348" i="69"/>
  <c r="E6347" i="69"/>
  <c r="E6346" i="69"/>
  <c r="E6345" i="69"/>
  <c r="E6344" i="69"/>
  <c r="E6343" i="69"/>
  <c r="E6342" i="69"/>
  <c r="E6341" i="69"/>
  <c r="E6340" i="69"/>
  <c r="E6339" i="69"/>
  <c r="E6338" i="69"/>
  <c r="E6337" i="69"/>
  <c r="E6336" i="69"/>
  <c r="E6335" i="69"/>
  <c r="E6334" i="69"/>
  <c r="E6333" i="69"/>
  <c r="E6332" i="69"/>
  <c r="E6331" i="69"/>
  <c r="E6330" i="69"/>
  <c r="E6329" i="69"/>
  <c r="E6328" i="69"/>
  <c r="E6327" i="69"/>
  <c r="E6326" i="69"/>
  <c r="E6325" i="69"/>
  <c r="E6324" i="69"/>
  <c r="E6323" i="69"/>
  <c r="E6322" i="69"/>
  <c r="E6321" i="69"/>
  <c r="E6320" i="69"/>
  <c r="E6319" i="69"/>
  <c r="E6318" i="69"/>
  <c r="E6317" i="69"/>
  <c r="E6316" i="69"/>
  <c r="E6315" i="69"/>
  <c r="E6314" i="69"/>
  <c r="E6313" i="69"/>
  <c r="E6312" i="69"/>
  <c r="E6311" i="69"/>
  <c r="E6310" i="69"/>
  <c r="E6309" i="69"/>
  <c r="E6308" i="69"/>
  <c r="E6307" i="69"/>
  <c r="E6306" i="69"/>
  <c r="E6305" i="69"/>
  <c r="E6304" i="69"/>
  <c r="E6303" i="69"/>
  <c r="E6302" i="69"/>
  <c r="E6301" i="69"/>
  <c r="E6300" i="69"/>
  <c r="E6299" i="69"/>
  <c r="E6298" i="69"/>
  <c r="E6297" i="69"/>
  <c r="E6296" i="69"/>
  <c r="E6295" i="69"/>
  <c r="E6294" i="69"/>
  <c r="E6293" i="69"/>
  <c r="E6292" i="69"/>
  <c r="E6291" i="69"/>
  <c r="E6290" i="69"/>
  <c r="E6289" i="69"/>
  <c r="E6288" i="69"/>
  <c r="E6287" i="69"/>
  <c r="E6286" i="69"/>
  <c r="E6285" i="69"/>
  <c r="E6284" i="69"/>
  <c r="E6283" i="69"/>
  <c r="E6282" i="69"/>
  <c r="E6281" i="69"/>
  <c r="E6280" i="69"/>
  <c r="E6279" i="69"/>
  <c r="E6278" i="69"/>
  <c r="E6277" i="69"/>
  <c r="E6276" i="69"/>
  <c r="E6275" i="69"/>
  <c r="E6274" i="69"/>
  <c r="E6273" i="69"/>
  <c r="E6272" i="69"/>
  <c r="E6271" i="69"/>
  <c r="E6270" i="69"/>
  <c r="E6269" i="69"/>
  <c r="E6268" i="69"/>
  <c r="E6267" i="69"/>
  <c r="E6266" i="69"/>
  <c r="E6265" i="69"/>
  <c r="E6264" i="69"/>
  <c r="E6263" i="69"/>
  <c r="E6262" i="69"/>
  <c r="E6261" i="69"/>
  <c r="E6260" i="69"/>
  <c r="E6259" i="69"/>
  <c r="E6258" i="69"/>
  <c r="E6257" i="69"/>
  <c r="E6256" i="69"/>
  <c r="E6255" i="69"/>
  <c r="E6254" i="69"/>
  <c r="E6253" i="69"/>
  <c r="E6252" i="69"/>
  <c r="E6251" i="69"/>
  <c r="E6250" i="69"/>
  <c r="E6249" i="69"/>
  <c r="E6248" i="69"/>
  <c r="E6247" i="69"/>
  <c r="E6246" i="69"/>
  <c r="E6245" i="69"/>
  <c r="E6244" i="69"/>
  <c r="E6243" i="69"/>
  <c r="E6242" i="69"/>
  <c r="E6241" i="69"/>
  <c r="E6240" i="69"/>
  <c r="E6239" i="69"/>
  <c r="E6238" i="69"/>
  <c r="E6237" i="69"/>
  <c r="E6236" i="69"/>
  <c r="E6235" i="69"/>
  <c r="E6234" i="69"/>
  <c r="E6233" i="69"/>
  <c r="E6232" i="69"/>
  <c r="E6231" i="69"/>
  <c r="E6230" i="69"/>
  <c r="E6229" i="69"/>
  <c r="E6228" i="69"/>
  <c r="E6227" i="69"/>
  <c r="E6226" i="69"/>
  <c r="E6225" i="69"/>
  <c r="E6224" i="69"/>
  <c r="E6223" i="69"/>
  <c r="E6222" i="69"/>
  <c r="E6221" i="69"/>
  <c r="E6220" i="69"/>
  <c r="E6219" i="69"/>
  <c r="E6218" i="69"/>
  <c r="E6217" i="69"/>
  <c r="E6216" i="69"/>
  <c r="E6215" i="69"/>
  <c r="E6214" i="69"/>
  <c r="E6213" i="69"/>
  <c r="E6212" i="69"/>
  <c r="E6211" i="69"/>
  <c r="E6210" i="69"/>
  <c r="E6209" i="69"/>
  <c r="E6208" i="69"/>
  <c r="E6207" i="69"/>
  <c r="E6206" i="69"/>
  <c r="E6205" i="69"/>
  <c r="E6204" i="69"/>
  <c r="E6203" i="69"/>
  <c r="E6202" i="69"/>
  <c r="E6201" i="69"/>
  <c r="E6200" i="69"/>
  <c r="E6199" i="69"/>
  <c r="E6198" i="69"/>
  <c r="E6197" i="69"/>
  <c r="E6196" i="69"/>
  <c r="E6195" i="69"/>
  <c r="E6194" i="69"/>
  <c r="E6193" i="69"/>
  <c r="E6192" i="69"/>
  <c r="E6191" i="69"/>
  <c r="E6190" i="69"/>
  <c r="E6189" i="69"/>
  <c r="E6188" i="69"/>
  <c r="E6187" i="69"/>
  <c r="E6186" i="69"/>
  <c r="E6185" i="69"/>
  <c r="E6184" i="69"/>
  <c r="E6183" i="69"/>
  <c r="E6182" i="69"/>
  <c r="E6181" i="69"/>
  <c r="E6180" i="69"/>
  <c r="E6179" i="69"/>
  <c r="E6178" i="69"/>
  <c r="E6177" i="69"/>
  <c r="E6176" i="69"/>
  <c r="E6175" i="69"/>
  <c r="E6174" i="69"/>
  <c r="E6173" i="69"/>
  <c r="E6172" i="69"/>
  <c r="E6171" i="69"/>
  <c r="E6170" i="69"/>
  <c r="E6169" i="69"/>
  <c r="E6168" i="69"/>
  <c r="E6167" i="69"/>
  <c r="E6166" i="69"/>
  <c r="E6165" i="69"/>
  <c r="E6164" i="69"/>
  <c r="E6163" i="69"/>
  <c r="E6162" i="69"/>
  <c r="E6161" i="69"/>
  <c r="E6160" i="69"/>
  <c r="E6159" i="69"/>
  <c r="E6158" i="69"/>
  <c r="E6157" i="69"/>
  <c r="E6156" i="69"/>
  <c r="E6155" i="69"/>
  <c r="E6154" i="69"/>
  <c r="E6153" i="69"/>
  <c r="E6152" i="69"/>
  <c r="E6151" i="69"/>
  <c r="E6150" i="69"/>
  <c r="E6149" i="69"/>
  <c r="E6148" i="69"/>
  <c r="E6147" i="69"/>
  <c r="E6146" i="69"/>
  <c r="E6145" i="69"/>
  <c r="E6144" i="69"/>
  <c r="E6143" i="69"/>
  <c r="E6142" i="69"/>
  <c r="E6141" i="69"/>
  <c r="E6140" i="69"/>
  <c r="E6139" i="69"/>
  <c r="E6138" i="69"/>
  <c r="E6137" i="69"/>
  <c r="E6136" i="69"/>
  <c r="E6135" i="69"/>
  <c r="E6134" i="69"/>
  <c r="E6133" i="69"/>
  <c r="E6132" i="69"/>
  <c r="E6131" i="69"/>
  <c r="E6130" i="69"/>
  <c r="E6129" i="69"/>
  <c r="E6128" i="69"/>
  <c r="E6127" i="69"/>
  <c r="E6126" i="69"/>
  <c r="E6125" i="69"/>
  <c r="E6124" i="69"/>
  <c r="E6123" i="69"/>
  <c r="E6122" i="69"/>
  <c r="E6121" i="69"/>
  <c r="E6120" i="69"/>
  <c r="E6119" i="69"/>
  <c r="E6118" i="69"/>
  <c r="E6117" i="69"/>
  <c r="E6116" i="69"/>
  <c r="E6115" i="69"/>
  <c r="E6114" i="69"/>
  <c r="E6113" i="69"/>
  <c r="E6112" i="69"/>
  <c r="E6111" i="69"/>
  <c r="E6110" i="69"/>
  <c r="E6109" i="69"/>
  <c r="E6108" i="69"/>
  <c r="E6107" i="69"/>
  <c r="E6106" i="69"/>
  <c r="E6105" i="69"/>
  <c r="E6104" i="69"/>
  <c r="E6103" i="69"/>
  <c r="E6102" i="69"/>
  <c r="E6101" i="69"/>
  <c r="E6100" i="69"/>
  <c r="E6099" i="69"/>
  <c r="E6098" i="69"/>
  <c r="E6097" i="69"/>
  <c r="E6096" i="69"/>
  <c r="E6095" i="69"/>
  <c r="E6094" i="69"/>
  <c r="E6093" i="69"/>
  <c r="E6092" i="69"/>
  <c r="E6091" i="69"/>
  <c r="E6090" i="69"/>
  <c r="E6089" i="69"/>
  <c r="E6088" i="69"/>
  <c r="E6087" i="69"/>
  <c r="E6086" i="69"/>
  <c r="E6085" i="69"/>
  <c r="E6084" i="69"/>
  <c r="E6083" i="69"/>
  <c r="E6082" i="69"/>
  <c r="E6081" i="69"/>
  <c r="E6080" i="69"/>
  <c r="E6079" i="69"/>
  <c r="E6078" i="69"/>
  <c r="E6077" i="69"/>
  <c r="E6076" i="69"/>
  <c r="E6075" i="69"/>
  <c r="E6074" i="69"/>
  <c r="E6073" i="69"/>
  <c r="E6072" i="69"/>
  <c r="E6071" i="69"/>
  <c r="E6070" i="69"/>
  <c r="E6069" i="69"/>
  <c r="E6068" i="69"/>
  <c r="E6067" i="69"/>
  <c r="E6066" i="69"/>
  <c r="E6065" i="69"/>
  <c r="E6064" i="69"/>
  <c r="E6063" i="69"/>
  <c r="E6062" i="69"/>
  <c r="E6061" i="69"/>
  <c r="E6060" i="69"/>
  <c r="E6059" i="69"/>
  <c r="E6058" i="69"/>
  <c r="E6057" i="69"/>
  <c r="E6056" i="69"/>
  <c r="E6055" i="69"/>
  <c r="E6054" i="69"/>
  <c r="E6053" i="69"/>
  <c r="E6052" i="69"/>
  <c r="E6051" i="69"/>
  <c r="E6050" i="69"/>
  <c r="E6049" i="69"/>
  <c r="E6048" i="69"/>
  <c r="E6047" i="69"/>
  <c r="E6046" i="69"/>
  <c r="E6045" i="69"/>
  <c r="E6044" i="69"/>
  <c r="E6043" i="69"/>
  <c r="E6042" i="69"/>
  <c r="E6041" i="69"/>
  <c r="E6040" i="69"/>
  <c r="E6039" i="69"/>
  <c r="E6038" i="69"/>
  <c r="E6037" i="69"/>
  <c r="E6036" i="69"/>
  <c r="E6035" i="69"/>
  <c r="E6034" i="69"/>
  <c r="E6033" i="69"/>
  <c r="E6032" i="69"/>
  <c r="E6031" i="69"/>
  <c r="E6030" i="69"/>
  <c r="E6029" i="69"/>
  <c r="E6028" i="69"/>
  <c r="E6027" i="69"/>
  <c r="E6026" i="69"/>
  <c r="E6025" i="69"/>
  <c r="E6024" i="69"/>
  <c r="E6023" i="69"/>
  <c r="E6022" i="69"/>
  <c r="E6021" i="69"/>
  <c r="E6020" i="69"/>
  <c r="E6019" i="69"/>
  <c r="E6018" i="69"/>
  <c r="E6017" i="69"/>
  <c r="E6016" i="69"/>
  <c r="E6015" i="69"/>
  <c r="E6014" i="69"/>
  <c r="E6013" i="69"/>
  <c r="E6012" i="69"/>
  <c r="E6011" i="69"/>
  <c r="E6010" i="69"/>
  <c r="E6009" i="69"/>
  <c r="E6008" i="69"/>
  <c r="E6007" i="69"/>
  <c r="E6006" i="69"/>
  <c r="E6005" i="69"/>
  <c r="E6004" i="69"/>
  <c r="E6003" i="69"/>
  <c r="E6002" i="69"/>
  <c r="E6001" i="69"/>
  <c r="E6000" i="69"/>
  <c r="E5999" i="69"/>
  <c r="E5998" i="69"/>
  <c r="E5997" i="69"/>
  <c r="E5996" i="69"/>
  <c r="E5995" i="69"/>
  <c r="E5994" i="69"/>
  <c r="E5993" i="69"/>
  <c r="E5992" i="69"/>
  <c r="E5991" i="69"/>
  <c r="E5990" i="69"/>
  <c r="E5989" i="69"/>
  <c r="E5988" i="69"/>
  <c r="E5987" i="69"/>
  <c r="E5986" i="69"/>
  <c r="E5985" i="69"/>
  <c r="E5984" i="69"/>
  <c r="E5983" i="69"/>
  <c r="E5982" i="69"/>
  <c r="E5981" i="69"/>
  <c r="E5980" i="69"/>
  <c r="E5979" i="69"/>
  <c r="E5978" i="69"/>
  <c r="E5977" i="69"/>
  <c r="E5976" i="69"/>
  <c r="E5975" i="69"/>
  <c r="E5974" i="69"/>
  <c r="E5973" i="69"/>
  <c r="E5972" i="69"/>
  <c r="E5971" i="69"/>
  <c r="E5970" i="69"/>
  <c r="E5969" i="69"/>
  <c r="E5968" i="69"/>
  <c r="E5967" i="69"/>
  <c r="E5966" i="69"/>
  <c r="E5965" i="69"/>
  <c r="E5964" i="69"/>
  <c r="E5963" i="69"/>
  <c r="E5962" i="69"/>
  <c r="E5961" i="69"/>
  <c r="E5960" i="69"/>
  <c r="E5959" i="69"/>
  <c r="E5958" i="69"/>
  <c r="E5957" i="69"/>
  <c r="E5956" i="69"/>
  <c r="E5955" i="69"/>
  <c r="E5954" i="69"/>
  <c r="E5953" i="69"/>
  <c r="E5952" i="69"/>
  <c r="E5951" i="69"/>
  <c r="E5950" i="69"/>
  <c r="E5949" i="69"/>
  <c r="E5948" i="69"/>
  <c r="E5947" i="69"/>
  <c r="E5946" i="69"/>
  <c r="E5945" i="69"/>
  <c r="E5944" i="69"/>
  <c r="E5943" i="69"/>
  <c r="E5942" i="69"/>
  <c r="E5941" i="69"/>
  <c r="E5940" i="69"/>
  <c r="E5939" i="69"/>
  <c r="E5938" i="69"/>
  <c r="E5937" i="69"/>
  <c r="E5936" i="69"/>
  <c r="E5935" i="69"/>
  <c r="E5934" i="69"/>
  <c r="E5933" i="69"/>
  <c r="E5932" i="69"/>
  <c r="E5931" i="69"/>
  <c r="E5930" i="69"/>
  <c r="E5929" i="69"/>
  <c r="E5928" i="69"/>
  <c r="E5927" i="69"/>
  <c r="E5926" i="69"/>
  <c r="E5925" i="69"/>
  <c r="E5924" i="69"/>
  <c r="E5923" i="69"/>
  <c r="E5922" i="69"/>
  <c r="E5921" i="69"/>
  <c r="E5920" i="69"/>
  <c r="E5919" i="69"/>
  <c r="E5918" i="69"/>
  <c r="E5917" i="69"/>
  <c r="E5916" i="69"/>
  <c r="E5915" i="69"/>
  <c r="E5914" i="69"/>
  <c r="E5913" i="69"/>
  <c r="E5912" i="69"/>
  <c r="E5911" i="69"/>
  <c r="E5910" i="69"/>
  <c r="E5909" i="69"/>
  <c r="E5908" i="69"/>
  <c r="E5907" i="69"/>
  <c r="E5906" i="69"/>
  <c r="E5905" i="69"/>
  <c r="E5904" i="69"/>
  <c r="E5903" i="69"/>
  <c r="E5902" i="69"/>
  <c r="E5901" i="69"/>
  <c r="E5900" i="69"/>
  <c r="E5899" i="69"/>
  <c r="E5898" i="69"/>
  <c r="E5897" i="69"/>
  <c r="E5896" i="69"/>
  <c r="E5895" i="69"/>
  <c r="E5894" i="69"/>
  <c r="E5893" i="69"/>
  <c r="E5892" i="69"/>
  <c r="E5891" i="69"/>
  <c r="E5890" i="69"/>
  <c r="E5889" i="69"/>
  <c r="E5888" i="69"/>
  <c r="E5887" i="69"/>
  <c r="E5886" i="69"/>
  <c r="E5885" i="69"/>
  <c r="E5884" i="69"/>
  <c r="E5883" i="69"/>
  <c r="E5882" i="69"/>
  <c r="E5881" i="69"/>
  <c r="E5880" i="69"/>
  <c r="E5879" i="69"/>
  <c r="E5878" i="69"/>
  <c r="E5877" i="69"/>
  <c r="E5876" i="69"/>
  <c r="E5875" i="69"/>
  <c r="E5874" i="69"/>
  <c r="E5873" i="69"/>
  <c r="E5872" i="69"/>
  <c r="E5871" i="69"/>
  <c r="E5870" i="69"/>
  <c r="E5869" i="69"/>
  <c r="E5868" i="69"/>
  <c r="E5867" i="69"/>
  <c r="E5866" i="69"/>
  <c r="E5865" i="69"/>
  <c r="E5864" i="69"/>
  <c r="E5863" i="69"/>
  <c r="E5862" i="69"/>
  <c r="E5861" i="69"/>
  <c r="E5860" i="69"/>
  <c r="E5859" i="69"/>
  <c r="E5858" i="69"/>
  <c r="E5857" i="69"/>
  <c r="E5856" i="69"/>
  <c r="E5855" i="69"/>
  <c r="E5854" i="69"/>
  <c r="E5853" i="69"/>
  <c r="E5852" i="69"/>
  <c r="E5851" i="69"/>
  <c r="E5850" i="69"/>
  <c r="E5849" i="69"/>
  <c r="E5848" i="69"/>
  <c r="E5847" i="69"/>
  <c r="E5846" i="69"/>
  <c r="E5845" i="69"/>
  <c r="E5844" i="69"/>
  <c r="E5843" i="69"/>
  <c r="E5842" i="69"/>
  <c r="E5841" i="69"/>
  <c r="E5840" i="69"/>
  <c r="E5839" i="69"/>
  <c r="E5838" i="69"/>
  <c r="E5837" i="69"/>
  <c r="E5836" i="69"/>
  <c r="E5835" i="69"/>
  <c r="E5834" i="69"/>
  <c r="E5833" i="69"/>
  <c r="E5832" i="69"/>
  <c r="E5831" i="69"/>
  <c r="E5830" i="69"/>
  <c r="E5829" i="69"/>
  <c r="E5828" i="69"/>
  <c r="E5827" i="69"/>
  <c r="E5826" i="69"/>
  <c r="E5825" i="69"/>
  <c r="E5824" i="69"/>
  <c r="E5823" i="69"/>
  <c r="E5822" i="69"/>
  <c r="E5821" i="69"/>
  <c r="E5820" i="69"/>
  <c r="E5819" i="69"/>
  <c r="E5818" i="69"/>
  <c r="E5817" i="69"/>
  <c r="E5816" i="69"/>
  <c r="E5815" i="69"/>
  <c r="E5814" i="69"/>
  <c r="E5813" i="69"/>
  <c r="E5812" i="69"/>
  <c r="E5811" i="69"/>
  <c r="E5810" i="69"/>
  <c r="E5809" i="69"/>
  <c r="E5808" i="69"/>
  <c r="E5807" i="69"/>
  <c r="E5806" i="69"/>
  <c r="E5805" i="69"/>
  <c r="E5804" i="69"/>
  <c r="E5803" i="69"/>
  <c r="E5802" i="69"/>
  <c r="E5801" i="69"/>
  <c r="E5800" i="69"/>
  <c r="E5799" i="69"/>
  <c r="E5798" i="69"/>
  <c r="E5797" i="69"/>
  <c r="E5796" i="69"/>
  <c r="E5795" i="69"/>
  <c r="E5794" i="69"/>
  <c r="E5793" i="69"/>
  <c r="E5792" i="69"/>
  <c r="E5791" i="69"/>
  <c r="E5790" i="69"/>
  <c r="E5789" i="69"/>
  <c r="E5788" i="69"/>
  <c r="E5787" i="69"/>
  <c r="E5786" i="69"/>
  <c r="E5785" i="69"/>
  <c r="E5784" i="69"/>
  <c r="E5783" i="69"/>
  <c r="E5782" i="69"/>
  <c r="E5781" i="69"/>
  <c r="E5780" i="69"/>
  <c r="E5779" i="69"/>
  <c r="E5778" i="69"/>
  <c r="E5777" i="69"/>
  <c r="E5776" i="69"/>
  <c r="E5775" i="69"/>
  <c r="E5774" i="69"/>
  <c r="E5773" i="69"/>
  <c r="E5772" i="69"/>
  <c r="E5771" i="69"/>
  <c r="E5770" i="69"/>
  <c r="E5769" i="69"/>
  <c r="E5768" i="69"/>
  <c r="E5767" i="69"/>
  <c r="E5766" i="69"/>
  <c r="E5765" i="69"/>
  <c r="E5764" i="69"/>
  <c r="E5763" i="69"/>
  <c r="E5762" i="69"/>
  <c r="E5761" i="69"/>
  <c r="E5760" i="69"/>
  <c r="E5759" i="69"/>
  <c r="E5758" i="69"/>
  <c r="E5757" i="69"/>
  <c r="E5756" i="69"/>
  <c r="E5755" i="69"/>
  <c r="E5754" i="69"/>
  <c r="E5753" i="69"/>
  <c r="E5752" i="69"/>
  <c r="E5751" i="69"/>
  <c r="E5750" i="69"/>
  <c r="E5749" i="69"/>
  <c r="E5748" i="69"/>
  <c r="E5747" i="69"/>
  <c r="E5746" i="69"/>
  <c r="E5745" i="69"/>
  <c r="E5744" i="69"/>
  <c r="E5743" i="69"/>
  <c r="E5742" i="69"/>
  <c r="E5741" i="69"/>
  <c r="E5740" i="69"/>
  <c r="E5739" i="69"/>
  <c r="E5738" i="69"/>
  <c r="E5737" i="69"/>
  <c r="E5736" i="69"/>
  <c r="E5735" i="69"/>
  <c r="E5734" i="69"/>
  <c r="E5733" i="69"/>
  <c r="E5732" i="69"/>
  <c r="E5731" i="69"/>
  <c r="E5730" i="69"/>
  <c r="E5729" i="69"/>
  <c r="E5728" i="69"/>
  <c r="E5727" i="69"/>
  <c r="E5726" i="69"/>
  <c r="E5725" i="69"/>
  <c r="E5724" i="69"/>
  <c r="E5723" i="69"/>
  <c r="E5722" i="69"/>
  <c r="E5721" i="69"/>
  <c r="E5720" i="69"/>
  <c r="E5719" i="69"/>
  <c r="E5718" i="69"/>
  <c r="E5717" i="69"/>
  <c r="E5716" i="69"/>
  <c r="E5715" i="69"/>
  <c r="E5714" i="69"/>
  <c r="E5713" i="69"/>
  <c r="E5712" i="69"/>
  <c r="E5711" i="69"/>
  <c r="E5710" i="69"/>
  <c r="E5709" i="69"/>
  <c r="E5708" i="69"/>
  <c r="E5707" i="69"/>
  <c r="E5706" i="69"/>
  <c r="E5705" i="69"/>
  <c r="E5704" i="69"/>
  <c r="E5703" i="69"/>
  <c r="E5702" i="69"/>
  <c r="E5701" i="69"/>
  <c r="E5700" i="69"/>
  <c r="E5699" i="69"/>
  <c r="E5698" i="69"/>
  <c r="E5697" i="69"/>
  <c r="E5696" i="69"/>
  <c r="E5695" i="69"/>
  <c r="E5694" i="69"/>
  <c r="E5693" i="69"/>
  <c r="E5692" i="69"/>
  <c r="E5691" i="69"/>
  <c r="E5690" i="69"/>
  <c r="E5689" i="69"/>
  <c r="E5688" i="69"/>
  <c r="E5687" i="69"/>
  <c r="E5686" i="69"/>
  <c r="E5685" i="69"/>
  <c r="E5684" i="69"/>
  <c r="E5683" i="69"/>
  <c r="E5682" i="69"/>
  <c r="E5681" i="69"/>
  <c r="E5680" i="69"/>
  <c r="E5679" i="69"/>
  <c r="E5678" i="69"/>
  <c r="E5677" i="69"/>
  <c r="E5676" i="69"/>
  <c r="E5675" i="69"/>
  <c r="E5674" i="69"/>
  <c r="E5673" i="69"/>
  <c r="E5672" i="69"/>
  <c r="E5671" i="69"/>
  <c r="E5670" i="69"/>
  <c r="E5669" i="69"/>
  <c r="E5668" i="69"/>
  <c r="E5667" i="69"/>
  <c r="E5666" i="69"/>
  <c r="E5665" i="69"/>
  <c r="E5664" i="69"/>
  <c r="E5663" i="69"/>
  <c r="E5662" i="69"/>
  <c r="E5661" i="69"/>
  <c r="E5660" i="69"/>
  <c r="E5659" i="69"/>
  <c r="E5658" i="69"/>
  <c r="E5657" i="69"/>
  <c r="E5656" i="69"/>
  <c r="E5655" i="69"/>
  <c r="E5654" i="69"/>
  <c r="E5653" i="69"/>
  <c r="E5652" i="69"/>
  <c r="E5651" i="69"/>
  <c r="E5650" i="69"/>
  <c r="E5649" i="69"/>
  <c r="E5648" i="69"/>
  <c r="E5647" i="69"/>
  <c r="E5646" i="69"/>
  <c r="E5645" i="69"/>
  <c r="E5644" i="69"/>
  <c r="E5643" i="69"/>
  <c r="E5642" i="69"/>
  <c r="E5641" i="69"/>
  <c r="E5640" i="69"/>
  <c r="E5639" i="69"/>
  <c r="E5638" i="69"/>
  <c r="E5637" i="69"/>
  <c r="E5636" i="69"/>
  <c r="E5635" i="69"/>
  <c r="E5634" i="69"/>
  <c r="E5633" i="69"/>
  <c r="E5632" i="69"/>
  <c r="E5631" i="69"/>
  <c r="E5630" i="69"/>
  <c r="E5629" i="69"/>
  <c r="E5628" i="69"/>
  <c r="E5627" i="69"/>
  <c r="E5626" i="69"/>
  <c r="E5625" i="69"/>
  <c r="E5624" i="69"/>
  <c r="E5623" i="69"/>
  <c r="E5622" i="69"/>
  <c r="E5621" i="69"/>
  <c r="E5620" i="69"/>
  <c r="E5619" i="69"/>
  <c r="E5618" i="69"/>
  <c r="E5617" i="69"/>
  <c r="E5616" i="69"/>
  <c r="E5615" i="69"/>
  <c r="E5614" i="69"/>
  <c r="E5613" i="69"/>
  <c r="E5612" i="69"/>
  <c r="E5611" i="69"/>
  <c r="E5610" i="69"/>
  <c r="E5609" i="69"/>
  <c r="E5608" i="69"/>
  <c r="E5607" i="69"/>
  <c r="E5606" i="69"/>
  <c r="E5605" i="69"/>
  <c r="E5604" i="69"/>
  <c r="E5603" i="69"/>
  <c r="E5602" i="69"/>
  <c r="E5601" i="69"/>
  <c r="E5600" i="69"/>
  <c r="E5599" i="69"/>
  <c r="E5598" i="69"/>
  <c r="E5597" i="69"/>
  <c r="E5596" i="69"/>
  <c r="E5595" i="69"/>
  <c r="E5594" i="69"/>
  <c r="E5593" i="69"/>
  <c r="E5592" i="69"/>
  <c r="E5591" i="69"/>
  <c r="E5590" i="69"/>
  <c r="E5589" i="69"/>
  <c r="E5588" i="69"/>
  <c r="E5587" i="69"/>
  <c r="E5586" i="69"/>
  <c r="E5585" i="69"/>
  <c r="E5584" i="69"/>
  <c r="E5583" i="69"/>
  <c r="E5582" i="69"/>
  <c r="E5581" i="69"/>
  <c r="E5580" i="69"/>
  <c r="E5579" i="69"/>
  <c r="E5578" i="69"/>
  <c r="E5577" i="69"/>
  <c r="E5576" i="69"/>
  <c r="E5575" i="69"/>
  <c r="E5574" i="69"/>
  <c r="E5573" i="69"/>
  <c r="E5572" i="69"/>
  <c r="E5571" i="69"/>
  <c r="E5570" i="69"/>
  <c r="E5569" i="69"/>
  <c r="E5568" i="69"/>
  <c r="E5567" i="69"/>
  <c r="E5566" i="69"/>
  <c r="E5565" i="69"/>
  <c r="E5564" i="69"/>
  <c r="E5563" i="69"/>
  <c r="E5562" i="69"/>
  <c r="E5561" i="69"/>
  <c r="E5560" i="69"/>
  <c r="E5559" i="69"/>
  <c r="E5558" i="69"/>
  <c r="E5557" i="69"/>
  <c r="E5556" i="69"/>
  <c r="E5555" i="69"/>
  <c r="E5554" i="69"/>
  <c r="E5553" i="69"/>
  <c r="E5552" i="69"/>
  <c r="E5551" i="69"/>
  <c r="E5550" i="69"/>
  <c r="E5549" i="69"/>
  <c r="E5548" i="69"/>
  <c r="E5547" i="69"/>
  <c r="E5546" i="69"/>
  <c r="E5545" i="69"/>
  <c r="E5544" i="69"/>
  <c r="E5543" i="69"/>
  <c r="E5542" i="69"/>
  <c r="E5541" i="69"/>
  <c r="E5540" i="69"/>
  <c r="E5539" i="69"/>
  <c r="E5538" i="69"/>
  <c r="E5537" i="69"/>
  <c r="E5536" i="69"/>
  <c r="E5535" i="69"/>
  <c r="E5534" i="69"/>
  <c r="E5533" i="69"/>
  <c r="E5532" i="69"/>
  <c r="E5531" i="69"/>
  <c r="E5530" i="69"/>
  <c r="E5529" i="69"/>
  <c r="E5528" i="69"/>
  <c r="E5527" i="69"/>
  <c r="E5526" i="69"/>
  <c r="E5525" i="69"/>
  <c r="E5524" i="69"/>
  <c r="E5523" i="69"/>
  <c r="E5522" i="69"/>
  <c r="E5521" i="69"/>
  <c r="E5520" i="69"/>
  <c r="E5519" i="69"/>
  <c r="E5518" i="69"/>
  <c r="E5517" i="69"/>
  <c r="E5516" i="69"/>
  <c r="E5515" i="69"/>
  <c r="E5514" i="69"/>
  <c r="E5513" i="69"/>
  <c r="E5512" i="69"/>
  <c r="E5511" i="69"/>
  <c r="E5510" i="69"/>
  <c r="E5509" i="69"/>
  <c r="E5508" i="69"/>
  <c r="E5507" i="69"/>
  <c r="E5506" i="69"/>
  <c r="E5505" i="69"/>
  <c r="E5504" i="69"/>
  <c r="E5503" i="69"/>
  <c r="E5502" i="69"/>
  <c r="E5501" i="69"/>
  <c r="E5500" i="69"/>
  <c r="E5499" i="69"/>
  <c r="E5498" i="69"/>
  <c r="E5497" i="69"/>
  <c r="E5496" i="69"/>
  <c r="E5495" i="69"/>
  <c r="E5494" i="69"/>
  <c r="E5493" i="69"/>
  <c r="E5492" i="69"/>
  <c r="E5491" i="69"/>
  <c r="E5490" i="69"/>
  <c r="E5489" i="69"/>
  <c r="E5488" i="69"/>
  <c r="E5487" i="69"/>
  <c r="E5486" i="69"/>
  <c r="E5485" i="69"/>
  <c r="E5484" i="69"/>
  <c r="E5483" i="69"/>
  <c r="E5482" i="69"/>
  <c r="E5481" i="69"/>
  <c r="E5480" i="69"/>
  <c r="E5479" i="69"/>
  <c r="E5478" i="69"/>
  <c r="E5477" i="69"/>
  <c r="E5476" i="69"/>
  <c r="E5475" i="69"/>
  <c r="E5474" i="69"/>
  <c r="E5473" i="69"/>
  <c r="E5472" i="69"/>
  <c r="E5471" i="69"/>
  <c r="E5470" i="69"/>
  <c r="E5469" i="69"/>
  <c r="E5468" i="69"/>
  <c r="E5467" i="69"/>
  <c r="E5466" i="69"/>
  <c r="E5465" i="69"/>
  <c r="E5464" i="69"/>
  <c r="E5463" i="69"/>
  <c r="E5462" i="69"/>
  <c r="E5461" i="69"/>
  <c r="E5460" i="69"/>
  <c r="E5459" i="69"/>
  <c r="E5458" i="69"/>
  <c r="E5457" i="69"/>
  <c r="E5456" i="69"/>
  <c r="E5455" i="69"/>
  <c r="E5454" i="69"/>
  <c r="E5453" i="69"/>
  <c r="E5452" i="69"/>
  <c r="E5451" i="69"/>
  <c r="E5450" i="69"/>
  <c r="E5449" i="69"/>
  <c r="E5448" i="69"/>
  <c r="E5447" i="69"/>
  <c r="E5446" i="69"/>
  <c r="E5445" i="69"/>
  <c r="E5444" i="69"/>
  <c r="E5443" i="69"/>
  <c r="E5442" i="69"/>
  <c r="E5441" i="69"/>
  <c r="E5440" i="69"/>
  <c r="E5439" i="69"/>
  <c r="E5438" i="69"/>
  <c r="E5437" i="69"/>
  <c r="E5436" i="69"/>
  <c r="E5435" i="69"/>
  <c r="E5434" i="69"/>
  <c r="E5433" i="69"/>
  <c r="E5432" i="69"/>
  <c r="E5431" i="69"/>
  <c r="E5430" i="69"/>
  <c r="E5429" i="69"/>
  <c r="E5428" i="69"/>
  <c r="E5427" i="69"/>
  <c r="E5426" i="69"/>
  <c r="E5425" i="69"/>
  <c r="E5424" i="69"/>
  <c r="E5423" i="69"/>
  <c r="E5422" i="69"/>
  <c r="E5421" i="69"/>
  <c r="E5420" i="69"/>
  <c r="E5419" i="69"/>
  <c r="E5418" i="69"/>
  <c r="E5417" i="69"/>
  <c r="E5416" i="69"/>
  <c r="E5415" i="69"/>
  <c r="E5414" i="69"/>
  <c r="E5413" i="69"/>
  <c r="E5412" i="69"/>
  <c r="E5411" i="69"/>
  <c r="E5410" i="69"/>
  <c r="E5409" i="69"/>
  <c r="E5408" i="69"/>
  <c r="E5407" i="69"/>
  <c r="E5406" i="69"/>
  <c r="E5405" i="69"/>
  <c r="E5404" i="69"/>
  <c r="E5403" i="69"/>
  <c r="E5402" i="69"/>
  <c r="E5401" i="69"/>
  <c r="E5400" i="69"/>
  <c r="E5399" i="69"/>
  <c r="E5398" i="69"/>
  <c r="E5397" i="69"/>
  <c r="E5396" i="69"/>
  <c r="E5395" i="69"/>
  <c r="E5394" i="69"/>
  <c r="E5393" i="69"/>
  <c r="E5392" i="69"/>
  <c r="E5391" i="69"/>
  <c r="E5390" i="69"/>
  <c r="E5389" i="69"/>
  <c r="E5388" i="69"/>
  <c r="E5387" i="69"/>
  <c r="E5386" i="69"/>
  <c r="E5385" i="69"/>
  <c r="E5384" i="69"/>
  <c r="E5383" i="69"/>
  <c r="E5382" i="69"/>
  <c r="E5381" i="69"/>
  <c r="E5380" i="69"/>
  <c r="E5379" i="69"/>
  <c r="E5378" i="69"/>
  <c r="E5377" i="69"/>
  <c r="E5376" i="69"/>
  <c r="E5375" i="69"/>
  <c r="E5374" i="69"/>
  <c r="E5373" i="69"/>
  <c r="E5372" i="69"/>
  <c r="E5371" i="69"/>
  <c r="E5370" i="69"/>
  <c r="E5369" i="69"/>
  <c r="E5368" i="69"/>
  <c r="E5367" i="69"/>
  <c r="E5366" i="69"/>
  <c r="E5365" i="69"/>
  <c r="E5364" i="69"/>
  <c r="E5363" i="69"/>
  <c r="E5362" i="69"/>
  <c r="E5361" i="69"/>
  <c r="E5360" i="69"/>
  <c r="E5359" i="69"/>
  <c r="E5358" i="69"/>
  <c r="E5357" i="69"/>
  <c r="E5356" i="69"/>
  <c r="E5355" i="69"/>
  <c r="E5354" i="69"/>
  <c r="E5353" i="69"/>
  <c r="E5352" i="69"/>
  <c r="E5351" i="69"/>
  <c r="E5350" i="69"/>
  <c r="E5349" i="69"/>
  <c r="E5348" i="69"/>
  <c r="E5347" i="69"/>
  <c r="E5346" i="69"/>
  <c r="E5345" i="69"/>
  <c r="E5344" i="69"/>
  <c r="E5343" i="69"/>
  <c r="E5342" i="69"/>
  <c r="E5341" i="69"/>
  <c r="E5340" i="69"/>
  <c r="E5339" i="69"/>
  <c r="E5338" i="69"/>
  <c r="E5337" i="69"/>
  <c r="E5336" i="69"/>
  <c r="E5335" i="69"/>
  <c r="E5334" i="69"/>
  <c r="E5333" i="69"/>
  <c r="E5332" i="69"/>
  <c r="E5331" i="69"/>
  <c r="E5330" i="69"/>
  <c r="E5329" i="69"/>
  <c r="E5328" i="69"/>
  <c r="E5327" i="69"/>
  <c r="E5326" i="69"/>
  <c r="E5325" i="69"/>
  <c r="E5324" i="69"/>
  <c r="E5323" i="69"/>
  <c r="E5322" i="69"/>
  <c r="E5321" i="69"/>
  <c r="E5320" i="69"/>
  <c r="E5319" i="69"/>
  <c r="E5318" i="69"/>
  <c r="E5317" i="69"/>
  <c r="E5316" i="69"/>
  <c r="E5315" i="69"/>
  <c r="E5314" i="69"/>
  <c r="E5313" i="69"/>
  <c r="E5312" i="69"/>
  <c r="E5311" i="69"/>
  <c r="E5310" i="69"/>
  <c r="E5309" i="69"/>
  <c r="E5308" i="69"/>
  <c r="E5307" i="69"/>
  <c r="E5306" i="69"/>
  <c r="E5305" i="69"/>
  <c r="E5304" i="69"/>
  <c r="E5303" i="69"/>
  <c r="E5302" i="69"/>
  <c r="E5301" i="69"/>
  <c r="E5300" i="69"/>
  <c r="E5299" i="69"/>
  <c r="E5298" i="69"/>
  <c r="E5297" i="69"/>
  <c r="E5296" i="69"/>
  <c r="E5295" i="69"/>
  <c r="E5294" i="69"/>
  <c r="E5293" i="69"/>
  <c r="E5292" i="69"/>
  <c r="E5291" i="69"/>
  <c r="E5290" i="69"/>
  <c r="E5289" i="69"/>
  <c r="E5288" i="69"/>
  <c r="E5287" i="69"/>
  <c r="E5286" i="69"/>
  <c r="E5285" i="69"/>
  <c r="E5284" i="69"/>
  <c r="E5283" i="69"/>
  <c r="E5282" i="69"/>
  <c r="E5281" i="69"/>
  <c r="E5280" i="69"/>
  <c r="E5279" i="69"/>
  <c r="E5278" i="69"/>
  <c r="E5277" i="69"/>
  <c r="E5276" i="69"/>
  <c r="E5275" i="69"/>
  <c r="E5274" i="69"/>
  <c r="E5273" i="69"/>
  <c r="E5272" i="69"/>
  <c r="E5271" i="69"/>
  <c r="E5270" i="69"/>
  <c r="E5269" i="69"/>
  <c r="E5268" i="69"/>
  <c r="E5267" i="69"/>
  <c r="E5266" i="69"/>
  <c r="E5265" i="69"/>
  <c r="E5264" i="69"/>
  <c r="E5263" i="69"/>
  <c r="E5262" i="69"/>
  <c r="E5261" i="69"/>
  <c r="E5260" i="69"/>
  <c r="E5259" i="69"/>
  <c r="E5258" i="69"/>
  <c r="E5257" i="69"/>
  <c r="E5256" i="69"/>
  <c r="E5255" i="69"/>
  <c r="E5254" i="69"/>
  <c r="E5253" i="69"/>
  <c r="E5252" i="69"/>
  <c r="E5251" i="69"/>
  <c r="E5250" i="69"/>
  <c r="E5249" i="69"/>
  <c r="E5248" i="69"/>
  <c r="E5247" i="69"/>
  <c r="E5246" i="69"/>
  <c r="E5245" i="69"/>
  <c r="E5244" i="69"/>
  <c r="E5243" i="69"/>
  <c r="E5242" i="69"/>
  <c r="E5241" i="69"/>
  <c r="E5240" i="69"/>
  <c r="E5239" i="69"/>
  <c r="E5238" i="69"/>
  <c r="E5237" i="69"/>
  <c r="E5236" i="69"/>
  <c r="E5235" i="69"/>
  <c r="E5234" i="69"/>
  <c r="E5233" i="69"/>
  <c r="E5232" i="69"/>
  <c r="E5231" i="69"/>
  <c r="E5230" i="69"/>
  <c r="E5229" i="69"/>
  <c r="E5228" i="69"/>
  <c r="E5227" i="69"/>
  <c r="E5226" i="69"/>
  <c r="E5225" i="69"/>
  <c r="E5224" i="69"/>
  <c r="E5223" i="69"/>
  <c r="E5222" i="69"/>
  <c r="E5221" i="69"/>
  <c r="E5220" i="69"/>
  <c r="E5219" i="69"/>
  <c r="E5218" i="69"/>
  <c r="E5217" i="69"/>
  <c r="E5216" i="69"/>
  <c r="E5215" i="69"/>
  <c r="E5214" i="69"/>
  <c r="E5213" i="69"/>
  <c r="E5212" i="69"/>
  <c r="E5211" i="69"/>
  <c r="E5210" i="69"/>
  <c r="E5209" i="69"/>
  <c r="E5208" i="69"/>
  <c r="E5207" i="69"/>
  <c r="E5206" i="69"/>
  <c r="E5205" i="69"/>
  <c r="E5204" i="69"/>
  <c r="E5203" i="69"/>
  <c r="E5202" i="69"/>
  <c r="E5201" i="69"/>
  <c r="E5200" i="69"/>
  <c r="E5199" i="69"/>
  <c r="E5198" i="69"/>
  <c r="E5197" i="69"/>
  <c r="E5196" i="69"/>
  <c r="E5195" i="69"/>
  <c r="E5194" i="69"/>
  <c r="E5193" i="69"/>
  <c r="E5192" i="69"/>
  <c r="E5191" i="69"/>
  <c r="E5190" i="69"/>
  <c r="E5189" i="69"/>
  <c r="E5188" i="69"/>
  <c r="E5187" i="69"/>
  <c r="E5186" i="69"/>
  <c r="E5185" i="69"/>
  <c r="E5184" i="69"/>
  <c r="E5183" i="69"/>
  <c r="E5182" i="69"/>
  <c r="E5181" i="69"/>
  <c r="E5180" i="69"/>
  <c r="E5179" i="69"/>
  <c r="E5178" i="69"/>
  <c r="E5177" i="69"/>
  <c r="E5176" i="69"/>
  <c r="E5175" i="69"/>
  <c r="E5174" i="69"/>
  <c r="E5173" i="69"/>
  <c r="E5172" i="69"/>
  <c r="E5171" i="69"/>
  <c r="E5170" i="69"/>
  <c r="E5169" i="69"/>
  <c r="E5168" i="69"/>
  <c r="E5167" i="69"/>
  <c r="E5166" i="69"/>
  <c r="E5165" i="69"/>
  <c r="E5164" i="69"/>
  <c r="E5163" i="69"/>
  <c r="E5162" i="69"/>
  <c r="E5161" i="69"/>
  <c r="E5160" i="69"/>
  <c r="E5159" i="69"/>
  <c r="E5158" i="69"/>
  <c r="E5157" i="69"/>
  <c r="E5156" i="69"/>
  <c r="E5155" i="69"/>
  <c r="E5154" i="69"/>
  <c r="E5153" i="69"/>
  <c r="E5152" i="69"/>
  <c r="E5151" i="69"/>
  <c r="E5150" i="69"/>
  <c r="E5149" i="69"/>
  <c r="E5148" i="69"/>
  <c r="E5147" i="69"/>
  <c r="E5146" i="69"/>
  <c r="E5145" i="69"/>
  <c r="E5144" i="69"/>
  <c r="E5143" i="69"/>
  <c r="E5142" i="69"/>
  <c r="E5141" i="69"/>
  <c r="E5140" i="69"/>
  <c r="E5139" i="69"/>
  <c r="E5138" i="69"/>
  <c r="E5137" i="69"/>
  <c r="E5136" i="69"/>
  <c r="E5135" i="69"/>
  <c r="E5134" i="69"/>
  <c r="E5133" i="69"/>
  <c r="E5132" i="69"/>
  <c r="E5131" i="69"/>
  <c r="E5130" i="69"/>
  <c r="E5129" i="69"/>
  <c r="E5128" i="69"/>
  <c r="E5127" i="69"/>
  <c r="E5126" i="69"/>
  <c r="E5125" i="69"/>
  <c r="E5124" i="69"/>
  <c r="E5123" i="69"/>
  <c r="E5122" i="69"/>
  <c r="E5121" i="69"/>
  <c r="E5120" i="69"/>
  <c r="E5119" i="69"/>
  <c r="E5118" i="69"/>
  <c r="E5117" i="69"/>
  <c r="E5116" i="69"/>
  <c r="E5115" i="69"/>
  <c r="E5114" i="69"/>
  <c r="E5113" i="69"/>
  <c r="E5112" i="69"/>
  <c r="E5111" i="69"/>
  <c r="E5110" i="69"/>
  <c r="E5109" i="69"/>
  <c r="E5108" i="69"/>
  <c r="E5107" i="69"/>
  <c r="E5106" i="69"/>
  <c r="E5105" i="69"/>
  <c r="E5104" i="69"/>
  <c r="E5103" i="69"/>
  <c r="E5102" i="69"/>
  <c r="E5101" i="69"/>
  <c r="E5100" i="69"/>
  <c r="E5099" i="69"/>
  <c r="E5098" i="69"/>
  <c r="E5097" i="69"/>
  <c r="E5096" i="69"/>
  <c r="E5095" i="69"/>
  <c r="E5094" i="69"/>
  <c r="E5093" i="69"/>
  <c r="E5092" i="69"/>
  <c r="E5091" i="69"/>
  <c r="E5090" i="69"/>
  <c r="E5089" i="69"/>
  <c r="E5088" i="69"/>
  <c r="E5087" i="69"/>
  <c r="E5086" i="69"/>
  <c r="E5085" i="69"/>
  <c r="E5084" i="69"/>
  <c r="E5083" i="69"/>
  <c r="E5082" i="69"/>
  <c r="E5081" i="69"/>
  <c r="E5080" i="69"/>
  <c r="E5079" i="69"/>
  <c r="E5078" i="69"/>
  <c r="E5077" i="69"/>
  <c r="E5076" i="69"/>
  <c r="E5075" i="69"/>
  <c r="E5074" i="69"/>
  <c r="E5073" i="69"/>
  <c r="E5072" i="69"/>
  <c r="E5071" i="69"/>
  <c r="E5070" i="69"/>
  <c r="E5069" i="69"/>
  <c r="E5068" i="69"/>
  <c r="E5067" i="69"/>
  <c r="E5066" i="69"/>
  <c r="E5065" i="69"/>
  <c r="E5064" i="69"/>
  <c r="E5063" i="69"/>
  <c r="E5062" i="69"/>
  <c r="E5061" i="69"/>
  <c r="E5060" i="69"/>
  <c r="E5059" i="69"/>
  <c r="E5058" i="69"/>
  <c r="E5057" i="69"/>
  <c r="E5056" i="69"/>
  <c r="E5055" i="69"/>
  <c r="E5054" i="69"/>
  <c r="E5053" i="69"/>
  <c r="E5052" i="69"/>
  <c r="E5051" i="69"/>
  <c r="E5050" i="69"/>
  <c r="E5049" i="69"/>
  <c r="E5048" i="69"/>
  <c r="E5047" i="69"/>
  <c r="E5046" i="69"/>
  <c r="E5045" i="69"/>
  <c r="E5044" i="69"/>
  <c r="E5043" i="69"/>
  <c r="E5042" i="69"/>
  <c r="E5041" i="69"/>
  <c r="E5040" i="69"/>
  <c r="E5039" i="69"/>
  <c r="E5038" i="69"/>
  <c r="E5037" i="69"/>
  <c r="E5036" i="69"/>
  <c r="E5035" i="69"/>
  <c r="E5034" i="69"/>
  <c r="E5033" i="69"/>
  <c r="E5032" i="69"/>
  <c r="E5031" i="69"/>
  <c r="E5030" i="69"/>
  <c r="E5029" i="69"/>
  <c r="E5028" i="69"/>
  <c r="E5027" i="69"/>
  <c r="E5026" i="69"/>
  <c r="E5025" i="69"/>
  <c r="E5024" i="69"/>
  <c r="E5023" i="69"/>
  <c r="E5022" i="69"/>
  <c r="E5021" i="69"/>
  <c r="E5020" i="69"/>
  <c r="E5019" i="69"/>
  <c r="E5018" i="69"/>
  <c r="E5017" i="69"/>
  <c r="E5016" i="69"/>
  <c r="E5015" i="69"/>
  <c r="E5014" i="69"/>
  <c r="E5013" i="69"/>
  <c r="E5012" i="69"/>
  <c r="E5011" i="69"/>
  <c r="E5010" i="69"/>
  <c r="E5009" i="69"/>
  <c r="E5008" i="69"/>
  <c r="E5007" i="69"/>
  <c r="E5006" i="69"/>
  <c r="E5005" i="69"/>
  <c r="E5004" i="69"/>
  <c r="E5003" i="69"/>
  <c r="E5002" i="69"/>
  <c r="E5001" i="69"/>
  <c r="E5000" i="69"/>
  <c r="E4999" i="69"/>
  <c r="E4998" i="69"/>
  <c r="E4997" i="69"/>
  <c r="E4996" i="69"/>
  <c r="E4995" i="69"/>
  <c r="E4994" i="69"/>
  <c r="E4993" i="69"/>
  <c r="E4992" i="69"/>
  <c r="E4991" i="69"/>
  <c r="E4990" i="69"/>
  <c r="E4989" i="69"/>
  <c r="E4988" i="69"/>
  <c r="E4987" i="69"/>
  <c r="E4986" i="69"/>
  <c r="E4985" i="69"/>
  <c r="E4984" i="69"/>
  <c r="E4983" i="69"/>
  <c r="E4982" i="69"/>
  <c r="E4981" i="69"/>
  <c r="E4980" i="69"/>
  <c r="E4979" i="69"/>
  <c r="E4978" i="69"/>
  <c r="E4977" i="69"/>
  <c r="E4976" i="69"/>
  <c r="E4975" i="69"/>
  <c r="E4974" i="69"/>
  <c r="E4973" i="69"/>
  <c r="E4972" i="69"/>
  <c r="E4971" i="69"/>
  <c r="E4970" i="69"/>
  <c r="E4969" i="69"/>
  <c r="E4968" i="69"/>
  <c r="E4967" i="69"/>
  <c r="E4966" i="69"/>
  <c r="E4965" i="69"/>
  <c r="E4964" i="69"/>
  <c r="E4963" i="69"/>
  <c r="E4962" i="69"/>
  <c r="E4961" i="69"/>
  <c r="E4960" i="69"/>
  <c r="E4959" i="69"/>
  <c r="E4958" i="69"/>
  <c r="E4957" i="69"/>
  <c r="E4956" i="69"/>
  <c r="E4955" i="69"/>
  <c r="E4954" i="69"/>
  <c r="E4953" i="69"/>
  <c r="E4952" i="69"/>
  <c r="E4951" i="69"/>
  <c r="E4950" i="69"/>
  <c r="E4949" i="69"/>
  <c r="E4948" i="69"/>
  <c r="E4947" i="69"/>
  <c r="E4946" i="69"/>
  <c r="E4945" i="69"/>
  <c r="E4944" i="69"/>
  <c r="E4943" i="69"/>
  <c r="E4942" i="69"/>
  <c r="E4941" i="69"/>
  <c r="E4940" i="69"/>
  <c r="E4939" i="69"/>
  <c r="E4938" i="69"/>
  <c r="E4937" i="69"/>
  <c r="E4936" i="69"/>
  <c r="E4935" i="69"/>
  <c r="E4934" i="69"/>
  <c r="E4933" i="69"/>
  <c r="E4932" i="69"/>
  <c r="E4931" i="69"/>
  <c r="E4930" i="69"/>
  <c r="E4929" i="69"/>
  <c r="E4928" i="69"/>
  <c r="E4927" i="69"/>
  <c r="E4926" i="69"/>
  <c r="E4925" i="69"/>
  <c r="E4924" i="69"/>
  <c r="E4923" i="69"/>
  <c r="E4922" i="69"/>
  <c r="E4921" i="69"/>
  <c r="E4920" i="69"/>
  <c r="E4919" i="69"/>
  <c r="E4918" i="69"/>
  <c r="E4917" i="69"/>
  <c r="E4916" i="69"/>
  <c r="E4915" i="69"/>
  <c r="E4914" i="69"/>
  <c r="E4913" i="69"/>
  <c r="E4912" i="69"/>
  <c r="E4911" i="69"/>
  <c r="E4910" i="69"/>
  <c r="E4909" i="69"/>
  <c r="E4908" i="69"/>
  <c r="E4907" i="69"/>
  <c r="E4906" i="69"/>
  <c r="E4905" i="69"/>
  <c r="E4904" i="69"/>
  <c r="E4903" i="69"/>
  <c r="E4902" i="69"/>
  <c r="E4901" i="69"/>
  <c r="E4900" i="69"/>
  <c r="E4899" i="69"/>
  <c r="E4898" i="69"/>
  <c r="E4897" i="69"/>
  <c r="E4896" i="69"/>
  <c r="E4895" i="69"/>
  <c r="E4894" i="69"/>
  <c r="E4893" i="69"/>
  <c r="E4892" i="69"/>
  <c r="E4891" i="69"/>
  <c r="E4890" i="69"/>
  <c r="E4889" i="69"/>
  <c r="E4888" i="69"/>
  <c r="E4887" i="69"/>
  <c r="E4886" i="69"/>
  <c r="E4885" i="69"/>
  <c r="E4884" i="69"/>
  <c r="E4883" i="69"/>
  <c r="E4882" i="69"/>
  <c r="E4881" i="69"/>
  <c r="E4880" i="69"/>
  <c r="E4879" i="69"/>
  <c r="E4878" i="69"/>
  <c r="E4877" i="69"/>
  <c r="E4876" i="69"/>
  <c r="E4875" i="69"/>
  <c r="E4874" i="69"/>
  <c r="E4873" i="69"/>
  <c r="E4872" i="69"/>
  <c r="E4871" i="69"/>
  <c r="E4870" i="69"/>
  <c r="E4869" i="69"/>
  <c r="E4868" i="69"/>
  <c r="E4867" i="69"/>
  <c r="E4866" i="69"/>
  <c r="E4865" i="69"/>
  <c r="E4864" i="69"/>
  <c r="E4863" i="69"/>
  <c r="E4862" i="69"/>
  <c r="E4861" i="69"/>
  <c r="E4860" i="69"/>
  <c r="E4859" i="69"/>
  <c r="E4858" i="69"/>
  <c r="E4857" i="69"/>
  <c r="E4856" i="69"/>
  <c r="E4855" i="69"/>
  <c r="E4854" i="69"/>
  <c r="E4853" i="69"/>
  <c r="E4852" i="69"/>
  <c r="E4851" i="69"/>
  <c r="E4850" i="69"/>
  <c r="E4849" i="69"/>
  <c r="E4848" i="69"/>
  <c r="E4847" i="69"/>
  <c r="E4846" i="69"/>
  <c r="E4845" i="69"/>
  <c r="E4844" i="69"/>
  <c r="E4843" i="69"/>
  <c r="E4842" i="69"/>
  <c r="E4841" i="69"/>
  <c r="E4840" i="69"/>
  <c r="E4839" i="69"/>
  <c r="E4838" i="69"/>
  <c r="E4837" i="69"/>
  <c r="E4836" i="69"/>
  <c r="E4835" i="69"/>
  <c r="E4834" i="69"/>
  <c r="E4833" i="69"/>
  <c r="E4832" i="69"/>
  <c r="E4831" i="69"/>
  <c r="E4830" i="69"/>
  <c r="E4829" i="69"/>
  <c r="E4828" i="69"/>
  <c r="E4827" i="69"/>
  <c r="E4826" i="69"/>
  <c r="E4825" i="69"/>
  <c r="E4824" i="69"/>
  <c r="E4823" i="69"/>
  <c r="E4822" i="69"/>
  <c r="E4821" i="69"/>
  <c r="E4820" i="69"/>
  <c r="E4819" i="69"/>
  <c r="E4818" i="69"/>
  <c r="E4817" i="69"/>
  <c r="E4816" i="69"/>
  <c r="E4815" i="69"/>
  <c r="E4814" i="69"/>
  <c r="E4813" i="69"/>
  <c r="E4812" i="69"/>
  <c r="E4811" i="69"/>
  <c r="E4810" i="69"/>
  <c r="E4809" i="69"/>
  <c r="E4808" i="69"/>
  <c r="E4807" i="69"/>
  <c r="E4806" i="69"/>
  <c r="E4805" i="69"/>
  <c r="E4804" i="69"/>
  <c r="E4803" i="69"/>
  <c r="E4802" i="69"/>
  <c r="E4801" i="69"/>
  <c r="E4800" i="69"/>
  <c r="E4799" i="69"/>
  <c r="E4798" i="69"/>
  <c r="E4797" i="69"/>
  <c r="E4796" i="69"/>
  <c r="E4795" i="69"/>
  <c r="E4794" i="69"/>
  <c r="E4793" i="69"/>
  <c r="E4792" i="69"/>
  <c r="E4791" i="69"/>
  <c r="E4790" i="69"/>
  <c r="E4789" i="69"/>
  <c r="E4788" i="69"/>
  <c r="E4787" i="69"/>
  <c r="E4786" i="69"/>
  <c r="E4785" i="69"/>
  <c r="E4784" i="69"/>
  <c r="E4783" i="69"/>
  <c r="E4782" i="69"/>
  <c r="E4781" i="69"/>
  <c r="E4780" i="69"/>
  <c r="E4779" i="69"/>
  <c r="E4778" i="69"/>
  <c r="E4777" i="69"/>
  <c r="E4776" i="69"/>
  <c r="E4775" i="69"/>
  <c r="E4774" i="69"/>
  <c r="E4773" i="69"/>
  <c r="E4772" i="69"/>
  <c r="E4771" i="69"/>
  <c r="E4770" i="69"/>
  <c r="E4769" i="69"/>
  <c r="E4768" i="69"/>
  <c r="E4767" i="69"/>
  <c r="E4766" i="69"/>
  <c r="E4765" i="69"/>
  <c r="E4764" i="69"/>
  <c r="E4763" i="69"/>
  <c r="E4762" i="69"/>
  <c r="E4761" i="69"/>
  <c r="E4760" i="69"/>
  <c r="E4758" i="69"/>
  <c r="E4757" i="69"/>
  <c r="E4756" i="69"/>
  <c r="E4755" i="69"/>
  <c r="E4754" i="69"/>
  <c r="E4753" i="69"/>
  <c r="E4752" i="69"/>
  <c r="E4751" i="69"/>
  <c r="E4750" i="69"/>
  <c r="E4749" i="69"/>
  <c r="E4748" i="69"/>
  <c r="E4747" i="69"/>
  <c r="E4746" i="69"/>
  <c r="E4745" i="69"/>
  <c r="E4744" i="69"/>
  <c r="E4743" i="69"/>
  <c r="E4742" i="69"/>
  <c r="E4741" i="69"/>
  <c r="E4740" i="69"/>
  <c r="E4739" i="69"/>
  <c r="E4738" i="69"/>
  <c r="E4737" i="69"/>
  <c r="E4736" i="69"/>
  <c r="E4735" i="69"/>
  <c r="E4734" i="69"/>
  <c r="E4733" i="69"/>
  <c r="E4732" i="69"/>
  <c r="E4731" i="69"/>
  <c r="E4730" i="69"/>
  <c r="E4729" i="69"/>
  <c r="E4728" i="69"/>
  <c r="E4727" i="69"/>
  <c r="E4726" i="69"/>
  <c r="E4725" i="69"/>
  <c r="E4724" i="69"/>
  <c r="E4723" i="69"/>
  <c r="E4722" i="69"/>
  <c r="E4721" i="69"/>
  <c r="E4720" i="69"/>
  <c r="E4719" i="69"/>
  <c r="E4718" i="69"/>
  <c r="E4717" i="69"/>
  <c r="E4716" i="69"/>
  <c r="E4715" i="69"/>
  <c r="E4714" i="69"/>
  <c r="E4713" i="69"/>
  <c r="E4712" i="69"/>
  <c r="E4711" i="69"/>
  <c r="E4710" i="69"/>
  <c r="E4709" i="69"/>
  <c r="E4708" i="69"/>
  <c r="E4707" i="69"/>
  <c r="E4706" i="69"/>
  <c r="E4705" i="69"/>
  <c r="E4704" i="69"/>
  <c r="E4703" i="69"/>
  <c r="E4702" i="69"/>
  <c r="E4701" i="69"/>
  <c r="E4700" i="69"/>
  <c r="E4699" i="69"/>
  <c r="E4698" i="69"/>
  <c r="E4697" i="69"/>
  <c r="E4696" i="69"/>
  <c r="E4695" i="69"/>
  <c r="E4694" i="69"/>
  <c r="E4693" i="69"/>
  <c r="E4692" i="69"/>
  <c r="E4691" i="69"/>
  <c r="E4690" i="69"/>
  <c r="E4689" i="69"/>
  <c r="E4688" i="69"/>
  <c r="E4687" i="69"/>
  <c r="E4686" i="69"/>
  <c r="E4685" i="69"/>
  <c r="E4684" i="69"/>
  <c r="E4683" i="69"/>
  <c r="E4682" i="69"/>
  <c r="E4681" i="69"/>
  <c r="E4680" i="69"/>
  <c r="E4679" i="69"/>
  <c r="E4678" i="69"/>
  <c r="E4677" i="69"/>
  <c r="E4676" i="69"/>
  <c r="E4675" i="69"/>
  <c r="E4674" i="69"/>
  <c r="E4673" i="69"/>
  <c r="E4672" i="69"/>
  <c r="E4671" i="69"/>
  <c r="E4670" i="69"/>
  <c r="E4669" i="69"/>
  <c r="E4668" i="69"/>
  <c r="E4667" i="69"/>
  <c r="E4666" i="69"/>
  <c r="E4665" i="69"/>
  <c r="E4664" i="69"/>
  <c r="E4663" i="69"/>
  <c r="E4662" i="69"/>
  <c r="E4661" i="69"/>
  <c r="E4660" i="69"/>
  <c r="E4659" i="69"/>
  <c r="E4658" i="69"/>
  <c r="E4657" i="69"/>
  <c r="E4656" i="69"/>
  <c r="E4655" i="69"/>
  <c r="E4654" i="69"/>
  <c r="E4653" i="69"/>
  <c r="E4652" i="69"/>
  <c r="E4651" i="69"/>
  <c r="E4650" i="69"/>
  <c r="E4649" i="69"/>
  <c r="E4648" i="69"/>
  <c r="E4647" i="69"/>
  <c r="E4646" i="69"/>
  <c r="E4645" i="69"/>
  <c r="E4644" i="69"/>
  <c r="E4643" i="69"/>
  <c r="E4642" i="69"/>
  <c r="E4641" i="69"/>
  <c r="E4640" i="69"/>
  <c r="E4639" i="69"/>
  <c r="E4638" i="69"/>
  <c r="E4637" i="69"/>
  <c r="E4636" i="69"/>
  <c r="E4635" i="69"/>
  <c r="E4634" i="69"/>
  <c r="E4633" i="69"/>
  <c r="E4632" i="69"/>
  <c r="E4631" i="69"/>
  <c r="E4630" i="69"/>
  <c r="E4629" i="69"/>
  <c r="E4628" i="69"/>
  <c r="E4627" i="69"/>
  <c r="E4626" i="69"/>
  <c r="E4625" i="69"/>
  <c r="E4624" i="69"/>
  <c r="E4623" i="69"/>
  <c r="E4622" i="69"/>
  <c r="E4621" i="69"/>
  <c r="E4620" i="69"/>
  <c r="E4619" i="69"/>
  <c r="E4618" i="69"/>
  <c r="E4617" i="69"/>
  <c r="E4616" i="69"/>
  <c r="E4615" i="69"/>
  <c r="E4614" i="69"/>
  <c r="E4613" i="69"/>
  <c r="E4612" i="69"/>
  <c r="E4611" i="69"/>
  <c r="E4610" i="69"/>
  <c r="E4609" i="69"/>
  <c r="E4608" i="69"/>
  <c r="E4607" i="69"/>
  <c r="E4606" i="69"/>
  <c r="E4605" i="69"/>
  <c r="E4604" i="69"/>
  <c r="E4603" i="69"/>
  <c r="E4602" i="69"/>
  <c r="E4601" i="69"/>
  <c r="E4600" i="69"/>
  <c r="E4599" i="69"/>
  <c r="E4598" i="69"/>
  <c r="E4597" i="69"/>
  <c r="E4596" i="69"/>
  <c r="E4595" i="69"/>
  <c r="E4594" i="69"/>
  <c r="E4593" i="69"/>
  <c r="E4592" i="69"/>
  <c r="E4591" i="69"/>
  <c r="E4590" i="69"/>
  <c r="E4589" i="69"/>
  <c r="E4588" i="69"/>
  <c r="E4587" i="69"/>
  <c r="E4586" i="69"/>
  <c r="E4585" i="69"/>
  <c r="E4584" i="69"/>
  <c r="E4583" i="69"/>
  <c r="E4582" i="69"/>
  <c r="E4581" i="69"/>
  <c r="E4580" i="69"/>
  <c r="E4579" i="69"/>
  <c r="E4578" i="69"/>
  <c r="E4577" i="69"/>
  <c r="E4576" i="69"/>
  <c r="E4575" i="69"/>
  <c r="E4574" i="69"/>
  <c r="E4573" i="69"/>
  <c r="E4572" i="69"/>
  <c r="E4571" i="69"/>
  <c r="E4570" i="69"/>
  <c r="E4569" i="69"/>
  <c r="E4568" i="69"/>
  <c r="E4567" i="69"/>
  <c r="E4566" i="69"/>
  <c r="E4565" i="69"/>
  <c r="E4564" i="69"/>
  <c r="E4563" i="69"/>
  <c r="E4562" i="69"/>
  <c r="E4561" i="69"/>
  <c r="E4560" i="69"/>
  <c r="E4559" i="69"/>
  <c r="E4558" i="69"/>
  <c r="E4557" i="69"/>
  <c r="E4556" i="69"/>
  <c r="E4555" i="69"/>
  <c r="E4554" i="69"/>
  <c r="E4553" i="69"/>
  <c r="E4552" i="69"/>
  <c r="E4551" i="69"/>
  <c r="E4550" i="69"/>
  <c r="E4549" i="69"/>
  <c r="E4548" i="69"/>
  <c r="E4547" i="69"/>
  <c r="E4546" i="69"/>
  <c r="E4545" i="69"/>
  <c r="E4544" i="69"/>
  <c r="E4543" i="69"/>
  <c r="E4542" i="69"/>
  <c r="E4541" i="69"/>
  <c r="E4540" i="69"/>
  <c r="E4539" i="69"/>
  <c r="E4538" i="69"/>
  <c r="E4537" i="69"/>
  <c r="E4536" i="69"/>
  <c r="E4535" i="69"/>
  <c r="E4534" i="69"/>
  <c r="E4533" i="69"/>
  <c r="E4532" i="69"/>
  <c r="E4531" i="69"/>
  <c r="E4530" i="69"/>
  <c r="E4529" i="69"/>
  <c r="E4528" i="69"/>
  <c r="E4527" i="69"/>
  <c r="E4526" i="69"/>
  <c r="E4525" i="69"/>
  <c r="E4524" i="69"/>
  <c r="E4523" i="69"/>
  <c r="E4522" i="69"/>
  <c r="E4521" i="69"/>
  <c r="E4520" i="69"/>
  <c r="E4519" i="69"/>
  <c r="E4518" i="69"/>
  <c r="E4517" i="69"/>
  <c r="E4516" i="69"/>
  <c r="E4515" i="69"/>
  <c r="E4514" i="69"/>
  <c r="E4513" i="69"/>
  <c r="E4512" i="69"/>
  <c r="E4511" i="69"/>
  <c r="E4510" i="69"/>
  <c r="E4509" i="69"/>
  <c r="E4508" i="69"/>
  <c r="E4507" i="69"/>
  <c r="E4506" i="69"/>
  <c r="E4505" i="69"/>
  <c r="E4504" i="69"/>
  <c r="E4503" i="69"/>
  <c r="E4502" i="69"/>
  <c r="E4501" i="69"/>
  <c r="E4500" i="69"/>
  <c r="E4499" i="69"/>
  <c r="E4498" i="69"/>
  <c r="E4497" i="69"/>
  <c r="E4496" i="69"/>
  <c r="E4495" i="69"/>
  <c r="E4494" i="69"/>
  <c r="E4493" i="69"/>
  <c r="E4492" i="69"/>
  <c r="E4491" i="69"/>
  <c r="E4490" i="69"/>
  <c r="E4489" i="69"/>
  <c r="E4488" i="69"/>
  <c r="E4487" i="69"/>
  <c r="E4486" i="69"/>
  <c r="E4485" i="69"/>
  <c r="E4484" i="69"/>
  <c r="E4483" i="69"/>
  <c r="E4482" i="69"/>
  <c r="E4481" i="69"/>
  <c r="E4480" i="69"/>
  <c r="E4479" i="69"/>
  <c r="E4478" i="69"/>
  <c r="E4477" i="69"/>
  <c r="E4476" i="69"/>
  <c r="E4475" i="69"/>
  <c r="E4474" i="69"/>
  <c r="E4473" i="69"/>
  <c r="E4472" i="69"/>
  <c r="E4471" i="69"/>
  <c r="E4470" i="69"/>
  <c r="E4469" i="69"/>
  <c r="E4468" i="69"/>
  <c r="E4467" i="69"/>
  <c r="E4466" i="69"/>
  <c r="E4465" i="69"/>
  <c r="E4464" i="69"/>
  <c r="E4463" i="69"/>
  <c r="E4462" i="69"/>
  <c r="E4461" i="69"/>
  <c r="E4460" i="69"/>
  <c r="E4459" i="69"/>
  <c r="E4458" i="69"/>
  <c r="E4457" i="69"/>
  <c r="E4456" i="69"/>
  <c r="E4455" i="69"/>
  <c r="E4454" i="69"/>
  <c r="E4453" i="69"/>
  <c r="E4452" i="69"/>
  <c r="E4451" i="69"/>
  <c r="E4450" i="69"/>
  <c r="E4449" i="69"/>
  <c r="E4448" i="69"/>
  <c r="E4447" i="69"/>
  <c r="E4446" i="69"/>
  <c r="E4445" i="69"/>
  <c r="E4444" i="69"/>
  <c r="E4443" i="69"/>
  <c r="E4442" i="69"/>
  <c r="E4441" i="69"/>
  <c r="E4440" i="69"/>
  <c r="E4439" i="69"/>
  <c r="E4438" i="69"/>
  <c r="E4437" i="69"/>
  <c r="E4436" i="69"/>
  <c r="E4435" i="69"/>
  <c r="E4434" i="69"/>
  <c r="E4433" i="69"/>
  <c r="E4432" i="69"/>
  <c r="E4431" i="69"/>
  <c r="E4430" i="69"/>
  <c r="E4429" i="69"/>
  <c r="E4428" i="69"/>
  <c r="E4427" i="69"/>
  <c r="E4426" i="69"/>
  <c r="E4425" i="69"/>
  <c r="E4424" i="69"/>
  <c r="E4423" i="69"/>
  <c r="E4422" i="69"/>
  <c r="E4421" i="69"/>
  <c r="E4420" i="69"/>
  <c r="E4419" i="69"/>
  <c r="E4418" i="69"/>
  <c r="E4417" i="69"/>
  <c r="E4416" i="69"/>
  <c r="E4415" i="69"/>
  <c r="E4414" i="69"/>
  <c r="E4413" i="69"/>
  <c r="E4412" i="69"/>
  <c r="E4411" i="69"/>
  <c r="E4410" i="69"/>
  <c r="E4409" i="69"/>
  <c r="E4408" i="69"/>
  <c r="E4407" i="69"/>
  <c r="E4406" i="69"/>
  <c r="E4405" i="69"/>
  <c r="E4404" i="69"/>
  <c r="E4403" i="69"/>
  <c r="E4402" i="69"/>
  <c r="E4401" i="69"/>
  <c r="E4400" i="69"/>
  <c r="E4399" i="69"/>
  <c r="E4398" i="69"/>
  <c r="E4397" i="69"/>
  <c r="E4396" i="69"/>
  <c r="E4395" i="69"/>
  <c r="E4394" i="69"/>
  <c r="E4393" i="69"/>
  <c r="E4392" i="69"/>
  <c r="E4391" i="69"/>
  <c r="E4390" i="69"/>
  <c r="E4389" i="69"/>
  <c r="E4388" i="69"/>
  <c r="E4387" i="69"/>
  <c r="E4386" i="69"/>
  <c r="E4385" i="69"/>
  <c r="E4384" i="69"/>
  <c r="E4383" i="69"/>
  <c r="E4382" i="69"/>
  <c r="E4381" i="69"/>
  <c r="E4380" i="69"/>
  <c r="E4379" i="69"/>
  <c r="E4378" i="69"/>
  <c r="E4377" i="69"/>
  <c r="E4376" i="69"/>
  <c r="E4375" i="69"/>
  <c r="E4374" i="69"/>
  <c r="E4373" i="69"/>
  <c r="E4372" i="69"/>
  <c r="E4371" i="69"/>
  <c r="E4370" i="69"/>
  <c r="E4369" i="69"/>
  <c r="E4368" i="69"/>
  <c r="E4367" i="69"/>
  <c r="E4366" i="69"/>
  <c r="E4365" i="69"/>
  <c r="E4364" i="69"/>
  <c r="E4363" i="69"/>
  <c r="E4362" i="69"/>
  <c r="E4361" i="69"/>
  <c r="E4360" i="69"/>
  <c r="E4359" i="69"/>
  <c r="E4358" i="69"/>
  <c r="E4357" i="69"/>
  <c r="E4356" i="69"/>
  <c r="E4355" i="69"/>
  <c r="E4354" i="69"/>
  <c r="E4353" i="69"/>
  <c r="E4352" i="69"/>
  <c r="E4351" i="69"/>
  <c r="E4350" i="69"/>
  <c r="E4349" i="69"/>
  <c r="E4348" i="69"/>
  <c r="E4347" i="69"/>
  <c r="E4346" i="69"/>
  <c r="E4345" i="69"/>
  <c r="E4344" i="69"/>
  <c r="E4343" i="69"/>
  <c r="E4342" i="69"/>
  <c r="E4341" i="69"/>
  <c r="E4340" i="69"/>
  <c r="E4339" i="69"/>
  <c r="E4338" i="69"/>
  <c r="E4337" i="69"/>
  <c r="E4336" i="69"/>
  <c r="E4335" i="69"/>
  <c r="E4334" i="69"/>
  <c r="E4333" i="69"/>
  <c r="E4332" i="69"/>
  <c r="E4331" i="69"/>
  <c r="E4330" i="69"/>
  <c r="E4329" i="69"/>
  <c r="E4328" i="69"/>
  <c r="E4327" i="69"/>
  <c r="E4326" i="69"/>
  <c r="E4325" i="69"/>
  <c r="E4324" i="69"/>
  <c r="E4323" i="69"/>
  <c r="E4322" i="69"/>
  <c r="E4321" i="69"/>
  <c r="E4320" i="69"/>
  <c r="E4319" i="69"/>
  <c r="E4318" i="69"/>
  <c r="E4317" i="69"/>
  <c r="E4316" i="69"/>
  <c r="E4315" i="69"/>
  <c r="E4314" i="69"/>
  <c r="E4313" i="69"/>
  <c r="E4312" i="69"/>
  <c r="E4311" i="69"/>
  <c r="E4310" i="69"/>
  <c r="E4309" i="69"/>
  <c r="E4308" i="69"/>
  <c r="E4307" i="69"/>
  <c r="E4306" i="69"/>
  <c r="E4305" i="69"/>
  <c r="E4304" i="69"/>
  <c r="E4303" i="69"/>
  <c r="E4302" i="69"/>
  <c r="E4301" i="69"/>
  <c r="E4300" i="69"/>
  <c r="E4299" i="69"/>
  <c r="E4298" i="69"/>
  <c r="E4297" i="69"/>
  <c r="E4296" i="69"/>
  <c r="E4295" i="69"/>
  <c r="E4294" i="69"/>
  <c r="E4293" i="69"/>
  <c r="E4292" i="69"/>
  <c r="E4291" i="69"/>
  <c r="E4290" i="69"/>
  <c r="E4289" i="69"/>
  <c r="E4288" i="69"/>
  <c r="E4287" i="69"/>
  <c r="E4286" i="69"/>
  <c r="E4285" i="69"/>
  <c r="E4284" i="69"/>
  <c r="E4283" i="69"/>
  <c r="E4282" i="69"/>
  <c r="E4281" i="69"/>
  <c r="E4280" i="69"/>
  <c r="E4279" i="69"/>
  <c r="E4278" i="69"/>
  <c r="E4277" i="69"/>
  <c r="E4276" i="69"/>
  <c r="E4275" i="69"/>
  <c r="E4274" i="69"/>
  <c r="E4273" i="69"/>
  <c r="E4272" i="69"/>
  <c r="E4271" i="69"/>
  <c r="E4270" i="69"/>
  <c r="E4269" i="69"/>
  <c r="E4268" i="69"/>
  <c r="E4267" i="69"/>
  <c r="E4266" i="69"/>
  <c r="E4265" i="69"/>
  <c r="E4264" i="69"/>
  <c r="E4263" i="69"/>
  <c r="E4262" i="69"/>
  <c r="E4261" i="69"/>
  <c r="E4260" i="69"/>
  <c r="E4259" i="69"/>
  <c r="E4258" i="69"/>
  <c r="E4257" i="69"/>
  <c r="E4256" i="69"/>
  <c r="E4255" i="69"/>
  <c r="E4254" i="69"/>
  <c r="E4253" i="69"/>
  <c r="E4252" i="69"/>
  <c r="E4251" i="69"/>
  <c r="E4250" i="69"/>
  <c r="E4249" i="69"/>
  <c r="E4248" i="69"/>
  <c r="E4247" i="69"/>
  <c r="E4246" i="69"/>
  <c r="E4245" i="69"/>
  <c r="E4244" i="69"/>
  <c r="E4243" i="69"/>
  <c r="E4242" i="69"/>
  <c r="E4241" i="69"/>
  <c r="E4240" i="69"/>
  <c r="E4239" i="69"/>
  <c r="E4238" i="69"/>
  <c r="E4237" i="69"/>
  <c r="E4236" i="69"/>
  <c r="E4235" i="69"/>
  <c r="E4234" i="69"/>
  <c r="E4233" i="69"/>
  <c r="E4232" i="69"/>
  <c r="E4231" i="69"/>
  <c r="E4230" i="69"/>
  <c r="E4229" i="69"/>
  <c r="E4228" i="69"/>
  <c r="E4227" i="69"/>
  <c r="E4226" i="69"/>
  <c r="E4225" i="69"/>
  <c r="E4224" i="69"/>
  <c r="E4223" i="69"/>
  <c r="E4222" i="69"/>
  <c r="E4221" i="69"/>
  <c r="E4220" i="69"/>
  <c r="E4219" i="69"/>
  <c r="E4218" i="69"/>
  <c r="E4217" i="69"/>
  <c r="E4216" i="69"/>
  <c r="E4215" i="69"/>
  <c r="E4214" i="69"/>
  <c r="E4213" i="69"/>
  <c r="E4212" i="69"/>
  <c r="E4211" i="69"/>
  <c r="E4210" i="69"/>
  <c r="E4209" i="69"/>
  <c r="E4208" i="69"/>
  <c r="E4207" i="69"/>
  <c r="E4206" i="69"/>
  <c r="E4205" i="69"/>
  <c r="E4204" i="69"/>
  <c r="E4203" i="69"/>
  <c r="E4202" i="69"/>
  <c r="E4201" i="69"/>
  <c r="E4200" i="69"/>
  <c r="E4199" i="69"/>
  <c r="E4198" i="69"/>
  <c r="E4197" i="69"/>
  <c r="E4196" i="69"/>
  <c r="E4195" i="69"/>
  <c r="E4194" i="69"/>
  <c r="E4193" i="69"/>
  <c r="E4192" i="69"/>
  <c r="E4191" i="69"/>
  <c r="E4190" i="69"/>
  <c r="E4189" i="69"/>
  <c r="E4188" i="69"/>
  <c r="E4187" i="69"/>
  <c r="E4186" i="69"/>
  <c r="E4185" i="69"/>
  <c r="E4184" i="69"/>
  <c r="E4183" i="69"/>
  <c r="E4182" i="69"/>
  <c r="E4181" i="69"/>
  <c r="E4180" i="69"/>
  <c r="E4179" i="69"/>
  <c r="E4178" i="69"/>
  <c r="E4177" i="69"/>
  <c r="E4176" i="69"/>
  <c r="E4175" i="69"/>
  <c r="E4174" i="69"/>
  <c r="E4173" i="69"/>
  <c r="E4172" i="69"/>
  <c r="E4171" i="69"/>
  <c r="E4170" i="69"/>
  <c r="E4169" i="69"/>
  <c r="E4168" i="69"/>
  <c r="E4167" i="69"/>
  <c r="E4166" i="69"/>
  <c r="E4165" i="69"/>
  <c r="E4164" i="69"/>
  <c r="E4163" i="69"/>
  <c r="E4162" i="69"/>
  <c r="E4161" i="69"/>
  <c r="E4160" i="69"/>
  <c r="E4159" i="69"/>
  <c r="E4158" i="69"/>
  <c r="E4157" i="69"/>
  <c r="E4156" i="69"/>
  <c r="E4155" i="69"/>
  <c r="E4154" i="69"/>
  <c r="E4153" i="69"/>
  <c r="E4152" i="69"/>
  <c r="E4151" i="69"/>
  <c r="E4150" i="69"/>
  <c r="E4149" i="69"/>
  <c r="E4148" i="69"/>
  <c r="E4147" i="69"/>
  <c r="E4146" i="69"/>
  <c r="E4145" i="69"/>
  <c r="E4144" i="69"/>
  <c r="E4143" i="69"/>
  <c r="E4142" i="69"/>
  <c r="E4141" i="69"/>
  <c r="E4140" i="69"/>
  <c r="E4139" i="69"/>
  <c r="E4138" i="69"/>
  <c r="E4137" i="69"/>
  <c r="E4136" i="69"/>
  <c r="E4135" i="69"/>
  <c r="E4134" i="69"/>
  <c r="E4133" i="69"/>
  <c r="E4132" i="69"/>
  <c r="E4131" i="69"/>
  <c r="E4130" i="69"/>
  <c r="E4129" i="69"/>
  <c r="E4128" i="69"/>
  <c r="E4127" i="69"/>
  <c r="E4126" i="69"/>
  <c r="E4125" i="69"/>
  <c r="E4124" i="69"/>
  <c r="E4123" i="69"/>
  <c r="E4122" i="69"/>
  <c r="E4121" i="69"/>
  <c r="E4120" i="69"/>
  <c r="E4119" i="69"/>
  <c r="E4118" i="69"/>
  <c r="E4117" i="69"/>
  <c r="E4116" i="69"/>
  <c r="E4115" i="69"/>
  <c r="E4114" i="69"/>
  <c r="E4113" i="69"/>
  <c r="E4112" i="69"/>
  <c r="E4111" i="69"/>
  <c r="E4110" i="69"/>
  <c r="E4109" i="69"/>
  <c r="E4108" i="69"/>
  <c r="E4107" i="69"/>
  <c r="E4106" i="69"/>
  <c r="E4105" i="69"/>
  <c r="E4104" i="69"/>
  <c r="E4103" i="69"/>
  <c r="E4102" i="69"/>
  <c r="E4101" i="69"/>
  <c r="E4100" i="69"/>
  <c r="E4099" i="69"/>
  <c r="E4098" i="69"/>
  <c r="E4097" i="69"/>
  <c r="E4096" i="69"/>
  <c r="E4095" i="69"/>
  <c r="E4094" i="69"/>
  <c r="E4093" i="69"/>
  <c r="E4092" i="69"/>
  <c r="E4091" i="69"/>
  <c r="E4090" i="69"/>
  <c r="E4089" i="69"/>
  <c r="E4088" i="69"/>
  <c r="E4087" i="69"/>
  <c r="E4086" i="69"/>
  <c r="E4085" i="69"/>
  <c r="E4084" i="69"/>
  <c r="E4083" i="69"/>
  <c r="E4082" i="69"/>
  <c r="E4081" i="69"/>
  <c r="E4080" i="69"/>
  <c r="E4079" i="69"/>
  <c r="E4078" i="69"/>
  <c r="E4077" i="69"/>
  <c r="E4076" i="69"/>
  <c r="E4075" i="69"/>
  <c r="E4074" i="69"/>
  <c r="E4073" i="69"/>
  <c r="E4072" i="69"/>
  <c r="E4071" i="69"/>
  <c r="E4070" i="69"/>
  <c r="E4069" i="69"/>
  <c r="E4068" i="69"/>
  <c r="E4067" i="69"/>
  <c r="E4066" i="69"/>
  <c r="E4065" i="69"/>
  <c r="E4064" i="69"/>
  <c r="E4063" i="69"/>
  <c r="E4062" i="69"/>
  <c r="E4061" i="69"/>
  <c r="E4060" i="69"/>
  <c r="E4059" i="69"/>
  <c r="E4058" i="69"/>
  <c r="E4057" i="69"/>
  <c r="E4056" i="69"/>
  <c r="E4055" i="69"/>
  <c r="E4054" i="69"/>
  <c r="E4053" i="69"/>
  <c r="E4052" i="69"/>
  <c r="E4051" i="69"/>
  <c r="E4050" i="69"/>
  <c r="E4049" i="69"/>
  <c r="E4048" i="69"/>
  <c r="E4047" i="69"/>
  <c r="E4046" i="69"/>
  <c r="E4045" i="69"/>
  <c r="E4044" i="69"/>
  <c r="E4043" i="69"/>
  <c r="E4042" i="69"/>
  <c r="E4041" i="69"/>
  <c r="E4040" i="69"/>
  <c r="E4039" i="69"/>
  <c r="E4038" i="69"/>
  <c r="E4037" i="69"/>
  <c r="E4036" i="69"/>
  <c r="E4035" i="69"/>
  <c r="E4034" i="69"/>
  <c r="E4033" i="69"/>
  <c r="E4032" i="69"/>
  <c r="E4031" i="69"/>
  <c r="E4030" i="69"/>
  <c r="E4029" i="69"/>
  <c r="E4028" i="69"/>
  <c r="E4027" i="69"/>
  <c r="E4026" i="69"/>
  <c r="E4025" i="69"/>
  <c r="E4024" i="69"/>
  <c r="E4023" i="69"/>
  <c r="E4022" i="69"/>
  <c r="E4021" i="69"/>
  <c r="E4020" i="69"/>
  <c r="E4019" i="69"/>
  <c r="E4018" i="69"/>
  <c r="E4017" i="69"/>
  <c r="E4016" i="69"/>
  <c r="E4015" i="69"/>
  <c r="E4014" i="69"/>
  <c r="E4013" i="69"/>
  <c r="E4012" i="69"/>
  <c r="E4011" i="69"/>
  <c r="E4010" i="69"/>
  <c r="E4009" i="69"/>
  <c r="E4008" i="69"/>
  <c r="E4007" i="69"/>
  <c r="E4006" i="69"/>
  <c r="E4005" i="69"/>
  <c r="E4004" i="69"/>
  <c r="E4003" i="69"/>
  <c r="E4002" i="69"/>
  <c r="E4001" i="69"/>
  <c r="E4000" i="69"/>
  <c r="E3999" i="69"/>
  <c r="E3998" i="69"/>
  <c r="E3997" i="69"/>
  <c r="E3996" i="69"/>
  <c r="E3995" i="69"/>
  <c r="E3994" i="69"/>
  <c r="E3993" i="69"/>
  <c r="E3992" i="69"/>
  <c r="E3991" i="69"/>
  <c r="E3990" i="69"/>
  <c r="E3989" i="69"/>
  <c r="E3988" i="69"/>
  <c r="E3987" i="69"/>
  <c r="E3986" i="69"/>
  <c r="E3985" i="69"/>
  <c r="E3984" i="69"/>
  <c r="E3983" i="69"/>
  <c r="E3982" i="69"/>
  <c r="E3981" i="69"/>
  <c r="E3980" i="69"/>
  <c r="E3979" i="69"/>
  <c r="E3978" i="69"/>
  <c r="E3977" i="69"/>
  <c r="E3976" i="69"/>
  <c r="E3975" i="69"/>
  <c r="E3974" i="69"/>
  <c r="E3973" i="69"/>
  <c r="E3972" i="69"/>
  <c r="E3971" i="69"/>
  <c r="E3970" i="69"/>
  <c r="E3969" i="69"/>
  <c r="E3968" i="69"/>
  <c r="E3967" i="69"/>
  <c r="E3966" i="69"/>
  <c r="E3965" i="69"/>
  <c r="E3964" i="69"/>
  <c r="E3963" i="69"/>
  <c r="E3962" i="69"/>
  <c r="E3961" i="69"/>
  <c r="E3960" i="69"/>
  <c r="E3959" i="69"/>
  <c r="E3958" i="69"/>
  <c r="E3957" i="69"/>
  <c r="E3956" i="69"/>
  <c r="E3955" i="69"/>
  <c r="E3954" i="69"/>
  <c r="E3953" i="69"/>
  <c r="E3952" i="69"/>
  <c r="E3951" i="69"/>
  <c r="E3950" i="69"/>
  <c r="E3949" i="69"/>
  <c r="E3948" i="69"/>
  <c r="E3947" i="69"/>
  <c r="E3946" i="69"/>
  <c r="E3945" i="69"/>
  <c r="E3944" i="69"/>
  <c r="E3943" i="69"/>
  <c r="E3942" i="69"/>
  <c r="E3941" i="69"/>
  <c r="E3940" i="69"/>
  <c r="E3939" i="69"/>
  <c r="E3938" i="69"/>
  <c r="E3937" i="69"/>
  <c r="E3936" i="69"/>
  <c r="E3935" i="69"/>
  <c r="E3934" i="69"/>
  <c r="E3933" i="69"/>
  <c r="E3932" i="69"/>
  <c r="E3931" i="69"/>
  <c r="E3930" i="69"/>
  <c r="E3929" i="69"/>
  <c r="E3928" i="69"/>
  <c r="E3927" i="69"/>
  <c r="E3926" i="69"/>
  <c r="E3925" i="69"/>
  <c r="E3924" i="69"/>
  <c r="E3923" i="69"/>
  <c r="E3922" i="69"/>
  <c r="E3921" i="69"/>
  <c r="E3920" i="69"/>
  <c r="E3919" i="69"/>
  <c r="E3918" i="69"/>
  <c r="E3917" i="69"/>
  <c r="E3916" i="69"/>
  <c r="E3915" i="69"/>
  <c r="E3914" i="69"/>
  <c r="E3913" i="69"/>
  <c r="E3912" i="69"/>
  <c r="E3911" i="69"/>
  <c r="E3910" i="69"/>
  <c r="E3909" i="69"/>
  <c r="E3908" i="69"/>
  <c r="E3907" i="69"/>
  <c r="E3906" i="69"/>
  <c r="E3905" i="69"/>
  <c r="E3904" i="69"/>
  <c r="E3903" i="69"/>
  <c r="E3902" i="69"/>
  <c r="E3901" i="69"/>
  <c r="E3900" i="69"/>
  <c r="E3899" i="69"/>
  <c r="E3898" i="69"/>
  <c r="E3897" i="69"/>
  <c r="E3896" i="69"/>
  <c r="E3895" i="69"/>
  <c r="E3894" i="69"/>
  <c r="E3893" i="69"/>
  <c r="E3892" i="69"/>
  <c r="E3891" i="69"/>
  <c r="E3890" i="69"/>
  <c r="E3889" i="69"/>
  <c r="E3888" i="69"/>
  <c r="E3887" i="69"/>
  <c r="E3886" i="69"/>
  <c r="E3885" i="69"/>
  <c r="E3884" i="69"/>
  <c r="E3883" i="69"/>
  <c r="E3882" i="69"/>
  <c r="E3881" i="69"/>
  <c r="E3880" i="69"/>
  <c r="E3879" i="69"/>
  <c r="E3878" i="69"/>
  <c r="E3877" i="69"/>
  <c r="E3876" i="69"/>
  <c r="E3875" i="69"/>
  <c r="E3874" i="69"/>
  <c r="E3873" i="69"/>
  <c r="E3872" i="69"/>
  <c r="E3871" i="69"/>
  <c r="E3870" i="69"/>
  <c r="E3869" i="69"/>
  <c r="E3868" i="69"/>
  <c r="E3867" i="69"/>
  <c r="E3866" i="69"/>
  <c r="E3865" i="69"/>
  <c r="E3864" i="69"/>
  <c r="E3863" i="69"/>
  <c r="E3862" i="69"/>
  <c r="E3861" i="69"/>
  <c r="E3860" i="69"/>
  <c r="E3859" i="69"/>
  <c r="E3858" i="69"/>
  <c r="E3857" i="69"/>
  <c r="E3856" i="69"/>
  <c r="E3855" i="69"/>
  <c r="E3854" i="69"/>
  <c r="E3853" i="69"/>
  <c r="E3852" i="69"/>
  <c r="E3851" i="69"/>
  <c r="E3850" i="69"/>
  <c r="E3849" i="69"/>
  <c r="E3848" i="69"/>
  <c r="E3847" i="69"/>
  <c r="E3846" i="69"/>
  <c r="E3845" i="69"/>
  <c r="E3844" i="69"/>
  <c r="E3843" i="69"/>
  <c r="E3842" i="69"/>
  <c r="E3841" i="69"/>
  <c r="E3840" i="69"/>
  <c r="E3839" i="69"/>
  <c r="E3838" i="69"/>
  <c r="E3837" i="69"/>
  <c r="E3836" i="69"/>
  <c r="E3835" i="69"/>
  <c r="E3834" i="69"/>
  <c r="E3833" i="69"/>
  <c r="E3832" i="69"/>
  <c r="E3831" i="69"/>
  <c r="E3830" i="69"/>
  <c r="E3829" i="69"/>
  <c r="E3828" i="69"/>
  <c r="E3827" i="69"/>
  <c r="E3826" i="69"/>
  <c r="E3825" i="69"/>
  <c r="E3824" i="69"/>
  <c r="E3823" i="69"/>
  <c r="E3822" i="69"/>
  <c r="E3821" i="69"/>
  <c r="E3820" i="69"/>
  <c r="E3819" i="69"/>
  <c r="E3818" i="69"/>
  <c r="E3817" i="69"/>
  <c r="E3816" i="69"/>
  <c r="E3815" i="69"/>
  <c r="E3814" i="69"/>
  <c r="E3813" i="69"/>
  <c r="E3812" i="69"/>
  <c r="E3811" i="69"/>
  <c r="E3810" i="69"/>
  <c r="E3809" i="69"/>
  <c r="E3808" i="69"/>
  <c r="E3807" i="69"/>
  <c r="E3806" i="69"/>
  <c r="E3805" i="69"/>
  <c r="E3804" i="69"/>
  <c r="E3803" i="69"/>
  <c r="E3802" i="69"/>
  <c r="E3801" i="69"/>
  <c r="E3800" i="69"/>
  <c r="E3799" i="69"/>
  <c r="E3798" i="69"/>
  <c r="E3797" i="69"/>
  <c r="E3796" i="69"/>
  <c r="E3795" i="69"/>
  <c r="E3794" i="69"/>
  <c r="E3793" i="69"/>
  <c r="E3792" i="69"/>
  <c r="E3791" i="69"/>
  <c r="E3790" i="69"/>
  <c r="E3789" i="69"/>
  <c r="E3788" i="69"/>
  <c r="E3787" i="69"/>
  <c r="E3786" i="69"/>
  <c r="E3785" i="69"/>
  <c r="E3784" i="69"/>
  <c r="E3783" i="69"/>
  <c r="E3782" i="69"/>
  <c r="E3781" i="69"/>
  <c r="E3780" i="69"/>
  <c r="E3779" i="69"/>
  <c r="E3778" i="69"/>
  <c r="E3777" i="69"/>
  <c r="E3776" i="69"/>
  <c r="E3775" i="69"/>
  <c r="E3774" i="69"/>
  <c r="E3773" i="69"/>
  <c r="E3772" i="69"/>
  <c r="E3771" i="69"/>
  <c r="E3770" i="69"/>
  <c r="E3769" i="69"/>
  <c r="E3768" i="69"/>
  <c r="E3767" i="69"/>
  <c r="E3766" i="69"/>
  <c r="E3765" i="69"/>
  <c r="E3764" i="69"/>
  <c r="E3763" i="69"/>
  <c r="E3762" i="69"/>
  <c r="E3761" i="69"/>
  <c r="E3760" i="69"/>
  <c r="E3759" i="69"/>
  <c r="E3758" i="69"/>
  <c r="E3757" i="69"/>
  <c r="E3756" i="69"/>
  <c r="E3755" i="69"/>
  <c r="E3754" i="69"/>
  <c r="E3753" i="69"/>
  <c r="E3752" i="69"/>
  <c r="E3751" i="69"/>
  <c r="E3750" i="69"/>
  <c r="E3749" i="69"/>
  <c r="E3748" i="69"/>
  <c r="E3747" i="69"/>
  <c r="E3746" i="69"/>
  <c r="E3745" i="69"/>
  <c r="E3744" i="69"/>
  <c r="E3743" i="69"/>
  <c r="E3742" i="69"/>
  <c r="E3741" i="69"/>
  <c r="E3740" i="69"/>
  <c r="E3739" i="69"/>
  <c r="E3738" i="69"/>
  <c r="E3737" i="69"/>
  <c r="E3736" i="69"/>
  <c r="E3735" i="69"/>
  <c r="E3734" i="69"/>
  <c r="E3733" i="69"/>
  <c r="E3732" i="69"/>
  <c r="E3731" i="69"/>
  <c r="E3730" i="69"/>
  <c r="E3729" i="69"/>
  <c r="E3728" i="69"/>
  <c r="E3727" i="69"/>
  <c r="E3726" i="69"/>
  <c r="E3725" i="69"/>
  <c r="E3724" i="69"/>
  <c r="E3723" i="69"/>
  <c r="E3722" i="69"/>
  <c r="E3721" i="69"/>
  <c r="E3720" i="69"/>
  <c r="E3719" i="69"/>
  <c r="E3718" i="69"/>
  <c r="E3717" i="69"/>
  <c r="E3716" i="69"/>
  <c r="E3715" i="69"/>
  <c r="E3714" i="69"/>
  <c r="E3713" i="69"/>
  <c r="E3712" i="69"/>
  <c r="E3711" i="69"/>
  <c r="E3710" i="69"/>
  <c r="E3709" i="69"/>
  <c r="E3708" i="69"/>
  <c r="E3707" i="69"/>
  <c r="E3706" i="69"/>
  <c r="E3705" i="69"/>
  <c r="E3704" i="69"/>
  <c r="E3703" i="69"/>
  <c r="E3702" i="69"/>
  <c r="E3701" i="69"/>
  <c r="E3700" i="69"/>
  <c r="E3699" i="69"/>
  <c r="E3698" i="69"/>
  <c r="E3697" i="69"/>
  <c r="E3696" i="69"/>
  <c r="E3695" i="69"/>
  <c r="E3694" i="69"/>
  <c r="E3693" i="69"/>
  <c r="E3692" i="69"/>
  <c r="E3691" i="69"/>
  <c r="E3690" i="69"/>
  <c r="E3689" i="69"/>
  <c r="E3688" i="69"/>
  <c r="E3687" i="69"/>
  <c r="E3686" i="69"/>
  <c r="E3685" i="69"/>
  <c r="E3684" i="69"/>
  <c r="E3683" i="69"/>
  <c r="E3682" i="69"/>
  <c r="E3681" i="69"/>
  <c r="E3680" i="69"/>
  <c r="E3679" i="69"/>
  <c r="E3678" i="69"/>
  <c r="E3677" i="69"/>
  <c r="E3676" i="69"/>
  <c r="E3675" i="69"/>
  <c r="E3674" i="69"/>
  <c r="E3673" i="69"/>
  <c r="E3672" i="69"/>
  <c r="E3671" i="69"/>
  <c r="E3670" i="69"/>
  <c r="E3669" i="69"/>
  <c r="E3668" i="69"/>
  <c r="E3667" i="69"/>
  <c r="E3666" i="69"/>
  <c r="E3665" i="69"/>
  <c r="E3664" i="69"/>
  <c r="E3663" i="69"/>
  <c r="E3662" i="69"/>
  <c r="E3661" i="69"/>
  <c r="E3660" i="69"/>
  <c r="E3659" i="69"/>
  <c r="E3658" i="69"/>
  <c r="E3657" i="69"/>
  <c r="E3656" i="69"/>
  <c r="E3655" i="69"/>
  <c r="E3654" i="69"/>
  <c r="E3653" i="69"/>
  <c r="E3652" i="69"/>
  <c r="E3651" i="69"/>
  <c r="E3650" i="69"/>
  <c r="E3649" i="69"/>
  <c r="E3648" i="69"/>
  <c r="E3647" i="69"/>
  <c r="E3646" i="69"/>
  <c r="E3645" i="69"/>
  <c r="E3644" i="69"/>
  <c r="E3643" i="69"/>
  <c r="E3642" i="69"/>
  <c r="E3641" i="69"/>
  <c r="E3640" i="69"/>
  <c r="E3639" i="69"/>
  <c r="E3638" i="69"/>
  <c r="E3637" i="69"/>
  <c r="E3636" i="69"/>
  <c r="E3635" i="69"/>
  <c r="E3634" i="69"/>
  <c r="E3633" i="69"/>
  <c r="E3632" i="69"/>
  <c r="E3631" i="69"/>
  <c r="E3630" i="69"/>
  <c r="E3629" i="69"/>
  <c r="E3628" i="69"/>
  <c r="E3627" i="69"/>
  <c r="E3626" i="69"/>
  <c r="E3625" i="69"/>
  <c r="E3624" i="69"/>
  <c r="E3623" i="69"/>
  <c r="E3622" i="69"/>
  <c r="E3621" i="69"/>
  <c r="E3620" i="69"/>
  <c r="E3619" i="69"/>
  <c r="E3618" i="69"/>
  <c r="E3617" i="69"/>
  <c r="E3616" i="69"/>
  <c r="E3615" i="69"/>
  <c r="E3614" i="69"/>
  <c r="E3613" i="69"/>
  <c r="E3612" i="69"/>
  <c r="E3611" i="69"/>
  <c r="E3610" i="69"/>
  <c r="E3609" i="69"/>
  <c r="E3608" i="69"/>
  <c r="E3607" i="69"/>
  <c r="E3606" i="69"/>
  <c r="E3605" i="69"/>
  <c r="E3604" i="69"/>
  <c r="E3603" i="69"/>
  <c r="E3602" i="69"/>
  <c r="E3601" i="69"/>
  <c r="E3600" i="69"/>
  <c r="E3599" i="69"/>
  <c r="E3598" i="69"/>
  <c r="E3597" i="69"/>
  <c r="E3596" i="69"/>
  <c r="E3595" i="69"/>
  <c r="E3594" i="69"/>
  <c r="E3593" i="69"/>
  <c r="E3592" i="69"/>
  <c r="E3591" i="69"/>
  <c r="E3590" i="69"/>
  <c r="E3589" i="69"/>
  <c r="E3588" i="69"/>
  <c r="E3587" i="69"/>
  <c r="E3586" i="69"/>
  <c r="E3585" i="69"/>
  <c r="E3584" i="69"/>
  <c r="E3583" i="69"/>
  <c r="E3582" i="69"/>
  <c r="E3581" i="69"/>
  <c r="E3580" i="69"/>
  <c r="E3579" i="69"/>
  <c r="E3578" i="69"/>
  <c r="E3577" i="69"/>
  <c r="E3576" i="69"/>
  <c r="E3575" i="69"/>
  <c r="E3574" i="69"/>
  <c r="E3573" i="69"/>
  <c r="E3572" i="69"/>
  <c r="E3571" i="69"/>
  <c r="E3570" i="69"/>
  <c r="E3569" i="69"/>
  <c r="E3568" i="69"/>
  <c r="E3567" i="69"/>
  <c r="E3566" i="69"/>
  <c r="E3565" i="69"/>
  <c r="E3564" i="69"/>
  <c r="E3563" i="69"/>
  <c r="E3562" i="69"/>
  <c r="E3561" i="69"/>
  <c r="E3560" i="69"/>
  <c r="E3559" i="69"/>
  <c r="E3558" i="69"/>
  <c r="E3557" i="69"/>
  <c r="E3556" i="69"/>
  <c r="E3555" i="69"/>
  <c r="E3554" i="69"/>
  <c r="E3553" i="69"/>
  <c r="E3552" i="69"/>
  <c r="E3551" i="69"/>
  <c r="E3550" i="69"/>
  <c r="E3549" i="69"/>
  <c r="E3548" i="69"/>
  <c r="E3547" i="69"/>
  <c r="E3546" i="69"/>
  <c r="E3545" i="69"/>
  <c r="E3544" i="69"/>
  <c r="E3543" i="69"/>
  <c r="E3542" i="69"/>
  <c r="E3541" i="69"/>
  <c r="E3540" i="69"/>
  <c r="E3539" i="69"/>
  <c r="E3538" i="69"/>
  <c r="E3537" i="69"/>
  <c r="E3536" i="69"/>
  <c r="E3535" i="69"/>
  <c r="E3534" i="69"/>
  <c r="E3533" i="69"/>
  <c r="E3532" i="69"/>
  <c r="E3531" i="69"/>
  <c r="E3530" i="69"/>
  <c r="E3529" i="69"/>
  <c r="E3528" i="69"/>
  <c r="E3527" i="69"/>
  <c r="E3526" i="69"/>
  <c r="E3525" i="69"/>
  <c r="E3524" i="69"/>
  <c r="E3523" i="69"/>
  <c r="E3522" i="69"/>
  <c r="E3521" i="69"/>
  <c r="E3520" i="69"/>
  <c r="E3519" i="69"/>
  <c r="E3518" i="69"/>
  <c r="E3517" i="69"/>
  <c r="E3516" i="69"/>
  <c r="E3515" i="69"/>
  <c r="E3514" i="69"/>
  <c r="E3513" i="69"/>
  <c r="E3512" i="69"/>
  <c r="E3511" i="69"/>
  <c r="E3510" i="69"/>
  <c r="E3509" i="69"/>
  <c r="E3508" i="69"/>
  <c r="E3507" i="69"/>
  <c r="E3506" i="69"/>
  <c r="E3505" i="69"/>
  <c r="E3504" i="69"/>
  <c r="E3503" i="69"/>
  <c r="E3502" i="69"/>
  <c r="E3501" i="69"/>
  <c r="E3500" i="69"/>
  <c r="E3499" i="69"/>
  <c r="E3498" i="69"/>
  <c r="E3497" i="69"/>
  <c r="E3496" i="69"/>
  <c r="E3495" i="69"/>
  <c r="E3494" i="69"/>
  <c r="E3493" i="69"/>
  <c r="E3492" i="69"/>
  <c r="E3491" i="69"/>
  <c r="E3490" i="69"/>
  <c r="E3489" i="69"/>
  <c r="E3488" i="69"/>
  <c r="E3487" i="69"/>
  <c r="E3486" i="69"/>
  <c r="E3485" i="69"/>
  <c r="E3484" i="69"/>
  <c r="E3483" i="69"/>
  <c r="E3482" i="69"/>
  <c r="E3481" i="69"/>
  <c r="E3480" i="69"/>
  <c r="E3479" i="69"/>
  <c r="E3478" i="69"/>
  <c r="E3477" i="69"/>
  <c r="E3476" i="69"/>
  <c r="E3475" i="69"/>
  <c r="E3474" i="69"/>
  <c r="E3473" i="69"/>
  <c r="E3472" i="69"/>
  <c r="E3471" i="69"/>
  <c r="E3470" i="69"/>
  <c r="E3469" i="69"/>
  <c r="E3468" i="69"/>
  <c r="E3467" i="69"/>
  <c r="E3466" i="69"/>
  <c r="E3465" i="69"/>
  <c r="E3464" i="69"/>
  <c r="E3463" i="69"/>
  <c r="E3462" i="69"/>
  <c r="E3461" i="69"/>
  <c r="E3460" i="69"/>
  <c r="E3459" i="69"/>
  <c r="E3458" i="69"/>
  <c r="E3457" i="69"/>
  <c r="E3456" i="69"/>
  <c r="E3455" i="69"/>
  <c r="E3454" i="69"/>
  <c r="E3453" i="69"/>
  <c r="E3452" i="69"/>
  <c r="E3451" i="69"/>
  <c r="E3450" i="69"/>
  <c r="E3449" i="69"/>
  <c r="E3448" i="69"/>
  <c r="E3447" i="69"/>
  <c r="E3446" i="69"/>
  <c r="E3445" i="69"/>
  <c r="E3444" i="69"/>
  <c r="E3443" i="69"/>
  <c r="E3442" i="69"/>
  <c r="E3441" i="69"/>
  <c r="E3440" i="69"/>
  <c r="E3439" i="69"/>
  <c r="E3438" i="69"/>
  <c r="E3437" i="69"/>
  <c r="E3436" i="69"/>
  <c r="E3435" i="69"/>
  <c r="E3434" i="69"/>
  <c r="E3433" i="69"/>
  <c r="E3432" i="69"/>
  <c r="E3431" i="69"/>
  <c r="E3430" i="69"/>
  <c r="E3429" i="69"/>
  <c r="E3428" i="69"/>
  <c r="E3427" i="69"/>
  <c r="E3426" i="69"/>
  <c r="E3425" i="69"/>
  <c r="E3424" i="69"/>
  <c r="E3423" i="69"/>
  <c r="E3422" i="69"/>
  <c r="E3421" i="69"/>
  <c r="E3420" i="69"/>
  <c r="E3419" i="69"/>
  <c r="E3418" i="69"/>
  <c r="E3417" i="69"/>
  <c r="E3416" i="69"/>
  <c r="E3415" i="69"/>
  <c r="E3414" i="69"/>
  <c r="E3413" i="69"/>
  <c r="E3412" i="69"/>
  <c r="E3411" i="69"/>
  <c r="E3410" i="69"/>
  <c r="E3409" i="69"/>
  <c r="E3408" i="69"/>
  <c r="E3407" i="69"/>
  <c r="E3406" i="69"/>
  <c r="E3405" i="69"/>
  <c r="E3404" i="69"/>
  <c r="E3403" i="69"/>
  <c r="E3402" i="69"/>
  <c r="E3401" i="69"/>
  <c r="E3400" i="69"/>
  <c r="E3399" i="69"/>
  <c r="E3398" i="69"/>
  <c r="E3397" i="69"/>
  <c r="E3396" i="69"/>
  <c r="E3395" i="69"/>
  <c r="E3394" i="69"/>
  <c r="E3393" i="69"/>
  <c r="E3392" i="69"/>
  <c r="E3391" i="69"/>
  <c r="E3390" i="69"/>
  <c r="E3389" i="69"/>
  <c r="E3388" i="69"/>
  <c r="E3387" i="69"/>
  <c r="E3386" i="69"/>
  <c r="E3385" i="69"/>
  <c r="E3384" i="69"/>
  <c r="E3383" i="69"/>
  <c r="E3382" i="69"/>
  <c r="E3381" i="69"/>
  <c r="E3380" i="69"/>
  <c r="E3379" i="69"/>
  <c r="E3378" i="69"/>
  <c r="E3377" i="69"/>
  <c r="E3376" i="69"/>
  <c r="E3375" i="69"/>
  <c r="E3374" i="69"/>
  <c r="E3373" i="69"/>
  <c r="E3372" i="69"/>
  <c r="E3371" i="69"/>
  <c r="E3370" i="69"/>
  <c r="E3369" i="69"/>
  <c r="E3368" i="69"/>
  <c r="E3367" i="69"/>
  <c r="E3366" i="69"/>
  <c r="E3365" i="69"/>
  <c r="E3364" i="69"/>
  <c r="E3363" i="69"/>
  <c r="E3362" i="69"/>
  <c r="E3361" i="69"/>
  <c r="E3360" i="69"/>
  <c r="E3359" i="69"/>
  <c r="E3358" i="69"/>
  <c r="E3357" i="69"/>
  <c r="E3356" i="69"/>
  <c r="E3355" i="69"/>
  <c r="E3354" i="69"/>
  <c r="E3353" i="69"/>
  <c r="E3352" i="69"/>
  <c r="E3351" i="69"/>
  <c r="E3350" i="69"/>
  <c r="E3349" i="69"/>
  <c r="E3348" i="69"/>
  <c r="E3347" i="69"/>
  <c r="E3346" i="69"/>
  <c r="E3345" i="69"/>
  <c r="E3344" i="69"/>
  <c r="E3343" i="69"/>
  <c r="E3342" i="69"/>
  <c r="E3341" i="69"/>
  <c r="E3340" i="69"/>
  <c r="E3339" i="69"/>
  <c r="E3338" i="69"/>
  <c r="E3337" i="69"/>
  <c r="E3336" i="69"/>
  <c r="E3335" i="69"/>
  <c r="E3334" i="69"/>
  <c r="E3333" i="69"/>
  <c r="E3332" i="69"/>
  <c r="E3331" i="69"/>
  <c r="E3330" i="69"/>
  <c r="E3329" i="69"/>
  <c r="E3328" i="69"/>
  <c r="E3327" i="69"/>
  <c r="E3326" i="69"/>
  <c r="E3325" i="69"/>
  <c r="E3324" i="69"/>
  <c r="E3323" i="69"/>
  <c r="E3322" i="69"/>
  <c r="E3321" i="69"/>
  <c r="E3320" i="69"/>
  <c r="E3319" i="69"/>
  <c r="E3318" i="69"/>
  <c r="E3317" i="69"/>
  <c r="E3316" i="69"/>
  <c r="E3315" i="69"/>
  <c r="E3314" i="69"/>
  <c r="E3313" i="69"/>
  <c r="E3312" i="69"/>
  <c r="E3311" i="69"/>
  <c r="E3310" i="69"/>
  <c r="E3309" i="69"/>
  <c r="E3308" i="69"/>
  <c r="E3307" i="69"/>
  <c r="E3306" i="69"/>
  <c r="E3305" i="69"/>
  <c r="E3304" i="69"/>
  <c r="E3303" i="69"/>
  <c r="E3302" i="69"/>
  <c r="E3301" i="69"/>
  <c r="E3300" i="69"/>
  <c r="E3299" i="69"/>
  <c r="E3298" i="69"/>
  <c r="E3297" i="69"/>
  <c r="E3296" i="69"/>
  <c r="E3295" i="69"/>
  <c r="E3294" i="69"/>
  <c r="E3293" i="69"/>
  <c r="E3292" i="69"/>
  <c r="E3291" i="69"/>
  <c r="E3290" i="69"/>
  <c r="E3289" i="69"/>
  <c r="E3288" i="69"/>
  <c r="E3287" i="69"/>
  <c r="E3286" i="69"/>
  <c r="E3285" i="69"/>
  <c r="E3284" i="69"/>
  <c r="E3283" i="69"/>
  <c r="E3282" i="69"/>
  <c r="E3281" i="69"/>
  <c r="E3280" i="69"/>
  <c r="E3279" i="69"/>
  <c r="E3278" i="69"/>
  <c r="E3277" i="69"/>
  <c r="E3276" i="69"/>
  <c r="E3275" i="69"/>
  <c r="E3274" i="69"/>
  <c r="E3273" i="69"/>
  <c r="E3272" i="69"/>
  <c r="E3271" i="69"/>
  <c r="E3270" i="69"/>
  <c r="E3269" i="69"/>
  <c r="E3268" i="69"/>
  <c r="E3267" i="69"/>
  <c r="E3266" i="69"/>
  <c r="E3265" i="69"/>
  <c r="E3264" i="69"/>
  <c r="E3263" i="69"/>
  <c r="E3262" i="69"/>
  <c r="E3261" i="69"/>
  <c r="E3260" i="69"/>
  <c r="E3259" i="69"/>
  <c r="E3258" i="69"/>
  <c r="E3257" i="69"/>
  <c r="E3256" i="69"/>
  <c r="E3255" i="69"/>
  <c r="E3254" i="69"/>
  <c r="E3253" i="69"/>
  <c r="E3252" i="69"/>
  <c r="E3251" i="69"/>
  <c r="E3250" i="69"/>
  <c r="E3249" i="69"/>
  <c r="E3248" i="69"/>
  <c r="E3247" i="69"/>
  <c r="E3246" i="69"/>
  <c r="E3245" i="69"/>
  <c r="E3244" i="69"/>
  <c r="E3243" i="69"/>
  <c r="E3242" i="69"/>
  <c r="E3241" i="69"/>
  <c r="E3240" i="69"/>
  <c r="E3239" i="69"/>
  <c r="E3238" i="69"/>
  <c r="E3237" i="69"/>
  <c r="E3236" i="69"/>
  <c r="E3235" i="69"/>
  <c r="E3234" i="69"/>
  <c r="E3233" i="69"/>
  <c r="E3232" i="69"/>
  <c r="E3231" i="69"/>
  <c r="E3230" i="69"/>
  <c r="E3229" i="69"/>
  <c r="E3228" i="69"/>
  <c r="E3227" i="69"/>
  <c r="E3226" i="69"/>
  <c r="E3225" i="69"/>
  <c r="E3224" i="69"/>
  <c r="E3223" i="69"/>
  <c r="E3222" i="69"/>
  <c r="E3221" i="69"/>
  <c r="E3220" i="69"/>
  <c r="E3219" i="69"/>
  <c r="E3218" i="69"/>
  <c r="E3217" i="69"/>
  <c r="E3216" i="69"/>
  <c r="E3215" i="69"/>
  <c r="E3214" i="69"/>
  <c r="E3213" i="69"/>
  <c r="E3212" i="69"/>
  <c r="E3211" i="69"/>
  <c r="E3210" i="69"/>
  <c r="E3209" i="69"/>
  <c r="E3208" i="69"/>
  <c r="E3207" i="69"/>
  <c r="E3206" i="69"/>
  <c r="E3205" i="69"/>
  <c r="E3204" i="69"/>
  <c r="E3203" i="69"/>
  <c r="E3202" i="69"/>
  <c r="E3201" i="69"/>
  <c r="E3200" i="69"/>
  <c r="E3199" i="69"/>
  <c r="E3198" i="69"/>
  <c r="E3197" i="69"/>
  <c r="E3196" i="69"/>
  <c r="E3195" i="69"/>
  <c r="E3194" i="69"/>
  <c r="E3193" i="69"/>
  <c r="E3192" i="69"/>
  <c r="E3191" i="69"/>
  <c r="E3190" i="69"/>
  <c r="E3189" i="69"/>
  <c r="E3188" i="69"/>
  <c r="E3187" i="69"/>
  <c r="E3186" i="69"/>
  <c r="E3185" i="69"/>
  <c r="E3184" i="69"/>
  <c r="E3183" i="69"/>
  <c r="E3182" i="69"/>
  <c r="E3181" i="69"/>
  <c r="E3180" i="69"/>
  <c r="E3179" i="69"/>
  <c r="E3178" i="69"/>
  <c r="E3177" i="69"/>
  <c r="E3176" i="69"/>
  <c r="E3175" i="69"/>
  <c r="E3174" i="69"/>
  <c r="E3173" i="69"/>
  <c r="E3172" i="69"/>
  <c r="E3171" i="69"/>
  <c r="E3170" i="69"/>
  <c r="E3169" i="69"/>
  <c r="E3168" i="69"/>
  <c r="E3167" i="69"/>
  <c r="E3166" i="69"/>
  <c r="E3165" i="69"/>
  <c r="E3164" i="69"/>
  <c r="E3163" i="69"/>
  <c r="E3162" i="69"/>
  <c r="E3161" i="69"/>
  <c r="E3159" i="69"/>
  <c r="E3158" i="69"/>
  <c r="E3157" i="69"/>
  <c r="E3156" i="69"/>
  <c r="E3155" i="69"/>
  <c r="E3154" i="69"/>
  <c r="E3153" i="69"/>
  <c r="E3152" i="69"/>
  <c r="E3151" i="69"/>
  <c r="E3150" i="69"/>
  <c r="E3149" i="69"/>
  <c r="E3148" i="69"/>
  <c r="E3147" i="69"/>
  <c r="E3146" i="69"/>
  <c r="E3145" i="69"/>
  <c r="E3144" i="69"/>
  <c r="E3143" i="69"/>
  <c r="E3142" i="69"/>
  <c r="E3141" i="69"/>
  <c r="E3140" i="69"/>
  <c r="E3139" i="69"/>
  <c r="E3138" i="69"/>
  <c r="E3136" i="69"/>
  <c r="E3135" i="69"/>
  <c r="E3134" i="69"/>
  <c r="E3133" i="69"/>
  <c r="E3132" i="69"/>
  <c r="E3131" i="69"/>
  <c r="E3130" i="69"/>
  <c r="E3129" i="69"/>
  <c r="E3128" i="69"/>
  <c r="E3127" i="69"/>
  <c r="E3126" i="69"/>
  <c r="E3125" i="69"/>
  <c r="E3124" i="69"/>
  <c r="E3123" i="69"/>
  <c r="E3122" i="69"/>
  <c r="E3121" i="69"/>
  <c r="E3120" i="69"/>
  <c r="E3119" i="69"/>
  <c r="E3118" i="69"/>
  <c r="E3117" i="69"/>
  <c r="E3116" i="69"/>
  <c r="E3115" i="69"/>
  <c r="E3114" i="69"/>
  <c r="E3113" i="69"/>
  <c r="E3112" i="69"/>
  <c r="E3111" i="69"/>
  <c r="E3110" i="69"/>
  <c r="E3109" i="69"/>
  <c r="E3108" i="69"/>
  <c r="E3107" i="69"/>
  <c r="E3106" i="69"/>
  <c r="E3105" i="69"/>
  <c r="E3104" i="69"/>
  <c r="E3103" i="69"/>
  <c r="E3102" i="69"/>
  <c r="E3101" i="69"/>
  <c r="E3100" i="69"/>
  <c r="E3099" i="69"/>
  <c r="E3098" i="69"/>
  <c r="E3097" i="69"/>
  <c r="E3096" i="69"/>
  <c r="E3095" i="69"/>
  <c r="E3094" i="69"/>
  <c r="E3093" i="69"/>
  <c r="E3092" i="69"/>
  <c r="E3090" i="69"/>
  <c r="E3089" i="69"/>
  <c r="E3088" i="69"/>
  <c r="E3087" i="69"/>
  <c r="E3086" i="69"/>
  <c r="E3085" i="69"/>
  <c r="E3084" i="69"/>
  <c r="E3083" i="69"/>
  <c r="E3082" i="69"/>
  <c r="E3081" i="69"/>
  <c r="E3080" i="69"/>
  <c r="E3079" i="69"/>
  <c r="E3078" i="69"/>
  <c r="E3077" i="69"/>
  <c r="E3076" i="69"/>
  <c r="E3075" i="69"/>
  <c r="E3074" i="69"/>
  <c r="E3073" i="69"/>
  <c r="E3072" i="69"/>
  <c r="E3071" i="69"/>
  <c r="E3070" i="69"/>
  <c r="E3069" i="69"/>
  <c r="E3068" i="69"/>
  <c r="E3067" i="69"/>
  <c r="E3066" i="69"/>
  <c r="E3065" i="69"/>
  <c r="E3064" i="69"/>
  <c r="E3063" i="69"/>
  <c r="E3062" i="69"/>
  <c r="E3061" i="69"/>
  <c r="E3060" i="69"/>
  <c r="E3059" i="69"/>
  <c r="E3058" i="69"/>
  <c r="E3057" i="69"/>
  <c r="E3056" i="69"/>
  <c r="E3055" i="69"/>
  <c r="E3054" i="69"/>
  <c r="E3053" i="69"/>
  <c r="E3052" i="69"/>
  <c r="E3051" i="69"/>
  <c r="E3050" i="69"/>
  <c r="E3049" i="69"/>
  <c r="E3048" i="69"/>
  <c r="E3047" i="69"/>
  <c r="E3046" i="69"/>
  <c r="E3045" i="69"/>
  <c r="E3044" i="69"/>
  <c r="E3043" i="69"/>
  <c r="E3042" i="69"/>
  <c r="E3041" i="69"/>
  <c r="E3040" i="69"/>
  <c r="E3039" i="69"/>
  <c r="E3038" i="69"/>
  <c r="E3037" i="69"/>
  <c r="E3036" i="69"/>
  <c r="E3035" i="69"/>
  <c r="E3034" i="69"/>
  <c r="E3033" i="69"/>
  <c r="E3032" i="69"/>
  <c r="E3031" i="69"/>
  <c r="E3030" i="69"/>
  <c r="E3029" i="69"/>
  <c r="E3028" i="69"/>
  <c r="E3027" i="69"/>
  <c r="E3026" i="69"/>
  <c r="E3025" i="69"/>
  <c r="E3024" i="69"/>
  <c r="E3023" i="69"/>
  <c r="E3022" i="69"/>
  <c r="E3021" i="69"/>
  <c r="E3020" i="69"/>
  <c r="E3019" i="69"/>
  <c r="E3018" i="69"/>
  <c r="E3017" i="69"/>
  <c r="E3016" i="69"/>
  <c r="E3015" i="69"/>
  <c r="E3014" i="69"/>
  <c r="E3013" i="69"/>
  <c r="E3012" i="69"/>
  <c r="E3011" i="69"/>
  <c r="E3010" i="69"/>
  <c r="E3009" i="69"/>
  <c r="E3008" i="69"/>
  <c r="E3007" i="69"/>
  <c r="E3006" i="69"/>
  <c r="E3005" i="69"/>
  <c r="E3004" i="69"/>
  <c r="E3003" i="69"/>
  <c r="E3002" i="69"/>
  <c r="E3001" i="69"/>
  <c r="E3000" i="69"/>
  <c r="E2999" i="69"/>
  <c r="E2998" i="69"/>
  <c r="E2997" i="69"/>
  <c r="E2996" i="69"/>
  <c r="E2995" i="69"/>
  <c r="E2994" i="69"/>
  <c r="E2993" i="69"/>
  <c r="E2992" i="69"/>
  <c r="E2991" i="69"/>
  <c r="E2990" i="69"/>
  <c r="E2989" i="69"/>
  <c r="E2988" i="69"/>
  <c r="E2987" i="69"/>
  <c r="E2986" i="69"/>
  <c r="E2985" i="69"/>
  <c r="E2984" i="69"/>
  <c r="E2983" i="69"/>
  <c r="E2982" i="69"/>
  <c r="E2981" i="69"/>
  <c r="E2980" i="69"/>
  <c r="E2979" i="69"/>
  <c r="E2978" i="69"/>
  <c r="E2977" i="69"/>
  <c r="E2976" i="69"/>
  <c r="E2975" i="69"/>
  <c r="E2974" i="69"/>
  <c r="E2973" i="69"/>
  <c r="E2972" i="69"/>
  <c r="E2971" i="69"/>
  <c r="E2970" i="69"/>
  <c r="E2969" i="69"/>
  <c r="E2968" i="69"/>
  <c r="E2967" i="69"/>
  <c r="E2966" i="69"/>
  <c r="E2965" i="69"/>
  <c r="E2964" i="69"/>
  <c r="E2963" i="69"/>
  <c r="E2962" i="69"/>
  <c r="E2961" i="69"/>
  <c r="E2960" i="69"/>
  <c r="E2959" i="69"/>
  <c r="E2958" i="69"/>
  <c r="E2957" i="69"/>
  <c r="E2956" i="69"/>
  <c r="E2955" i="69"/>
  <c r="E2954" i="69"/>
  <c r="E2953" i="69"/>
  <c r="E2952" i="69"/>
  <c r="E2951" i="69"/>
  <c r="E2950" i="69"/>
  <c r="E2949" i="69"/>
  <c r="E2948" i="69"/>
  <c r="E2947" i="69"/>
  <c r="E2946" i="69"/>
  <c r="E2945" i="69"/>
  <c r="E2944" i="69"/>
  <c r="E2943" i="69"/>
  <c r="E2942" i="69"/>
  <c r="E2941" i="69"/>
  <c r="E2940" i="69"/>
  <c r="E2939" i="69"/>
  <c r="E2938" i="69"/>
  <c r="E2937" i="69"/>
  <c r="E2936" i="69"/>
  <c r="E2935" i="69"/>
  <c r="E2934" i="69"/>
  <c r="E2933" i="69"/>
  <c r="E2932" i="69"/>
  <c r="E2931" i="69"/>
  <c r="E2930" i="69"/>
  <c r="E2929" i="69"/>
  <c r="E2928" i="69"/>
  <c r="E2927" i="69"/>
  <c r="E2926" i="69"/>
  <c r="E2925" i="69"/>
  <c r="E2924" i="69"/>
  <c r="E2923" i="69"/>
  <c r="E2922" i="69"/>
  <c r="E2921" i="69"/>
  <c r="E2920" i="69"/>
  <c r="E2919" i="69"/>
  <c r="E2918" i="69"/>
  <c r="E2917" i="69"/>
  <c r="E2916" i="69"/>
  <c r="E2915" i="69"/>
  <c r="E2914" i="69"/>
  <c r="E2913" i="69"/>
  <c r="E2912" i="69"/>
  <c r="E2911" i="69"/>
  <c r="E2910" i="69"/>
  <c r="E2909" i="69"/>
  <c r="E2908" i="69"/>
  <c r="E2907" i="69"/>
  <c r="E2906" i="69"/>
  <c r="E2905" i="69"/>
  <c r="E2904" i="69"/>
  <c r="E2903" i="69"/>
  <c r="E2902" i="69"/>
  <c r="E2901" i="69"/>
  <c r="E2900" i="69"/>
  <c r="E2899" i="69"/>
  <c r="E2898" i="69"/>
  <c r="E2897" i="69"/>
  <c r="E2896" i="69"/>
  <c r="E2895" i="69"/>
  <c r="E2894" i="69"/>
  <c r="E2893" i="69"/>
  <c r="E2892" i="69"/>
  <c r="E2891" i="69"/>
  <c r="E2890" i="69"/>
  <c r="E2889" i="69"/>
  <c r="E2888" i="69"/>
  <c r="E2887" i="69"/>
  <c r="E2886" i="69"/>
  <c r="E2885" i="69"/>
  <c r="E2884" i="69"/>
  <c r="E2883" i="69"/>
  <c r="E2882" i="69"/>
  <c r="E2881" i="69"/>
  <c r="E2880" i="69"/>
  <c r="E2879" i="69"/>
  <c r="E2878" i="69"/>
  <c r="E2877" i="69"/>
  <c r="E2876" i="69"/>
  <c r="E2875" i="69"/>
  <c r="E2874" i="69"/>
  <c r="E2873" i="69"/>
  <c r="E2872" i="69"/>
  <c r="E2871" i="69"/>
  <c r="E2870" i="69"/>
  <c r="E2869" i="69"/>
  <c r="E2868" i="69"/>
  <c r="E2867" i="69"/>
  <c r="E2866" i="69"/>
  <c r="E2865" i="69"/>
  <c r="E2864" i="69"/>
  <c r="E2863" i="69"/>
  <c r="E2862" i="69"/>
  <c r="E2861" i="69"/>
  <c r="E2860" i="69"/>
  <c r="E2859" i="69"/>
  <c r="E2858" i="69"/>
  <c r="E2857" i="69"/>
  <c r="E2856" i="69"/>
  <c r="E2855" i="69"/>
  <c r="E2854" i="69"/>
  <c r="E2853" i="69"/>
  <c r="E2852" i="69"/>
  <c r="E2851" i="69"/>
  <c r="E2850" i="69"/>
  <c r="E2849" i="69"/>
  <c r="E2848" i="69"/>
  <c r="E2847" i="69"/>
  <c r="E2846" i="69"/>
  <c r="E2845" i="69"/>
  <c r="E2844" i="69"/>
  <c r="E2843" i="69"/>
  <c r="E2842" i="69"/>
  <c r="E2841" i="69"/>
  <c r="E2840" i="69"/>
  <c r="E2839" i="69"/>
  <c r="E2838" i="69"/>
  <c r="E2837" i="69"/>
  <c r="E2836" i="69"/>
  <c r="E2835" i="69"/>
  <c r="E2834" i="69"/>
  <c r="E2833" i="69"/>
  <c r="E2832" i="69"/>
  <c r="E2831" i="69"/>
  <c r="E2830" i="69"/>
  <c r="E2829" i="69"/>
  <c r="E2828" i="69"/>
  <c r="E2827" i="69"/>
  <c r="E2826" i="69"/>
  <c r="E2825" i="69"/>
  <c r="E2824" i="69"/>
  <c r="E2823" i="69"/>
  <c r="E2822" i="69"/>
  <c r="E2821" i="69"/>
  <c r="E2820" i="69"/>
  <c r="E2819" i="69"/>
  <c r="E2818" i="69"/>
  <c r="E2817" i="69"/>
  <c r="E2816" i="69"/>
  <c r="E2815" i="69"/>
  <c r="E2814" i="69"/>
  <c r="E2813" i="69"/>
  <c r="E2812" i="69"/>
  <c r="E2811" i="69"/>
  <c r="E2810" i="69"/>
  <c r="E2809" i="69"/>
  <c r="E2808" i="69"/>
  <c r="E2807" i="69"/>
  <c r="E2806" i="69"/>
  <c r="E2805" i="69"/>
  <c r="E2804" i="69"/>
  <c r="E2803" i="69"/>
  <c r="E2802" i="69"/>
  <c r="E2801" i="69"/>
  <c r="E2800" i="69"/>
  <c r="E2799" i="69"/>
  <c r="E2798" i="69"/>
  <c r="E2797" i="69"/>
  <c r="E2796" i="69"/>
  <c r="E2795" i="69"/>
  <c r="E2794" i="69"/>
  <c r="E2793" i="69"/>
  <c r="E2792" i="69"/>
  <c r="E2791" i="69"/>
  <c r="E2790" i="69"/>
  <c r="E2789" i="69"/>
  <c r="E2788" i="69"/>
  <c r="E2787" i="69"/>
  <c r="E2786" i="69"/>
  <c r="E2785" i="69"/>
  <c r="E2784" i="69"/>
  <c r="E2783" i="69"/>
  <c r="E2782" i="69"/>
  <c r="E2781" i="69"/>
  <c r="E2780" i="69"/>
  <c r="E2779" i="69"/>
  <c r="E2778" i="69"/>
  <c r="E2777" i="69"/>
  <c r="E2776" i="69"/>
  <c r="E2775" i="69"/>
  <c r="E2774" i="69"/>
  <c r="E2773" i="69"/>
  <c r="E2772" i="69"/>
  <c r="E2771" i="69"/>
  <c r="E2770" i="69"/>
  <c r="E2769" i="69"/>
  <c r="E2768" i="69"/>
  <c r="E2767" i="69"/>
  <c r="E2766" i="69"/>
  <c r="E2765" i="69"/>
  <c r="E2764" i="69"/>
  <c r="E2763" i="69"/>
  <c r="E2762" i="69"/>
  <c r="E2761" i="69"/>
  <c r="E2760" i="69"/>
  <c r="E2759" i="69"/>
  <c r="E2758" i="69"/>
  <c r="E2757" i="69"/>
  <c r="E2756" i="69"/>
  <c r="E2755" i="69"/>
  <c r="E2754" i="69"/>
  <c r="E2753" i="69"/>
  <c r="E2752" i="69"/>
  <c r="E2751" i="69"/>
  <c r="E2750" i="69"/>
  <c r="E2749" i="69"/>
  <c r="E2748" i="69"/>
  <c r="E2747" i="69"/>
  <c r="E2746" i="69"/>
  <c r="E2745" i="69"/>
  <c r="E2744" i="69"/>
  <c r="E2743" i="69"/>
  <c r="E2742" i="69"/>
  <c r="E2741" i="69"/>
  <c r="E2740" i="69"/>
  <c r="E2739" i="69"/>
  <c r="E2738" i="69"/>
  <c r="E2737" i="69"/>
  <c r="E2736" i="69"/>
  <c r="E2735" i="69"/>
  <c r="E2734" i="69"/>
  <c r="E2733" i="69"/>
  <c r="E2732" i="69"/>
  <c r="E2731" i="69"/>
  <c r="E2730" i="69"/>
  <c r="E2729" i="69"/>
  <c r="E2728" i="69"/>
  <c r="E2727" i="69"/>
  <c r="E2726" i="69"/>
  <c r="E2725" i="69"/>
  <c r="E2724" i="69"/>
  <c r="E2723" i="69"/>
  <c r="E2722" i="69"/>
  <c r="E2721" i="69"/>
  <c r="E2720" i="69"/>
  <c r="E2719" i="69"/>
  <c r="E2718" i="69"/>
  <c r="E2717" i="69"/>
  <c r="E2716" i="69"/>
  <c r="E2715" i="69"/>
  <c r="E2714" i="69"/>
  <c r="E2713" i="69"/>
  <c r="E2712" i="69"/>
  <c r="E2711" i="69"/>
  <c r="E2710" i="69"/>
  <c r="E2709" i="69"/>
  <c r="E2708" i="69"/>
  <c r="E2707" i="69"/>
  <c r="E2706" i="69"/>
  <c r="E2705" i="69"/>
  <c r="E2704" i="69"/>
  <c r="E2703" i="69"/>
  <c r="E2702" i="69"/>
  <c r="E2701" i="69"/>
  <c r="E2700" i="69"/>
  <c r="E2699" i="69"/>
  <c r="E2698" i="69"/>
  <c r="E2697" i="69"/>
  <c r="E2696" i="69"/>
  <c r="E2695" i="69"/>
  <c r="E2694" i="69"/>
  <c r="E2693" i="69"/>
  <c r="E2692" i="69"/>
  <c r="E2691" i="69"/>
  <c r="E2690" i="69"/>
  <c r="E2689" i="69"/>
  <c r="E2688" i="69"/>
  <c r="E2687" i="69"/>
  <c r="E2686" i="69"/>
  <c r="E2685" i="69"/>
  <c r="E2684" i="69"/>
  <c r="E2683" i="69"/>
  <c r="E2682" i="69"/>
  <c r="E2681" i="69"/>
  <c r="E2680" i="69"/>
  <c r="E2679" i="69"/>
  <c r="E2678" i="69"/>
  <c r="E2677" i="69"/>
  <c r="E2676" i="69"/>
  <c r="E2675" i="69"/>
  <c r="E2674" i="69"/>
  <c r="E2673" i="69"/>
  <c r="E2672" i="69"/>
  <c r="E2671" i="69"/>
  <c r="E2670" i="69"/>
  <c r="E2669" i="69"/>
  <c r="E2668" i="69"/>
  <c r="E2667" i="69"/>
  <c r="E2666" i="69"/>
  <c r="E2665" i="69"/>
  <c r="E2664" i="69"/>
  <c r="E2663" i="69"/>
  <c r="E2662" i="69"/>
  <c r="E2661" i="69"/>
  <c r="E2660" i="69"/>
  <c r="E2659" i="69"/>
  <c r="E2658" i="69"/>
  <c r="E2657" i="69"/>
  <c r="E2656" i="69"/>
  <c r="E2655" i="69"/>
  <c r="E2654" i="69"/>
  <c r="E2653" i="69"/>
  <c r="E2652" i="69"/>
  <c r="E2651" i="69"/>
  <c r="E2650" i="69"/>
  <c r="E2649" i="69"/>
  <c r="E2648" i="69"/>
  <c r="E2647" i="69"/>
  <c r="E2646" i="69"/>
  <c r="E2645" i="69"/>
  <c r="E2644" i="69"/>
  <c r="E2643" i="69"/>
  <c r="E2642" i="69"/>
  <c r="E2641" i="69"/>
  <c r="E2640" i="69"/>
  <c r="E2639" i="69"/>
  <c r="E2638" i="69"/>
  <c r="E2637" i="69"/>
  <c r="E2636" i="69"/>
  <c r="E2635" i="69"/>
  <c r="E2634" i="69"/>
  <c r="E2633" i="69"/>
  <c r="E2632" i="69"/>
  <c r="E2631" i="69"/>
  <c r="E2630" i="69"/>
  <c r="E2629" i="69"/>
  <c r="E2628" i="69"/>
  <c r="E2627" i="69"/>
  <c r="E2626" i="69"/>
  <c r="E2625" i="69"/>
  <c r="E2624" i="69"/>
  <c r="E2623" i="69"/>
  <c r="E2622" i="69"/>
  <c r="E2621" i="69"/>
  <c r="E2620" i="69"/>
  <c r="E2619" i="69"/>
  <c r="E2618" i="69"/>
  <c r="E2617" i="69"/>
  <c r="E2616" i="69"/>
  <c r="E2615" i="69"/>
  <c r="E2614" i="69"/>
  <c r="E2613" i="69"/>
  <c r="E2612" i="69"/>
  <c r="E2611" i="69"/>
  <c r="E2610" i="69"/>
  <c r="E2609" i="69"/>
  <c r="E2608" i="69"/>
  <c r="E2607" i="69"/>
  <c r="E2606" i="69"/>
  <c r="E2605" i="69"/>
  <c r="E2604" i="69"/>
  <c r="E2603" i="69"/>
  <c r="E2602" i="69"/>
  <c r="E2601" i="69"/>
  <c r="E2600" i="69"/>
  <c r="E2599" i="69"/>
  <c r="E2598" i="69"/>
  <c r="E2597" i="69"/>
  <c r="E2596" i="69"/>
  <c r="E2595" i="69"/>
  <c r="E2594" i="69"/>
  <c r="E2593" i="69"/>
  <c r="E2592" i="69"/>
  <c r="E2591" i="69"/>
  <c r="E2590" i="69"/>
  <c r="E2589" i="69"/>
  <c r="E2588" i="69"/>
  <c r="E2587" i="69"/>
  <c r="E2586" i="69"/>
  <c r="E2585" i="69"/>
  <c r="E2584" i="69"/>
  <c r="E2583" i="69"/>
  <c r="E2582" i="69"/>
  <c r="E2581" i="69"/>
  <c r="E2580" i="69"/>
  <c r="E2579" i="69"/>
  <c r="E2578" i="69"/>
  <c r="E2577" i="69"/>
  <c r="E2576" i="69"/>
  <c r="E2575" i="69"/>
  <c r="E2574" i="69"/>
  <c r="E2573" i="69"/>
  <c r="E2572" i="69"/>
  <c r="E2571" i="69"/>
  <c r="E2570" i="69"/>
  <c r="E2569" i="69"/>
  <c r="E2568" i="69"/>
  <c r="E2567" i="69"/>
  <c r="E2566" i="69"/>
  <c r="E2565" i="69"/>
  <c r="E2564" i="69"/>
  <c r="E2563" i="69"/>
  <c r="E2562" i="69"/>
  <c r="E2561" i="69"/>
  <c r="E2560" i="69"/>
  <c r="E2559" i="69"/>
  <c r="E2558" i="69"/>
  <c r="E2557" i="69"/>
  <c r="E2556" i="69"/>
  <c r="E2555" i="69"/>
  <c r="E2554" i="69"/>
  <c r="E2553" i="69"/>
  <c r="E2552" i="69"/>
  <c r="E2551" i="69"/>
  <c r="E2550" i="69"/>
  <c r="E2549" i="69"/>
  <c r="E2548" i="69"/>
  <c r="E2547" i="69"/>
  <c r="E2546" i="69"/>
  <c r="E2545" i="69"/>
  <c r="E2544" i="69"/>
  <c r="E2543" i="69"/>
  <c r="E2542" i="69"/>
  <c r="E2541" i="69"/>
  <c r="E2540" i="69"/>
  <c r="E2539" i="69"/>
  <c r="E2538" i="69"/>
  <c r="E2537" i="69"/>
  <c r="E2536" i="69"/>
  <c r="E2535" i="69"/>
  <c r="E2534" i="69"/>
  <c r="E2533" i="69"/>
  <c r="E2532" i="69"/>
  <c r="E2531" i="69"/>
  <c r="E2530" i="69"/>
  <c r="E2529" i="69"/>
  <c r="E2528" i="69"/>
  <c r="E2527" i="69"/>
  <c r="E2526" i="69"/>
  <c r="E2525" i="69"/>
  <c r="E2524" i="69"/>
  <c r="E2523" i="69"/>
  <c r="E2522" i="69"/>
  <c r="E2521" i="69"/>
  <c r="E2520" i="69"/>
  <c r="E2519" i="69"/>
  <c r="E2518" i="69"/>
  <c r="E2517" i="69"/>
  <c r="E2516" i="69"/>
  <c r="E2515" i="69"/>
  <c r="E2514" i="69"/>
  <c r="E2513" i="69"/>
  <c r="E2512" i="69"/>
  <c r="E2511" i="69"/>
  <c r="E2510" i="69"/>
  <c r="E2509" i="69"/>
  <c r="E2508" i="69"/>
  <c r="E2507" i="69"/>
  <c r="E2506" i="69"/>
  <c r="E2505" i="69"/>
  <c r="E2504" i="69"/>
  <c r="E2503" i="69"/>
  <c r="E2502" i="69"/>
  <c r="E2501" i="69"/>
  <c r="E2500" i="69"/>
  <c r="E2499" i="69"/>
  <c r="E2498" i="69"/>
  <c r="E2497" i="69"/>
  <c r="E2496" i="69"/>
  <c r="E2495" i="69"/>
  <c r="E2494" i="69"/>
  <c r="E2493" i="69"/>
  <c r="E2492" i="69"/>
  <c r="E2491" i="69"/>
  <c r="E2490" i="69"/>
  <c r="E2489" i="69"/>
  <c r="E2488" i="69"/>
  <c r="E2487" i="69"/>
  <c r="E2486" i="69"/>
  <c r="E2485" i="69"/>
  <c r="E2484" i="69"/>
  <c r="E2483" i="69"/>
  <c r="E2482" i="69"/>
  <c r="E2481" i="69"/>
  <c r="E2480" i="69"/>
  <c r="E2479" i="69"/>
  <c r="E2478" i="69"/>
  <c r="E2477" i="69"/>
  <c r="E2476" i="69"/>
  <c r="E2475" i="69"/>
  <c r="E2474" i="69"/>
  <c r="E2473" i="69"/>
  <c r="E2472" i="69"/>
  <c r="E2471" i="69"/>
  <c r="E2470" i="69"/>
  <c r="E2469" i="69"/>
  <c r="E2468" i="69"/>
  <c r="E2467" i="69"/>
  <c r="E2466" i="69"/>
  <c r="E2465" i="69"/>
  <c r="E2464" i="69"/>
  <c r="E2463" i="69"/>
  <c r="E2462" i="69"/>
  <c r="E2461" i="69"/>
  <c r="E2460" i="69"/>
  <c r="E2459" i="69"/>
  <c r="E2458" i="69"/>
  <c r="E2457" i="69"/>
  <c r="E2456" i="69"/>
  <c r="E2455" i="69"/>
  <c r="E2454" i="69"/>
  <c r="E2453" i="69"/>
  <c r="E2452" i="69"/>
  <c r="E2451" i="69"/>
  <c r="E2450" i="69"/>
  <c r="E2449" i="69"/>
  <c r="E2448" i="69"/>
  <c r="E2447" i="69"/>
  <c r="E2446" i="69"/>
  <c r="E2445" i="69"/>
  <c r="E2444" i="69"/>
  <c r="E2443" i="69"/>
  <c r="E2442" i="69"/>
  <c r="E2441" i="69"/>
  <c r="E2440" i="69"/>
  <c r="E2439" i="69"/>
  <c r="E2438" i="69"/>
  <c r="E2437" i="69"/>
  <c r="E2436" i="69"/>
  <c r="E2435" i="69"/>
  <c r="E2434" i="69"/>
  <c r="E2433" i="69"/>
  <c r="E2432" i="69"/>
  <c r="E2431" i="69"/>
  <c r="E2430" i="69"/>
  <c r="E2429" i="69"/>
  <c r="E2428" i="69"/>
  <c r="E2427" i="69"/>
  <c r="E2426" i="69"/>
  <c r="E2425" i="69"/>
  <c r="E2424" i="69"/>
  <c r="E2423" i="69"/>
  <c r="E2422" i="69"/>
  <c r="E2421" i="69"/>
  <c r="E2420" i="69"/>
  <c r="E2419" i="69"/>
  <c r="E2418" i="69"/>
  <c r="E2417" i="69"/>
  <c r="E2416" i="69"/>
  <c r="E2415" i="69"/>
  <c r="E2414" i="69"/>
  <c r="E2413" i="69"/>
  <c r="E2412" i="69"/>
  <c r="E2411" i="69"/>
  <c r="E2410" i="69"/>
  <c r="E2409" i="69"/>
  <c r="E2408" i="69"/>
  <c r="E2407" i="69"/>
  <c r="E2406" i="69"/>
  <c r="E2405" i="69"/>
  <c r="E2404" i="69"/>
  <c r="E2403" i="69"/>
  <c r="E2402" i="69"/>
  <c r="E2401" i="69"/>
  <c r="E2400" i="69"/>
  <c r="E2399" i="69"/>
  <c r="E2398" i="69"/>
  <c r="E2397" i="69"/>
  <c r="E2396" i="69"/>
  <c r="E2395" i="69"/>
  <c r="E2394" i="69"/>
  <c r="E2393" i="69"/>
  <c r="E2392" i="69"/>
  <c r="E2391" i="69"/>
  <c r="E2390" i="69"/>
  <c r="E2389" i="69"/>
  <c r="E2388" i="69"/>
  <c r="E2387" i="69"/>
  <c r="E2386" i="69"/>
  <c r="E2385" i="69"/>
  <c r="E2384" i="69"/>
  <c r="E2383" i="69"/>
  <c r="E2382" i="69"/>
  <c r="E2381" i="69"/>
  <c r="E2380" i="69"/>
  <c r="E2379" i="69"/>
  <c r="E2378" i="69"/>
  <c r="E2377" i="69"/>
  <c r="E2376" i="69"/>
  <c r="E2375" i="69"/>
  <c r="E2374" i="69"/>
  <c r="E2373" i="69"/>
  <c r="E2372" i="69"/>
  <c r="E2371" i="69"/>
  <c r="E2370" i="69"/>
  <c r="E2369" i="69"/>
  <c r="E2368" i="69"/>
  <c r="E2367" i="69"/>
  <c r="E2366" i="69"/>
  <c r="E2365" i="69"/>
  <c r="E2364" i="69"/>
  <c r="E2363" i="69"/>
  <c r="E2362" i="69"/>
  <c r="E2361" i="69"/>
  <c r="E2360" i="69"/>
  <c r="E2359" i="69"/>
  <c r="E2358" i="69"/>
  <c r="E2357" i="69"/>
  <c r="E2356" i="69"/>
  <c r="E2355" i="69"/>
  <c r="E2354" i="69"/>
  <c r="E2353" i="69"/>
  <c r="E2352" i="69"/>
  <c r="E2351" i="69"/>
  <c r="E2350" i="69"/>
  <c r="E2349" i="69"/>
  <c r="E2348" i="69"/>
  <c r="E2347" i="69"/>
  <c r="E2346" i="69"/>
  <c r="E2345" i="69"/>
  <c r="E2344" i="69"/>
  <c r="E2343" i="69"/>
  <c r="E2342" i="69"/>
  <c r="E2341" i="69"/>
  <c r="E2340" i="69"/>
  <c r="E2339" i="69"/>
  <c r="E2338" i="69"/>
  <c r="E2337" i="69"/>
  <c r="E2336" i="69"/>
  <c r="E2335" i="69"/>
  <c r="E2334" i="69"/>
  <c r="E2333" i="69"/>
  <c r="E2332" i="69"/>
  <c r="E2331" i="69"/>
  <c r="E2330" i="69"/>
  <c r="E2329" i="69"/>
  <c r="E2328" i="69"/>
  <c r="E2327" i="69"/>
  <c r="E2326" i="69"/>
  <c r="E2325" i="69"/>
  <c r="E2324" i="69"/>
  <c r="E2323" i="69"/>
  <c r="E2322" i="69"/>
  <c r="E2321" i="69"/>
  <c r="E2320" i="69"/>
  <c r="E2319" i="69"/>
  <c r="E2318" i="69"/>
  <c r="E2317" i="69"/>
  <c r="E2316" i="69"/>
  <c r="E2315" i="69"/>
  <c r="E2314" i="69"/>
  <c r="E2313" i="69"/>
  <c r="E2312" i="69"/>
  <c r="E2311" i="69"/>
  <c r="E2310" i="69"/>
  <c r="E2309" i="69"/>
  <c r="E2308" i="69"/>
  <c r="E2307" i="69"/>
  <c r="E2306" i="69"/>
  <c r="E2305" i="69"/>
  <c r="E2304" i="69"/>
  <c r="E2303" i="69"/>
  <c r="E2302" i="69"/>
  <c r="E2301" i="69"/>
  <c r="E2300" i="69"/>
  <c r="E2299" i="69"/>
  <c r="E2298" i="69"/>
  <c r="E2297" i="69"/>
  <c r="E2296" i="69"/>
  <c r="E2295" i="69"/>
  <c r="E2294" i="69"/>
  <c r="E2293" i="69"/>
  <c r="E2292" i="69"/>
  <c r="E2291" i="69"/>
  <c r="E2290" i="69"/>
  <c r="E2289" i="69"/>
  <c r="E2288" i="69"/>
  <c r="E2287" i="69"/>
  <c r="E2286" i="69"/>
  <c r="E2285" i="69"/>
  <c r="E2284" i="69"/>
  <c r="E2283" i="69"/>
  <c r="E2282" i="69"/>
  <c r="E2281" i="69"/>
  <c r="E2280" i="69"/>
  <c r="E2279" i="69"/>
  <c r="E2278" i="69"/>
  <c r="E2277" i="69"/>
  <c r="E2276" i="69"/>
  <c r="E2275" i="69"/>
  <c r="E2274" i="69"/>
  <c r="E2273" i="69"/>
  <c r="E2272" i="69"/>
  <c r="E2271" i="69"/>
  <c r="E2270" i="69"/>
  <c r="E2269" i="69"/>
  <c r="E2268" i="69"/>
  <c r="E2267" i="69"/>
  <c r="E2266" i="69"/>
  <c r="E2265" i="69"/>
  <c r="E2264" i="69"/>
  <c r="E2263" i="69"/>
  <c r="E2262" i="69"/>
  <c r="E2261" i="69"/>
  <c r="E2260" i="69"/>
  <c r="E2259" i="69"/>
  <c r="E2258" i="69"/>
  <c r="E2257" i="69"/>
  <c r="E2256" i="69"/>
  <c r="E2255" i="69"/>
  <c r="E2254" i="69"/>
  <c r="E2253" i="69"/>
  <c r="E2252" i="69"/>
  <c r="E2251" i="69"/>
  <c r="E2250" i="69"/>
  <c r="E2249" i="69"/>
  <c r="E2248" i="69"/>
  <c r="E2247" i="69"/>
  <c r="E2246" i="69"/>
  <c r="E2245" i="69"/>
  <c r="E2244" i="69"/>
  <c r="E2243" i="69"/>
  <c r="E2242" i="69"/>
  <c r="E2241" i="69"/>
  <c r="E2240" i="69"/>
  <c r="E2239" i="69"/>
  <c r="E2238" i="69"/>
  <c r="E2237" i="69"/>
  <c r="E2236" i="69"/>
  <c r="E2235" i="69"/>
  <c r="E2234" i="69"/>
  <c r="E2233" i="69"/>
  <c r="E2232" i="69"/>
  <c r="E2231" i="69"/>
  <c r="E2230" i="69"/>
  <c r="E2229" i="69"/>
  <c r="E2228" i="69"/>
  <c r="E2227" i="69"/>
  <c r="E2226" i="69"/>
  <c r="E2225" i="69"/>
  <c r="E2224" i="69"/>
  <c r="E2223" i="69"/>
  <c r="E2222" i="69"/>
  <c r="E2221" i="69"/>
  <c r="E2220" i="69"/>
  <c r="E2219" i="69"/>
  <c r="E2218" i="69"/>
  <c r="E2217" i="69"/>
  <c r="E2216" i="69"/>
  <c r="E2215" i="69"/>
  <c r="E2214" i="69"/>
  <c r="E2213" i="69"/>
  <c r="E2212" i="69"/>
  <c r="E2211" i="69"/>
  <c r="E2210" i="69"/>
  <c r="E2209" i="69"/>
  <c r="E2208" i="69"/>
  <c r="E2207" i="69"/>
  <c r="E2206" i="69"/>
  <c r="E2205" i="69"/>
  <c r="E2204" i="69"/>
  <c r="E2203" i="69"/>
  <c r="E2202" i="69"/>
  <c r="E2201" i="69"/>
  <c r="E2200" i="69"/>
  <c r="E2199" i="69"/>
  <c r="E2198" i="69"/>
  <c r="E2197" i="69"/>
  <c r="E2196" i="69"/>
  <c r="E2195" i="69"/>
  <c r="E2194" i="69"/>
  <c r="E2193" i="69"/>
  <c r="E2192" i="69"/>
  <c r="E2191" i="69"/>
  <c r="E2190" i="69"/>
  <c r="E2189" i="69"/>
  <c r="E2188" i="69"/>
  <c r="E2187" i="69"/>
  <c r="E2186" i="69"/>
  <c r="E2185" i="69"/>
  <c r="E2184" i="69"/>
  <c r="E2183" i="69"/>
  <c r="E2182" i="69"/>
  <c r="E2181" i="69"/>
  <c r="E2180" i="69"/>
  <c r="E2179" i="69"/>
  <c r="E2178" i="69"/>
  <c r="E2177" i="69"/>
  <c r="E2176" i="69"/>
  <c r="E2175" i="69"/>
  <c r="E2174" i="69"/>
  <c r="E2173" i="69"/>
  <c r="E2172" i="69"/>
  <c r="E2171" i="69"/>
  <c r="E2170" i="69"/>
  <c r="E2169" i="69"/>
  <c r="E2168" i="69"/>
  <c r="E2167" i="69"/>
  <c r="E2166" i="69"/>
  <c r="E2165" i="69"/>
  <c r="E2164" i="69"/>
  <c r="E2163" i="69"/>
  <c r="E2162" i="69"/>
  <c r="E2161" i="69"/>
  <c r="E2160" i="69"/>
  <c r="E2159" i="69"/>
  <c r="E2158" i="69"/>
  <c r="E2157" i="69"/>
  <c r="E2156" i="69"/>
  <c r="E2155" i="69"/>
  <c r="E2154" i="69"/>
  <c r="E2153" i="69"/>
  <c r="E2152" i="69"/>
  <c r="E2151" i="69"/>
  <c r="E2150" i="69"/>
  <c r="E2149" i="69"/>
  <c r="E2148" i="69"/>
  <c r="E2147" i="69"/>
  <c r="E2146" i="69"/>
  <c r="E2145" i="69"/>
  <c r="E2144" i="69"/>
  <c r="E2143" i="69"/>
  <c r="E2142" i="69"/>
  <c r="E2141" i="69"/>
  <c r="E2140" i="69"/>
  <c r="E2139" i="69"/>
  <c r="E2138" i="69"/>
  <c r="E2137" i="69"/>
  <c r="E2136" i="69"/>
  <c r="E2135" i="69"/>
  <c r="E2134" i="69"/>
  <c r="E2133" i="69"/>
  <c r="E2132" i="69"/>
  <c r="E2131" i="69"/>
  <c r="E2130" i="69"/>
  <c r="E2129" i="69"/>
  <c r="E2128" i="69"/>
  <c r="E2127" i="69"/>
  <c r="E2126" i="69"/>
  <c r="E2125" i="69"/>
  <c r="E2124" i="69"/>
  <c r="E2123" i="69"/>
  <c r="E2122" i="69"/>
  <c r="E2121" i="69"/>
  <c r="E2120" i="69"/>
  <c r="E2119" i="69"/>
  <c r="E2118" i="69"/>
  <c r="E2117" i="69"/>
  <c r="E2116" i="69"/>
  <c r="E2115" i="69"/>
  <c r="E2114" i="69"/>
  <c r="E2113" i="69"/>
  <c r="E2112" i="69"/>
  <c r="E2111" i="69"/>
  <c r="E2110" i="69"/>
  <c r="E2109" i="69"/>
  <c r="E2108" i="69"/>
  <c r="E2107" i="69"/>
  <c r="E2106" i="69"/>
  <c r="E2105" i="69"/>
  <c r="E2104" i="69"/>
  <c r="E2103" i="69"/>
  <c r="E2102" i="69"/>
  <c r="E2101" i="69"/>
  <c r="E2100" i="69"/>
  <c r="E2099" i="69"/>
  <c r="E2098" i="69"/>
  <c r="E2097" i="69"/>
  <c r="E2096" i="69"/>
  <c r="E2095" i="69"/>
  <c r="E2094" i="69"/>
  <c r="E2093" i="69"/>
  <c r="E2092" i="69"/>
  <c r="E2091" i="69"/>
  <c r="E2090" i="69"/>
  <c r="E2089" i="69"/>
  <c r="E2088" i="69"/>
  <c r="E2087" i="69"/>
  <c r="E2086" i="69"/>
  <c r="E2085" i="69"/>
  <c r="E2084" i="69"/>
  <c r="E2083" i="69"/>
  <c r="E2082" i="69"/>
  <c r="E2081" i="69"/>
  <c r="E2080" i="69"/>
  <c r="E2079" i="69"/>
  <c r="E2078" i="69"/>
  <c r="E2077" i="69"/>
  <c r="E2076" i="69"/>
  <c r="E2075" i="69"/>
  <c r="E2074" i="69"/>
  <c r="E2073" i="69"/>
  <c r="E2072" i="69"/>
  <c r="E2071" i="69"/>
  <c r="E2070" i="69"/>
  <c r="E2069" i="69"/>
  <c r="E2068" i="69"/>
  <c r="E2067" i="69"/>
  <c r="E2066" i="69"/>
  <c r="E2065" i="69"/>
  <c r="E2064" i="69"/>
  <c r="E2063" i="69"/>
  <c r="E2062" i="69"/>
  <c r="E2061" i="69"/>
  <c r="E2060" i="69"/>
  <c r="E2059" i="69"/>
  <c r="E2058" i="69"/>
  <c r="E2057" i="69"/>
  <c r="E2056" i="69"/>
  <c r="E2055" i="69"/>
  <c r="E2054" i="69"/>
  <c r="E2053" i="69"/>
  <c r="E2052" i="69"/>
  <c r="E2051" i="69"/>
  <c r="E2050" i="69"/>
  <c r="E2049" i="69"/>
  <c r="E2048" i="69"/>
  <c r="E2047" i="69"/>
  <c r="E2046" i="69"/>
  <c r="E2045" i="69"/>
  <c r="E2044" i="69"/>
  <c r="E2043" i="69"/>
  <c r="E2042" i="69"/>
  <c r="E2041" i="69"/>
  <c r="E2040" i="69"/>
  <c r="E2039" i="69"/>
  <c r="E2038" i="69"/>
  <c r="E2037" i="69"/>
  <c r="E2036" i="69"/>
  <c r="E2035" i="69"/>
  <c r="E2034" i="69"/>
  <c r="E2033" i="69"/>
  <c r="E2032" i="69"/>
  <c r="E2031" i="69"/>
  <c r="E2030" i="69"/>
  <c r="E2029" i="69"/>
  <c r="E2028" i="69"/>
  <c r="E2027" i="69"/>
  <c r="E2026" i="69"/>
  <c r="E2025" i="69"/>
  <c r="E2024" i="69"/>
  <c r="E2023" i="69"/>
  <c r="E2022" i="69"/>
  <c r="E2021" i="69"/>
  <c r="E2020" i="69"/>
  <c r="E2019" i="69"/>
  <c r="E2018" i="69"/>
  <c r="E2017" i="69"/>
  <c r="E2016" i="69"/>
  <c r="E2015" i="69"/>
  <c r="E2014" i="69"/>
  <c r="E2013" i="69"/>
  <c r="E2012" i="69"/>
  <c r="E2011" i="69"/>
  <c r="E2010" i="69"/>
  <c r="E2009" i="69"/>
  <c r="E2008" i="69"/>
  <c r="E2007" i="69"/>
  <c r="E2006" i="69"/>
  <c r="E2005" i="69"/>
  <c r="E2004" i="69"/>
  <c r="E2003" i="69"/>
  <c r="E2002" i="69"/>
  <c r="E2001" i="69"/>
  <c r="E2000" i="69"/>
  <c r="E1999" i="69"/>
  <c r="E1998" i="69"/>
  <c r="E1997" i="69"/>
  <c r="E1996" i="69"/>
  <c r="E1995" i="69"/>
  <c r="E1994" i="69"/>
  <c r="E1993" i="69"/>
  <c r="E1992" i="69"/>
  <c r="E1991" i="69"/>
  <c r="E1990" i="69"/>
  <c r="E1989" i="69"/>
  <c r="E1988" i="69"/>
  <c r="E1987" i="69"/>
  <c r="E1986" i="69"/>
  <c r="E1985" i="69"/>
  <c r="E1984" i="69"/>
  <c r="E1983" i="69"/>
  <c r="E1982" i="69"/>
  <c r="E1981" i="69"/>
  <c r="E1980" i="69"/>
  <c r="E1979" i="69"/>
  <c r="E1978" i="69"/>
  <c r="E1977" i="69"/>
  <c r="E1976" i="69"/>
  <c r="E1975" i="69"/>
  <c r="E1974" i="69"/>
  <c r="E1973" i="69"/>
  <c r="E1972" i="69"/>
  <c r="E1971" i="69"/>
  <c r="E1970" i="69"/>
  <c r="E1969" i="69"/>
  <c r="E1968" i="69"/>
  <c r="E1967" i="69"/>
  <c r="E1966" i="69"/>
  <c r="E1965" i="69"/>
  <c r="E1964" i="69"/>
  <c r="E1963" i="69"/>
  <c r="E1962" i="69"/>
  <c r="E1961" i="69"/>
  <c r="E1960" i="69"/>
  <c r="E1959" i="69"/>
  <c r="E1958" i="69"/>
  <c r="E1957" i="69"/>
  <c r="E1956" i="69"/>
  <c r="E1955" i="69"/>
  <c r="E1954" i="69"/>
  <c r="E1953" i="69"/>
  <c r="E1952" i="69"/>
  <c r="E1951" i="69"/>
  <c r="E1950" i="69"/>
  <c r="E1949" i="69"/>
  <c r="E1948" i="69"/>
  <c r="E1947" i="69"/>
  <c r="E1946" i="69"/>
  <c r="E1945" i="69"/>
  <c r="E1944" i="69"/>
  <c r="E1943" i="69"/>
  <c r="E1942" i="69"/>
  <c r="E1941" i="69"/>
  <c r="E1940" i="69"/>
  <c r="E1939" i="69"/>
  <c r="E1938" i="69"/>
  <c r="E1937" i="69"/>
  <c r="E1936" i="69"/>
  <c r="E1935" i="69"/>
  <c r="E1934" i="69"/>
  <c r="E1933" i="69"/>
  <c r="E1932" i="69"/>
  <c r="E1931" i="69"/>
  <c r="E1930" i="69"/>
  <c r="E1929" i="69"/>
  <c r="E1928" i="69"/>
  <c r="E1927" i="69"/>
  <c r="E1926" i="69"/>
  <c r="E1925" i="69"/>
  <c r="E1924" i="69"/>
  <c r="E1923" i="69"/>
  <c r="E1922" i="69"/>
  <c r="E1921" i="69"/>
  <c r="E1920" i="69"/>
  <c r="E1919" i="69"/>
  <c r="E1918" i="69"/>
  <c r="E1917" i="69"/>
  <c r="E1916" i="69"/>
  <c r="E1915" i="69"/>
  <c r="E1914" i="69"/>
  <c r="E1913" i="69"/>
  <c r="E1912" i="69"/>
  <c r="E1911" i="69"/>
  <c r="E1910" i="69"/>
  <c r="E1909" i="69"/>
  <c r="E1908" i="69"/>
  <c r="E1907" i="69"/>
  <c r="E1906" i="69"/>
  <c r="E1905" i="69"/>
  <c r="E1904" i="69"/>
  <c r="E1903" i="69"/>
  <c r="E1902" i="69"/>
  <c r="E1901" i="69"/>
  <c r="E1900" i="69"/>
  <c r="E1899" i="69"/>
  <c r="E1898" i="69"/>
  <c r="E1897" i="69"/>
  <c r="E1896" i="69"/>
  <c r="E1895" i="69"/>
  <c r="E1894" i="69"/>
  <c r="E1893" i="69"/>
  <c r="E1892" i="69"/>
  <c r="E1891" i="69"/>
  <c r="E1890" i="69"/>
  <c r="E1889" i="69"/>
  <c r="E1888" i="69"/>
  <c r="E1887" i="69"/>
  <c r="E1886" i="69"/>
  <c r="E1885" i="69"/>
  <c r="E1884" i="69"/>
  <c r="E1883" i="69"/>
  <c r="E1882" i="69"/>
  <c r="E1881" i="69"/>
  <c r="E1880" i="69"/>
  <c r="E1879" i="69"/>
  <c r="E1878" i="69"/>
  <c r="E1877" i="69"/>
  <c r="E1876" i="69"/>
  <c r="E1875" i="69"/>
  <c r="E1874" i="69"/>
  <c r="E1873" i="69"/>
  <c r="E1872" i="69"/>
  <c r="E1871" i="69"/>
  <c r="E1870" i="69"/>
  <c r="E1869" i="69"/>
  <c r="E1868" i="69"/>
  <c r="E1867" i="69"/>
  <c r="E1866" i="69"/>
  <c r="E1865" i="69"/>
  <c r="E1864" i="69"/>
  <c r="E1863" i="69"/>
  <c r="E1862" i="69"/>
  <c r="E1861" i="69"/>
  <c r="E1860" i="69"/>
  <c r="E1859" i="69"/>
  <c r="E1858" i="69"/>
  <c r="E1857" i="69"/>
  <c r="E1856" i="69"/>
  <c r="E1855" i="69"/>
  <c r="E1854" i="69"/>
  <c r="E1853" i="69"/>
  <c r="E1852" i="69"/>
  <c r="E1851" i="69"/>
  <c r="E1850" i="69"/>
  <c r="E1849" i="69"/>
  <c r="E1848" i="69"/>
  <c r="E1847" i="69"/>
  <c r="E1846" i="69"/>
  <c r="E1845" i="69"/>
  <c r="E1844" i="69"/>
  <c r="E1843" i="69"/>
  <c r="E1842" i="69"/>
  <c r="E1841" i="69"/>
  <c r="E1840" i="69"/>
  <c r="E1839" i="69"/>
  <c r="E1838" i="69"/>
  <c r="E1837" i="69"/>
  <c r="E1836" i="69"/>
  <c r="E1835" i="69"/>
  <c r="E1834" i="69"/>
  <c r="E1833" i="69"/>
  <c r="E1832" i="69"/>
  <c r="E1831" i="69"/>
  <c r="E1830" i="69"/>
  <c r="E1829" i="69"/>
  <c r="E1828" i="69"/>
  <c r="E1827" i="69"/>
  <c r="E1826" i="69"/>
  <c r="E1825" i="69"/>
  <c r="E1824" i="69"/>
  <c r="E1823" i="69"/>
  <c r="E1822" i="69"/>
  <c r="E1821" i="69"/>
  <c r="E1820" i="69"/>
  <c r="E1819" i="69"/>
  <c r="E1818" i="69"/>
  <c r="E1817" i="69"/>
  <c r="E1816" i="69"/>
  <c r="E1815" i="69"/>
  <c r="E1814" i="69"/>
  <c r="E1813" i="69"/>
  <c r="E1812" i="69"/>
  <c r="E1811" i="69"/>
  <c r="E1810" i="69"/>
  <c r="E1809" i="69"/>
  <c r="E1808" i="69"/>
  <c r="E1807" i="69"/>
  <c r="E1806" i="69"/>
  <c r="E1805" i="69"/>
  <c r="E1804" i="69"/>
  <c r="E1803" i="69"/>
  <c r="E1802" i="69"/>
  <c r="E1801" i="69"/>
  <c r="E1800" i="69"/>
  <c r="E1799" i="69"/>
  <c r="E1798" i="69"/>
  <c r="E1797" i="69"/>
  <c r="E1796" i="69"/>
  <c r="E1795" i="69"/>
  <c r="E1794" i="69"/>
  <c r="E1793" i="69"/>
  <c r="E1792" i="69"/>
  <c r="E1791" i="69"/>
  <c r="E1790" i="69"/>
  <c r="E1789" i="69"/>
  <c r="E1788" i="69"/>
  <c r="E1787" i="69"/>
  <c r="E1786" i="69"/>
  <c r="E1785" i="69"/>
  <c r="E1784" i="69"/>
  <c r="E1783" i="69"/>
  <c r="E1782" i="69"/>
  <c r="E1781" i="69"/>
  <c r="E1780" i="69"/>
  <c r="E1779" i="69"/>
  <c r="E1778" i="69"/>
  <c r="E1777" i="69"/>
  <c r="E1776" i="69"/>
  <c r="E1775" i="69"/>
  <c r="E1774" i="69"/>
  <c r="E1773" i="69"/>
  <c r="E1772" i="69"/>
  <c r="E1771" i="69"/>
  <c r="E1770" i="69"/>
  <c r="E1769" i="69"/>
  <c r="E1768" i="69"/>
  <c r="E1767" i="69"/>
  <c r="E1766" i="69"/>
  <c r="E1765" i="69"/>
  <c r="E1764" i="69"/>
  <c r="E1763" i="69"/>
  <c r="E1762" i="69"/>
  <c r="E1761" i="69"/>
  <c r="E1760" i="69"/>
  <c r="E1759" i="69"/>
  <c r="E1758" i="69"/>
  <c r="E1757" i="69"/>
  <c r="E1756" i="69"/>
  <c r="E1755" i="69"/>
  <c r="E1754" i="69"/>
  <c r="E1753" i="69"/>
  <c r="E1752" i="69"/>
  <c r="E1751" i="69"/>
  <c r="E1750" i="69"/>
  <c r="E1749" i="69"/>
  <c r="E1748" i="69"/>
  <c r="E1747" i="69"/>
  <c r="E1746" i="69"/>
  <c r="E1745" i="69"/>
  <c r="E1744" i="69"/>
  <c r="E1743" i="69"/>
  <c r="E1742" i="69"/>
  <c r="E1741" i="69"/>
  <c r="E1740" i="69"/>
  <c r="E1739" i="69"/>
  <c r="E1738" i="69"/>
  <c r="E1737" i="69"/>
  <c r="E1736" i="69"/>
  <c r="E1735" i="69"/>
  <c r="E1734" i="69"/>
  <c r="E1733" i="69"/>
  <c r="E1732" i="69"/>
  <c r="E1731" i="69"/>
  <c r="E1730" i="69"/>
  <c r="E1729" i="69"/>
  <c r="E1728" i="69"/>
  <c r="E1727" i="69"/>
  <c r="E1726" i="69"/>
  <c r="E1725" i="69"/>
  <c r="E1724" i="69"/>
  <c r="E1723" i="69"/>
  <c r="E1722" i="69"/>
  <c r="E1721" i="69"/>
  <c r="E1720" i="69"/>
  <c r="E1719" i="69"/>
  <c r="E1718" i="69"/>
  <c r="E1717" i="69"/>
  <c r="E1716" i="69"/>
  <c r="E1715" i="69"/>
  <c r="E1714" i="69"/>
  <c r="E1713" i="69"/>
  <c r="E1712" i="69"/>
  <c r="E1711" i="69"/>
  <c r="E1710" i="69"/>
  <c r="E1709" i="69"/>
  <c r="E1708" i="69"/>
  <c r="E1707" i="69"/>
  <c r="E1706" i="69"/>
  <c r="E1705" i="69"/>
  <c r="E1704" i="69"/>
  <c r="E1703" i="69"/>
  <c r="E1702" i="69"/>
  <c r="E1701" i="69"/>
  <c r="E1700" i="69"/>
  <c r="E1699" i="69"/>
  <c r="E1698" i="69"/>
  <c r="E1697" i="69"/>
  <c r="E1696" i="69"/>
  <c r="E1695" i="69"/>
  <c r="E1694" i="69"/>
  <c r="E1693" i="69"/>
  <c r="E1692" i="69"/>
  <c r="E1691" i="69"/>
  <c r="E1690" i="69"/>
  <c r="E1689" i="69"/>
  <c r="E1688" i="69"/>
  <c r="E1687" i="69"/>
  <c r="E1686" i="69"/>
  <c r="E1685" i="69"/>
  <c r="E1684" i="69"/>
  <c r="E1683" i="69"/>
  <c r="E1682" i="69"/>
  <c r="E1681" i="69"/>
  <c r="E1680" i="69"/>
  <c r="E1679" i="69"/>
  <c r="E1678" i="69"/>
  <c r="E1677" i="69"/>
  <c r="E1676" i="69"/>
  <c r="E1675" i="69"/>
  <c r="E1674" i="69"/>
  <c r="E1673" i="69"/>
  <c r="E1672" i="69"/>
  <c r="E1671" i="69"/>
  <c r="E1670" i="69"/>
  <c r="E1669" i="69"/>
  <c r="E1668" i="69"/>
  <c r="E1667" i="69"/>
  <c r="E1666" i="69"/>
  <c r="E1665" i="69"/>
  <c r="E1664" i="69"/>
  <c r="E1663" i="69"/>
  <c r="E1662" i="69"/>
  <c r="E1661" i="69"/>
  <c r="E1660" i="69"/>
  <c r="E1659" i="69"/>
  <c r="E1658" i="69"/>
  <c r="E1657" i="69"/>
  <c r="E1656" i="69"/>
  <c r="E1655" i="69"/>
  <c r="E1654" i="69"/>
  <c r="E1653" i="69"/>
  <c r="E1652" i="69"/>
  <c r="E1651" i="69"/>
  <c r="E1650" i="69"/>
  <c r="E1649" i="69"/>
  <c r="E1648" i="69"/>
  <c r="E1647" i="69"/>
  <c r="E1646" i="69"/>
  <c r="E1645" i="69"/>
  <c r="E1644" i="69"/>
  <c r="E1643" i="69"/>
  <c r="E1642" i="69"/>
  <c r="E1641" i="69"/>
  <c r="E1640" i="69"/>
  <c r="E1639" i="69"/>
  <c r="E1638" i="69"/>
  <c r="E1637" i="69"/>
  <c r="E1636" i="69"/>
  <c r="E1635" i="69"/>
  <c r="E1634" i="69"/>
  <c r="E1633" i="69"/>
  <c r="E1632" i="69"/>
  <c r="E1631" i="69"/>
  <c r="E1630" i="69"/>
  <c r="E1629" i="69"/>
  <c r="E1628" i="69"/>
  <c r="E1627" i="69"/>
  <c r="E1626" i="69"/>
  <c r="E1625" i="69"/>
  <c r="E1624" i="69"/>
  <c r="E1623" i="69"/>
  <c r="E1622" i="69"/>
  <c r="E1621" i="69"/>
  <c r="E1620" i="69"/>
  <c r="E1619" i="69"/>
  <c r="E1618" i="69"/>
  <c r="E1617" i="69"/>
  <c r="E1616" i="69"/>
  <c r="E1615" i="69"/>
  <c r="E1614" i="69"/>
  <c r="E1613" i="69"/>
  <c r="E1612" i="69"/>
  <c r="E1611" i="69"/>
  <c r="E1610" i="69"/>
  <c r="E1609" i="69"/>
  <c r="E1608" i="69"/>
  <c r="E1607" i="69"/>
  <c r="E1606" i="69"/>
  <c r="E1605" i="69"/>
  <c r="E1604" i="69"/>
  <c r="E1603" i="69"/>
  <c r="E1602" i="69"/>
  <c r="E1601" i="69"/>
  <c r="E1600" i="69"/>
  <c r="E1599" i="69"/>
  <c r="E1598" i="69"/>
  <c r="E1597" i="69"/>
  <c r="E1596" i="69"/>
  <c r="E1595" i="69"/>
  <c r="E1594" i="69"/>
  <c r="E1593" i="69"/>
  <c r="E1592" i="69"/>
  <c r="E1591" i="69"/>
  <c r="E1590" i="69"/>
  <c r="E1589" i="69"/>
  <c r="E1588" i="69"/>
  <c r="E1587" i="69"/>
  <c r="E1586" i="69"/>
  <c r="E1585" i="69"/>
  <c r="E1584" i="69"/>
  <c r="E1583" i="69"/>
  <c r="E1582" i="69"/>
  <c r="E1581" i="69"/>
  <c r="E1580" i="69"/>
  <c r="E1579" i="69"/>
  <c r="E1578" i="69"/>
  <c r="E1577" i="69"/>
  <c r="E1576" i="69"/>
  <c r="E1575" i="69"/>
  <c r="E1574" i="69"/>
  <c r="E1573" i="69"/>
  <c r="E1572" i="69"/>
  <c r="E1571" i="69"/>
  <c r="E1570" i="69"/>
  <c r="E1569" i="69"/>
  <c r="E1568" i="69"/>
  <c r="E1567" i="69"/>
  <c r="E1566" i="69"/>
  <c r="E1565" i="69"/>
  <c r="E1564" i="69"/>
  <c r="E1563" i="69"/>
  <c r="E1562" i="69"/>
  <c r="E1561" i="69"/>
  <c r="E1560" i="69"/>
  <c r="E1559" i="69"/>
  <c r="E1558" i="69"/>
  <c r="E1557" i="69"/>
  <c r="E1556" i="69"/>
  <c r="E1555" i="69"/>
  <c r="E1554" i="69"/>
  <c r="E1553" i="69"/>
  <c r="E1552" i="69"/>
  <c r="E1551" i="69"/>
  <c r="E1550" i="69"/>
  <c r="E1549" i="69"/>
  <c r="E1548" i="69"/>
  <c r="E1547" i="69"/>
  <c r="E1546" i="69"/>
  <c r="E1545" i="69"/>
  <c r="E1544" i="69"/>
  <c r="E1543" i="69"/>
  <c r="E1542" i="69"/>
  <c r="E1541" i="69"/>
  <c r="E1540" i="69"/>
  <c r="E1539" i="69"/>
  <c r="E1538" i="69"/>
  <c r="E1537" i="69"/>
  <c r="E1536" i="69"/>
  <c r="E1535" i="69"/>
  <c r="E1534" i="69"/>
  <c r="E1533" i="69"/>
  <c r="E1532" i="69"/>
  <c r="E1531" i="69"/>
  <c r="E1530" i="69"/>
  <c r="E1529" i="69"/>
  <c r="E1528" i="69"/>
  <c r="E1527" i="69"/>
  <c r="E1526" i="69"/>
  <c r="E1525" i="69"/>
  <c r="E1524" i="69"/>
  <c r="E1523" i="69"/>
  <c r="E1522" i="69"/>
  <c r="E1521" i="69"/>
  <c r="E1520" i="69"/>
  <c r="E1519" i="69"/>
  <c r="E1518" i="69"/>
  <c r="E1517" i="69"/>
  <c r="E1516" i="69"/>
  <c r="E1515" i="69"/>
  <c r="E1514" i="69"/>
  <c r="E1513" i="69"/>
  <c r="E1512" i="69"/>
  <c r="E1511" i="69"/>
  <c r="E1510" i="69"/>
  <c r="E1509" i="69"/>
  <c r="E1508" i="69"/>
  <c r="E1507" i="69"/>
  <c r="E1506" i="69"/>
  <c r="E1505" i="69"/>
  <c r="E1504" i="69"/>
  <c r="E1503" i="69"/>
  <c r="E1502" i="69"/>
  <c r="E1501" i="69"/>
  <c r="E1500" i="69"/>
  <c r="E1499" i="69"/>
  <c r="E1498" i="69"/>
  <c r="E1497" i="69"/>
  <c r="E1496" i="69"/>
  <c r="E1495" i="69"/>
  <c r="E1494" i="69"/>
  <c r="E1493" i="69"/>
  <c r="E1492" i="69"/>
  <c r="E1491" i="69"/>
  <c r="E1490" i="69"/>
  <c r="E1489" i="69"/>
  <c r="E1488" i="69"/>
  <c r="E1487" i="69"/>
  <c r="E1486" i="69"/>
  <c r="E1485" i="69"/>
  <c r="E1484" i="69"/>
  <c r="E1483" i="69"/>
  <c r="E1482" i="69"/>
  <c r="E1481" i="69"/>
  <c r="E1480" i="69"/>
  <c r="E1479" i="69"/>
  <c r="E1478" i="69"/>
  <c r="E1477" i="69"/>
  <c r="E1476" i="69"/>
  <c r="E1475" i="69"/>
  <c r="E1474" i="69"/>
  <c r="E1473" i="69"/>
  <c r="E1472" i="69"/>
  <c r="E1471" i="69"/>
  <c r="E1470" i="69"/>
  <c r="E1469" i="69"/>
  <c r="E1468" i="69"/>
  <c r="E1467" i="69"/>
  <c r="E1466" i="69"/>
  <c r="E1465" i="69"/>
  <c r="E1464" i="69"/>
  <c r="E1463" i="69"/>
  <c r="E1462" i="69"/>
  <c r="E1461" i="69"/>
  <c r="E1460" i="69"/>
  <c r="E1459" i="69"/>
  <c r="E1458" i="69"/>
  <c r="E1457" i="69"/>
  <c r="E1456" i="69"/>
  <c r="E1455" i="69"/>
  <c r="E1454" i="69"/>
  <c r="E1453" i="69"/>
  <c r="E1452" i="69"/>
  <c r="E1451" i="69"/>
  <c r="E1450" i="69"/>
  <c r="E1449" i="69"/>
  <c r="E1448" i="69"/>
  <c r="E1447" i="69"/>
  <c r="E1446" i="69"/>
  <c r="E1445" i="69"/>
  <c r="E1444" i="69"/>
  <c r="E1443" i="69"/>
  <c r="E1442" i="69"/>
  <c r="E1441" i="69"/>
  <c r="E1440" i="69"/>
  <c r="E1439" i="69"/>
  <c r="E1438" i="69"/>
  <c r="E1437" i="69"/>
  <c r="E1436" i="69"/>
  <c r="E1435" i="69"/>
  <c r="E1434" i="69"/>
  <c r="E1433" i="69"/>
  <c r="E1432" i="69"/>
  <c r="E1431" i="69"/>
  <c r="E1430" i="69"/>
  <c r="E1429" i="69"/>
  <c r="E1428" i="69"/>
  <c r="E1427" i="69"/>
  <c r="E1426" i="69"/>
  <c r="E1425" i="69"/>
  <c r="E1424" i="69"/>
  <c r="E1423" i="69"/>
  <c r="E1422" i="69"/>
  <c r="E1421" i="69"/>
  <c r="E1420" i="69"/>
  <c r="E1419" i="69"/>
  <c r="E1418" i="69"/>
  <c r="E1417" i="69"/>
  <c r="E1416" i="69"/>
  <c r="E1415" i="69"/>
  <c r="E1414" i="69"/>
  <c r="E1413" i="69"/>
  <c r="E1412" i="69"/>
  <c r="E1411" i="69"/>
  <c r="E1410" i="69"/>
  <c r="E1409" i="69"/>
  <c r="E1408" i="69"/>
  <c r="E1407" i="69"/>
  <c r="E1406" i="69"/>
  <c r="E1405" i="69"/>
  <c r="E1404" i="69"/>
  <c r="E1403" i="69"/>
  <c r="E1402" i="69"/>
  <c r="E1401" i="69"/>
  <c r="E1400" i="69"/>
  <c r="E1399" i="69"/>
  <c r="E1398" i="69"/>
  <c r="E1397" i="69"/>
  <c r="E1396" i="69"/>
  <c r="E1395" i="69"/>
  <c r="E1394" i="69"/>
  <c r="E1393" i="69"/>
  <c r="E1392" i="69"/>
  <c r="E1391" i="69"/>
  <c r="E1390" i="69"/>
  <c r="E1389" i="69"/>
  <c r="E1388" i="69"/>
  <c r="E1387" i="69"/>
  <c r="E1386" i="69"/>
  <c r="E1385" i="69"/>
  <c r="E1384" i="69"/>
  <c r="E1383" i="69"/>
  <c r="E1382" i="69"/>
  <c r="E1381" i="69"/>
  <c r="E1380" i="69"/>
  <c r="E1379" i="69"/>
  <c r="E1378" i="69"/>
  <c r="E1377" i="69"/>
  <c r="E1376" i="69"/>
  <c r="E1375" i="69"/>
  <c r="E1374" i="69"/>
  <c r="E1373" i="69"/>
  <c r="E1372" i="69"/>
  <c r="E1371" i="69"/>
  <c r="E1370" i="69"/>
  <c r="E1369" i="69"/>
  <c r="E1368" i="69"/>
  <c r="E1367" i="69"/>
  <c r="E1366" i="69"/>
  <c r="E1365" i="69"/>
  <c r="E1364" i="69"/>
  <c r="E1363" i="69"/>
  <c r="E1362" i="69"/>
  <c r="E1361" i="69"/>
  <c r="E1360" i="69"/>
  <c r="E1359" i="69"/>
  <c r="E1358" i="69"/>
  <c r="E1357" i="69"/>
  <c r="E1356" i="69"/>
  <c r="E1355" i="69"/>
  <c r="E1354" i="69"/>
  <c r="E1353" i="69"/>
  <c r="E1352" i="69"/>
  <c r="E1351" i="69"/>
  <c r="E1350" i="69"/>
  <c r="E1349" i="69"/>
  <c r="E1348" i="69"/>
  <c r="E1347" i="69"/>
  <c r="E1346" i="69"/>
  <c r="E1345" i="69"/>
  <c r="E1344" i="69"/>
  <c r="E1343" i="69"/>
  <c r="E1342" i="69"/>
  <c r="E1341" i="69"/>
  <c r="E1340" i="69"/>
  <c r="E1339" i="69"/>
  <c r="E1338" i="69"/>
  <c r="E1337" i="69"/>
  <c r="E1336" i="69"/>
  <c r="E1335" i="69"/>
  <c r="E1334" i="69"/>
  <c r="E1333" i="69"/>
  <c r="E1332" i="69"/>
  <c r="E1331" i="69"/>
  <c r="E1330" i="69"/>
  <c r="E1329" i="69"/>
  <c r="E1328" i="69"/>
  <c r="E1327" i="69"/>
  <c r="E1326" i="69"/>
  <c r="E1325" i="69"/>
  <c r="E1324" i="69"/>
  <c r="E1323" i="69"/>
  <c r="E1322" i="69"/>
  <c r="E1321" i="69"/>
  <c r="E1320" i="69"/>
  <c r="E1319" i="69"/>
  <c r="E1317" i="69"/>
  <c r="E1316" i="69"/>
  <c r="E1315" i="69"/>
  <c r="E1314" i="69"/>
  <c r="E1313" i="69"/>
  <c r="E1312" i="69"/>
  <c r="E1311" i="69"/>
  <c r="E1310" i="69"/>
  <c r="E1309" i="69"/>
  <c r="E1308" i="69"/>
  <c r="E1307" i="69"/>
  <c r="E1306" i="69"/>
  <c r="E1305" i="69"/>
  <c r="E1304" i="69"/>
  <c r="E1303" i="69"/>
  <c r="E1302" i="69"/>
  <c r="E1301" i="69"/>
  <c r="E1300" i="69"/>
  <c r="E1299" i="69"/>
  <c r="E1298" i="69"/>
  <c r="E1297" i="69"/>
  <c r="E1296" i="69"/>
  <c r="E1295" i="69"/>
  <c r="E1294" i="69"/>
  <c r="E1293" i="69"/>
  <c r="E1292" i="69"/>
  <c r="E1291" i="69"/>
  <c r="E1290" i="69"/>
  <c r="E1289" i="69"/>
  <c r="E1288" i="69"/>
  <c r="E1287" i="69"/>
  <c r="E1286" i="69"/>
  <c r="E1285" i="69"/>
  <c r="E1284" i="69"/>
  <c r="E1283" i="69"/>
  <c r="E1282" i="69"/>
  <c r="E1281" i="69"/>
  <c r="E1280" i="69"/>
  <c r="E1279" i="69"/>
  <c r="E1278" i="69"/>
  <c r="E1277" i="69"/>
  <c r="E1276" i="69"/>
  <c r="E1275" i="69"/>
  <c r="E1274" i="69"/>
  <c r="E1273" i="69"/>
  <c r="E1272" i="69"/>
  <c r="E1271" i="69"/>
  <c r="E1270" i="69"/>
  <c r="E1269" i="69"/>
  <c r="E1268" i="69"/>
  <c r="E1267" i="69"/>
  <c r="E1266" i="69"/>
  <c r="E1265" i="69"/>
  <c r="E1264" i="69"/>
  <c r="E1263" i="69"/>
  <c r="E1262" i="69"/>
  <c r="E1261" i="69"/>
  <c r="E1260" i="69"/>
  <c r="E1259" i="69"/>
  <c r="E1258" i="69"/>
  <c r="E1257" i="69"/>
  <c r="E1256" i="69"/>
  <c r="E1255" i="69"/>
  <c r="E1254" i="69"/>
  <c r="E1253" i="69"/>
  <c r="E1252" i="69"/>
  <c r="E1251" i="69"/>
  <c r="E1250" i="69"/>
  <c r="E1249" i="69"/>
  <c r="E1248" i="69"/>
  <c r="E1247" i="69"/>
  <c r="E1246" i="69"/>
  <c r="E1245" i="69"/>
  <c r="E1244" i="69"/>
  <c r="E1243" i="69"/>
  <c r="E1242" i="69"/>
  <c r="E1241" i="69"/>
  <c r="E1240" i="69"/>
  <c r="E1239" i="69"/>
  <c r="E1238" i="69"/>
  <c r="E1237" i="69"/>
  <c r="E1236" i="69"/>
  <c r="E1235" i="69"/>
  <c r="E1234" i="69"/>
  <c r="E1233" i="69"/>
  <c r="E1232" i="69"/>
  <c r="E1231" i="69"/>
  <c r="E1230" i="69"/>
  <c r="E1229" i="69"/>
  <c r="E1228" i="69"/>
  <c r="E1227" i="69"/>
  <c r="E1226" i="69"/>
  <c r="E1225" i="69"/>
  <c r="E1224" i="69"/>
  <c r="E1223" i="69"/>
  <c r="E1222" i="69"/>
  <c r="E1221" i="69"/>
  <c r="E1220" i="69"/>
  <c r="E1219" i="69"/>
  <c r="E1218" i="69"/>
  <c r="E1217" i="69"/>
  <c r="E1216" i="69"/>
  <c r="E1215" i="69"/>
  <c r="E1214" i="69"/>
  <c r="E1213" i="69"/>
  <c r="E1212" i="69"/>
  <c r="E1211" i="69"/>
  <c r="E1210" i="69"/>
  <c r="E1209" i="69"/>
  <c r="E1208" i="69"/>
  <c r="E1207" i="69"/>
  <c r="E1206" i="69"/>
  <c r="E1205" i="69"/>
  <c r="E1204" i="69"/>
  <c r="E1203" i="69"/>
  <c r="E1202" i="69"/>
  <c r="E1201" i="69"/>
  <c r="E1200" i="69"/>
  <c r="E1199" i="69"/>
  <c r="E1198" i="69"/>
  <c r="E1197" i="69"/>
  <c r="E1196" i="69"/>
  <c r="E1195" i="69"/>
  <c r="E1194" i="69"/>
  <c r="E1193" i="69"/>
  <c r="E1192" i="69"/>
  <c r="E1191" i="69"/>
  <c r="E1190" i="69"/>
  <c r="E1189" i="69"/>
  <c r="E1188" i="69"/>
  <c r="E1187" i="69"/>
  <c r="E1186" i="69"/>
  <c r="E1185" i="69"/>
  <c r="E1184" i="69"/>
  <c r="E1183" i="69"/>
  <c r="E1182" i="69"/>
  <c r="E1181" i="69"/>
  <c r="E1180" i="69"/>
  <c r="E1179" i="69"/>
  <c r="E1178" i="69"/>
  <c r="E1177" i="69"/>
  <c r="E1176" i="69"/>
  <c r="E1175" i="69"/>
  <c r="E1174" i="69"/>
  <c r="E1173" i="69"/>
  <c r="E1172" i="69"/>
  <c r="E1171" i="69"/>
  <c r="E1170" i="69"/>
  <c r="E1169" i="69"/>
  <c r="E1168" i="69"/>
  <c r="E1167" i="69"/>
  <c r="E1166" i="69"/>
  <c r="E1165" i="69"/>
  <c r="E1164" i="69"/>
  <c r="E1163" i="69"/>
  <c r="E1162" i="69"/>
  <c r="E1161" i="69"/>
  <c r="E1160" i="69"/>
  <c r="E1159" i="69"/>
  <c r="E1158" i="69"/>
  <c r="E1157" i="69"/>
  <c r="E1156" i="69"/>
  <c r="E1155" i="69"/>
  <c r="E1154" i="69"/>
  <c r="E1153" i="69"/>
  <c r="E1152" i="69"/>
  <c r="E1151" i="69"/>
  <c r="E1150" i="69"/>
  <c r="E1149" i="69"/>
  <c r="E1148" i="69"/>
  <c r="E1147" i="69"/>
  <c r="E1146" i="69"/>
  <c r="E1145" i="69"/>
  <c r="E1144" i="69"/>
  <c r="E1143" i="69"/>
  <c r="E1142" i="69"/>
  <c r="E1141" i="69"/>
  <c r="E1140" i="69"/>
  <c r="E1139" i="69"/>
  <c r="E1138" i="69"/>
  <c r="E1137" i="69"/>
  <c r="E1136" i="69"/>
  <c r="E1135" i="69"/>
  <c r="E1134" i="69"/>
  <c r="E1133" i="69"/>
  <c r="E1132" i="69"/>
  <c r="E1131" i="69"/>
  <c r="E1130" i="69"/>
  <c r="E1129" i="69"/>
  <c r="E1128" i="69"/>
  <c r="E1127" i="69"/>
  <c r="E1126" i="69"/>
  <c r="E1125" i="69"/>
  <c r="E1124" i="69"/>
  <c r="E1123" i="69"/>
  <c r="E1122" i="69"/>
  <c r="E1121" i="69"/>
  <c r="E1120" i="69"/>
  <c r="E1119" i="69"/>
  <c r="E1118" i="69"/>
  <c r="E1117" i="69"/>
  <c r="E1116" i="69"/>
  <c r="E1115" i="69"/>
  <c r="E1114" i="69"/>
  <c r="E1113" i="69"/>
  <c r="E1112" i="69"/>
  <c r="E1111" i="69"/>
  <c r="E1110" i="69"/>
  <c r="E1109" i="69"/>
  <c r="E1108" i="69"/>
  <c r="E1107" i="69"/>
  <c r="E1106" i="69"/>
  <c r="E1105" i="69"/>
  <c r="E1104" i="69"/>
  <c r="E1103" i="69"/>
  <c r="E1102" i="69"/>
  <c r="E1101" i="69"/>
  <c r="E1100" i="69"/>
  <c r="E1099" i="69"/>
  <c r="E1098" i="69"/>
  <c r="E1097" i="69"/>
  <c r="E1096" i="69"/>
  <c r="E1095" i="69"/>
  <c r="E1094" i="69"/>
  <c r="E1093" i="69"/>
  <c r="E1092" i="69"/>
  <c r="E1091" i="69"/>
  <c r="E1090" i="69"/>
  <c r="E1089" i="69"/>
  <c r="E1088" i="69"/>
  <c r="E1087" i="69"/>
  <c r="E1086" i="69"/>
  <c r="E1085" i="69"/>
  <c r="E1084" i="69"/>
  <c r="E1083" i="69"/>
  <c r="E1082" i="69"/>
  <c r="E1081" i="69"/>
  <c r="E1080" i="69"/>
  <c r="E1079" i="69"/>
  <c r="E1078" i="69"/>
  <c r="E1077" i="69"/>
  <c r="E1076" i="69"/>
  <c r="E1075" i="69"/>
  <c r="E1074" i="69"/>
  <c r="E1073" i="69"/>
  <c r="E1072" i="69"/>
  <c r="E1071" i="69"/>
  <c r="E1070" i="69"/>
  <c r="E1069" i="69"/>
  <c r="E1068" i="69"/>
  <c r="E1067" i="69"/>
  <c r="E1066" i="69"/>
  <c r="E1065" i="69"/>
  <c r="E1064" i="69"/>
  <c r="E1063" i="69"/>
  <c r="E1062" i="69"/>
  <c r="E1061" i="69"/>
  <c r="E1060" i="69"/>
  <c r="E1059" i="69"/>
  <c r="E1058" i="69"/>
  <c r="E1057" i="69"/>
  <c r="E1056" i="69"/>
  <c r="E1055" i="69"/>
  <c r="E1054" i="69"/>
  <c r="E1053" i="69"/>
  <c r="E1052" i="69"/>
  <c r="E1051" i="69"/>
  <c r="E1050" i="69"/>
  <c r="E1049" i="69"/>
  <c r="E1048" i="69"/>
  <c r="E1047" i="69"/>
  <c r="E1046" i="69"/>
  <c r="E1045" i="69"/>
  <c r="E1044" i="69"/>
  <c r="E1043" i="69"/>
  <c r="E1042" i="69"/>
  <c r="E1041" i="69"/>
  <c r="E1040" i="69"/>
  <c r="E1039" i="69"/>
  <c r="E1038" i="69"/>
  <c r="E1037" i="69"/>
  <c r="E1036" i="69"/>
  <c r="E1035" i="69"/>
  <c r="E1034" i="69"/>
  <c r="E1033" i="69"/>
  <c r="E1032" i="69"/>
  <c r="E1031" i="69"/>
  <c r="E1030" i="69"/>
  <c r="E1029" i="69"/>
  <c r="E1028" i="69"/>
  <c r="E1027" i="69"/>
  <c r="E1026" i="69"/>
  <c r="E1025" i="69"/>
  <c r="E1024" i="69"/>
  <c r="E1023" i="69"/>
  <c r="E1022" i="69"/>
  <c r="E1021" i="69"/>
  <c r="E1020" i="69"/>
  <c r="E1019" i="69"/>
  <c r="E1018" i="69"/>
  <c r="E1017" i="69"/>
  <c r="E1016" i="69"/>
  <c r="E1015" i="69"/>
  <c r="E1014" i="69"/>
  <c r="E1013" i="69"/>
  <c r="E1012" i="69"/>
  <c r="E1011" i="69"/>
  <c r="E1010" i="69"/>
  <c r="E1009" i="69"/>
  <c r="E1008" i="69"/>
  <c r="E1007" i="69"/>
  <c r="E1006" i="69"/>
  <c r="E1005" i="69"/>
  <c r="E1004" i="69"/>
  <c r="E1003" i="69"/>
  <c r="E1002" i="69"/>
  <c r="E1001" i="69"/>
  <c r="E1000" i="69"/>
  <c r="E999" i="69"/>
  <c r="E998" i="69"/>
  <c r="E997" i="69"/>
  <c r="E996" i="69"/>
  <c r="E995" i="69"/>
  <c r="E994" i="69"/>
  <c r="E993" i="69"/>
  <c r="E992" i="69"/>
  <c r="E991" i="69"/>
  <c r="E990" i="69"/>
  <c r="E989" i="69"/>
  <c r="E988" i="69"/>
  <c r="E987" i="69"/>
  <c r="E986" i="69"/>
  <c r="E985" i="69"/>
  <c r="E984" i="69"/>
  <c r="E983" i="69"/>
  <c r="E982" i="69"/>
  <c r="E981" i="69"/>
  <c r="E980" i="69"/>
  <c r="E979" i="69"/>
  <c r="E978" i="69"/>
  <c r="E977" i="69"/>
  <c r="E976" i="69"/>
  <c r="E975" i="69"/>
  <c r="E974" i="69"/>
  <c r="E973" i="69"/>
  <c r="E972" i="69"/>
  <c r="E971" i="69"/>
  <c r="E970" i="69"/>
  <c r="E969" i="69"/>
  <c r="E968" i="69"/>
  <c r="E967" i="69"/>
  <c r="E966" i="69"/>
  <c r="E965" i="69"/>
  <c r="E964" i="69"/>
  <c r="E963" i="69"/>
  <c r="E962" i="69"/>
  <c r="E961" i="69"/>
  <c r="E960" i="69"/>
  <c r="E959" i="69"/>
  <c r="E958" i="69"/>
  <c r="E957" i="69"/>
  <c r="E956" i="69"/>
  <c r="E955" i="69"/>
  <c r="E954" i="69"/>
  <c r="E953" i="69"/>
  <c r="E952" i="69"/>
  <c r="E951" i="69"/>
  <c r="E950" i="69"/>
  <c r="E949" i="69"/>
  <c r="E948" i="69"/>
  <c r="E947" i="69"/>
  <c r="E946" i="69"/>
  <c r="E945" i="69"/>
  <c r="E944" i="69"/>
  <c r="E943" i="69"/>
  <c r="E942" i="69"/>
  <c r="E941" i="69"/>
  <c r="E940" i="69"/>
  <c r="E939" i="69"/>
  <c r="E938" i="69"/>
  <c r="E937" i="69"/>
  <c r="E936" i="69"/>
  <c r="E935" i="69"/>
  <c r="E934" i="69"/>
  <c r="E933" i="69"/>
  <c r="E932" i="69"/>
  <c r="E931" i="69"/>
  <c r="E930" i="69"/>
  <c r="E929" i="69"/>
  <c r="E928" i="69"/>
  <c r="E927" i="69"/>
  <c r="E926" i="69"/>
  <c r="E925" i="69"/>
  <c r="E924" i="69"/>
  <c r="E923" i="69"/>
  <c r="E922" i="69"/>
  <c r="E921" i="69"/>
  <c r="E920" i="69"/>
  <c r="E919" i="69"/>
  <c r="E918" i="69"/>
  <c r="E917" i="69"/>
  <c r="E916" i="69"/>
  <c r="E915" i="69"/>
  <c r="E914" i="69"/>
  <c r="E913" i="69"/>
  <c r="E912" i="69"/>
  <c r="E911" i="69"/>
  <c r="E910" i="69"/>
  <c r="E909" i="69"/>
  <c r="E908" i="69"/>
  <c r="E907" i="69"/>
  <c r="E906" i="69"/>
  <c r="E905" i="69"/>
  <c r="E904" i="69"/>
  <c r="E903" i="69"/>
  <c r="E902" i="69"/>
  <c r="E901" i="69"/>
  <c r="E900" i="69"/>
  <c r="E899" i="69"/>
  <c r="E898" i="69"/>
  <c r="E897" i="69"/>
  <c r="E896" i="69"/>
  <c r="E895" i="69"/>
  <c r="E894" i="69"/>
  <c r="E893" i="69"/>
  <c r="E892" i="69"/>
  <c r="E891" i="69"/>
  <c r="E890" i="69"/>
  <c r="E889" i="69"/>
  <c r="E888" i="69"/>
  <c r="E887" i="69"/>
  <c r="E886" i="69"/>
  <c r="E885" i="69"/>
  <c r="E884" i="69"/>
  <c r="E883" i="69"/>
  <c r="E882" i="69"/>
  <c r="E881" i="69"/>
  <c r="E880" i="69"/>
  <c r="E879" i="69"/>
  <c r="E878" i="69"/>
  <c r="E877" i="69"/>
  <c r="E876" i="69"/>
  <c r="E875" i="69"/>
  <c r="E874" i="69"/>
  <c r="E873" i="69"/>
  <c r="E872" i="69"/>
  <c r="E871" i="69"/>
  <c r="E870" i="69"/>
  <c r="E869" i="69"/>
  <c r="E868" i="69"/>
  <c r="E867" i="69"/>
  <c r="E866" i="69"/>
  <c r="E865" i="69"/>
  <c r="E864" i="69"/>
  <c r="E863" i="69"/>
  <c r="E862" i="69"/>
  <c r="E861" i="69"/>
  <c r="E860" i="69"/>
  <c r="E859" i="69"/>
  <c r="E858" i="69"/>
  <c r="E857" i="69"/>
  <c r="E856" i="69"/>
  <c r="E855" i="69"/>
  <c r="E854" i="69"/>
  <c r="E853" i="69"/>
  <c r="E852" i="69"/>
  <c r="E851" i="69"/>
  <c r="E850" i="69"/>
  <c r="E849" i="69"/>
  <c r="E848" i="69"/>
  <c r="E847" i="69"/>
  <c r="E846" i="69"/>
  <c r="E845" i="69"/>
  <c r="E844" i="69"/>
  <c r="E843" i="69"/>
  <c r="E842" i="69"/>
  <c r="E841" i="69"/>
  <c r="E840" i="69"/>
  <c r="E839" i="69"/>
  <c r="E838" i="69"/>
  <c r="E837" i="69"/>
  <c r="E836" i="69"/>
  <c r="E835" i="69"/>
  <c r="E834" i="69"/>
  <c r="E833" i="69"/>
  <c r="E832" i="69"/>
  <c r="E831" i="69"/>
  <c r="E830" i="69"/>
  <c r="E829" i="69"/>
  <c r="E828" i="69"/>
  <c r="E827" i="69"/>
  <c r="E826" i="69"/>
  <c r="E825" i="69"/>
  <c r="E824" i="69"/>
  <c r="E823" i="69"/>
  <c r="E822" i="69"/>
  <c r="E821" i="69"/>
  <c r="E820" i="69"/>
  <c r="E819" i="69"/>
  <c r="E818" i="69"/>
  <c r="E817" i="69"/>
  <c r="E816" i="69"/>
  <c r="E815" i="69"/>
  <c r="E814" i="69"/>
  <c r="E813" i="69"/>
  <c r="E812" i="69"/>
  <c r="E811" i="69"/>
  <c r="E810" i="69"/>
  <c r="E809" i="69"/>
  <c r="E808" i="69"/>
  <c r="E807" i="69"/>
  <c r="E806" i="69"/>
  <c r="E805" i="69"/>
  <c r="E804" i="69"/>
  <c r="E803" i="69"/>
  <c r="E802" i="69"/>
  <c r="E801" i="69"/>
  <c r="E800" i="69"/>
  <c r="E799" i="69"/>
  <c r="E798" i="69"/>
  <c r="E797" i="69"/>
  <c r="E796" i="69"/>
  <c r="E795" i="69"/>
  <c r="E794" i="69"/>
  <c r="E793" i="69"/>
  <c r="E792" i="69"/>
  <c r="E791" i="69"/>
  <c r="E790" i="69"/>
  <c r="E789" i="69"/>
  <c r="E788" i="69"/>
  <c r="E787" i="69"/>
  <c r="E786" i="69"/>
  <c r="E785" i="69"/>
  <c r="E784" i="69"/>
  <c r="E783" i="69"/>
  <c r="E782" i="69"/>
  <c r="E781" i="69"/>
  <c r="E780" i="69"/>
  <c r="E779" i="69"/>
  <c r="E778" i="69"/>
  <c r="E777" i="69"/>
  <c r="E776" i="69"/>
  <c r="E775" i="69"/>
  <c r="E774" i="69"/>
  <c r="E773" i="69"/>
  <c r="E772" i="69"/>
  <c r="E771" i="69"/>
  <c r="E770" i="69"/>
  <c r="E769" i="69"/>
  <c r="E768" i="69"/>
  <c r="E767" i="69"/>
  <c r="E766" i="69"/>
  <c r="E765" i="69"/>
  <c r="E764" i="69"/>
  <c r="E763" i="69"/>
  <c r="E762" i="69"/>
  <c r="E761" i="69"/>
  <c r="E760" i="69"/>
  <c r="E759" i="69"/>
  <c r="E758" i="69"/>
  <c r="E757" i="69"/>
  <c r="E756" i="69"/>
  <c r="E755" i="69"/>
  <c r="E754" i="69"/>
  <c r="E753" i="69"/>
  <c r="E752" i="69"/>
  <c r="E751" i="69"/>
  <c r="E750" i="69"/>
  <c r="E749" i="69"/>
  <c r="E748" i="69"/>
  <c r="E747" i="69"/>
  <c r="E746" i="69"/>
  <c r="E745" i="69"/>
  <c r="E744" i="69"/>
  <c r="E743" i="69"/>
  <c r="E742" i="69"/>
  <c r="E741" i="69"/>
  <c r="E740" i="69"/>
  <c r="E739" i="69"/>
  <c r="E738" i="69"/>
  <c r="E737" i="69"/>
  <c r="E736" i="69"/>
  <c r="E735" i="69"/>
  <c r="E734" i="69"/>
  <c r="E733" i="69"/>
  <c r="E732" i="69"/>
  <c r="E731" i="69"/>
  <c r="E730" i="69"/>
  <c r="E729" i="69"/>
  <c r="E728" i="69"/>
  <c r="E727" i="69"/>
  <c r="E726" i="69"/>
  <c r="E725" i="69"/>
  <c r="E724" i="69"/>
  <c r="E723" i="69"/>
  <c r="E722" i="69"/>
  <c r="E721" i="69"/>
  <c r="E720" i="69"/>
  <c r="E719" i="69"/>
  <c r="E718" i="69"/>
  <c r="E717" i="69"/>
  <c r="E716" i="69"/>
  <c r="E715" i="69"/>
  <c r="E714" i="69"/>
  <c r="E713" i="69"/>
  <c r="E712" i="69"/>
  <c r="E711" i="69"/>
  <c r="E710" i="69"/>
  <c r="E709" i="69"/>
  <c r="E708" i="69"/>
  <c r="E707" i="69"/>
  <c r="E706" i="69"/>
  <c r="E705" i="69"/>
  <c r="E704" i="69"/>
  <c r="E703" i="69"/>
  <c r="E702" i="69"/>
  <c r="E701" i="69"/>
  <c r="E700" i="69"/>
  <c r="E699" i="69"/>
  <c r="E698" i="69"/>
  <c r="E697" i="69"/>
  <c r="E696" i="69"/>
  <c r="E695" i="69"/>
  <c r="E694" i="69"/>
  <c r="E693" i="69"/>
  <c r="E692" i="69"/>
  <c r="E691" i="69"/>
  <c r="E690" i="69"/>
  <c r="E689" i="69"/>
  <c r="E688" i="69"/>
  <c r="E687" i="69"/>
  <c r="E686" i="69"/>
  <c r="E685" i="69"/>
  <c r="E684" i="69"/>
  <c r="E683" i="69"/>
  <c r="E682" i="69"/>
  <c r="E681" i="69"/>
  <c r="E680" i="69"/>
  <c r="E679" i="69"/>
  <c r="E678" i="69"/>
  <c r="E677" i="69"/>
  <c r="E676" i="69"/>
  <c r="E675" i="69"/>
  <c r="E674" i="69"/>
  <c r="E673" i="69"/>
  <c r="E672" i="69"/>
  <c r="E671" i="69"/>
  <c r="E670" i="69"/>
  <c r="E669" i="69"/>
  <c r="E668" i="69"/>
  <c r="E667" i="69"/>
  <c r="E666" i="69"/>
  <c r="E665" i="69"/>
  <c r="E664" i="69"/>
  <c r="E663" i="69"/>
  <c r="E662" i="69"/>
  <c r="E661" i="69"/>
  <c r="E660" i="69"/>
  <c r="E659" i="69"/>
  <c r="E658" i="69"/>
  <c r="E657" i="69"/>
  <c r="E656" i="69"/>
  <c r="E655" i="69"/>
  <c r="E654" i="69"/>
  <c r="E653" i="69"/>
  <c r="E652" i="69"/>
  <c r="E651" i="69"/>
  <c r="E650" i="69"/>
  <c r="E649" i="69"/>
  <c r="E648" i="69"/>
  <c r="E647" i="69"/>
  <c r="E646" i="69"/>
  <c r="E645" i="69"/>
  <c r="E644" i="69"/>
  <c r="E643" i="69"/>
  <c r="E642" i="69"/>
  <c r="E641" i="69"/>
  <c r="E640" i="69"/>
  <c r="E639" i="69"/>
  <c r="E638" i="69"/>
  <c r="E637" i="69"/>
  <c r="E636" i="69"/>
  <c r="E635" i="69"/>
  <c r="E634" i="69"/>
  <c r="E633" i="69"/>
  <c r="E632" i="69"/>
  <c r="E631" i="69"/>
  <c r="E630" i="69"/>
  <c r="E629" i="69"/>
  <c r="E628" i="69"/>
  <c r="E627" i="69"/>
  <c r="E626" i="69"/>
  <c r="E625" i="69"/>
  <c r="E624" i="69"/>
  <c r="E623" i="69"/>
  <c r="E622" i="69"/>
  <c r="E621" i="69"/>
  <c r="E620" i="69"/>
  <c r="E619" i="69"/>
  <c r="E618" i="69"/>
  <c r="E617" i="69"/>
  <c r="E616" i="69"/>
  <c r="E615" i="69"/>
  <c r="E614" i="69"/>
  <c r="E613" i="69"/>
  <c r="E612" i="69"/>
  <c r="E611" i="69"/>
  <c r="E610" i="69"/>
  <c r="E609" i="69"/>
  <c r="E608" i="69"/>
  <c r="E607" i="69"/>
  <c r="E606" i="69"/>
  <c r="E605" i="69"/>
  <c r="E604" i="69"/>
  <c r="E603" i="69"/>
  <c r="E602" i="69"/>
  <c r="E601" i="69"/>
  <c r="E600" i="69"/>
  <c r="E599" i="69"/>
  <c r="E598" i="69"/>
  <c r="E597" i="69"/>
  <c r="E596" i="69"/>
  <c r="E595" i="69"/>
  <c r="E594" i="69"/>
  <c r="E593" i="69"/>
  <c r="E592" i="69"/>
  <c r="E591" i="69"/>
  <c r="E590" i="69"/>
  <c r="E589" i="69"/>
  <c r="E588" i="69"/>
  <c r="E587" i="69"/>
  <c r="E586" i="69"/>
  <c r="E585" i="69"/>
  <c r="E584" i="69"/>
  <c r="E583" i="69"/>
  <c r="E582" i="69"/>
  <c r="E581" i="69"/>
  <c r="E580" i="69"/>
  <c r="E579" i="69"/>
  <c r="E578" i="69"/>
  <c r="E577" i="69"/>
  <c r="E576" i="69"/>
  <c r="E575" i="69"/>
  <c r="E574" i="69"/>
  <c r="E573" i="69"/>
  <c r="E572" i="69"/>
  <c r="E571" i="69"/>
  <c r="E570" i="69"/>
  <c r="E569" i="69"/>
  <c r="E568" i="69"/>
  <c r="E567" i="69"/>
  <c r="E566" i="69"/>
  <c r="E565" i="69"/>
  <c r="E564" i="69"/>
  <c r="E563" i="69"/>
  <c r="E562" i="69"/>
  <c r="E561" i="69"/>
  <c r="E560" i="69"/>
  <c r="E559" i="69"/>
  <c r="E558" i="69"/>
  <c r="E557" i="69"/>
  <c r="E556" i="69"/>
  <c r="E555" i="69"/>
  <c r="E554" i="69"/>
  <c r="E553" i="69"/>
  <c r="E552" i="69"/>
  <c r="E551" i="69"/>
  <c r="E550" i="69"/>
  <c r="E549" i="69"/>
  <c r="E548" i="69"/>
  <c r="E547" i="69"/>
  <c r="E546" i="69"/>
  <c r="E545" i="69"/>
  <c r="E544" i="69"/>
  <c r="E543" i="69"/>
  <c r="E542" i="69"/>
  <c r="E541" i="69"/>
  <c r="E540" i="69"/>
  <c r="E539" i="69"/>
  <c r="E538" i="69"/>
  <c r="E537" i="69"/>
  <c r="E536" i="69"/>
  <c r="E535" i="69"/>
  <c r="E534" i="69"/>
  <c r="E533" i="69"/>
  <c r="E532" i="69"/>
  <c r="E531" i="69"/>
  <c r="E530" i="69"/>
  <c r="E529" i="69"/>
  <c r="E528" i="69"/>
  <c r="E527" i="69"/>
  <c r="E526" i="69"/>
  <c r="E525" i="69"/>
  <c r="E524" i="69"/>
  <c r="E523" i="69"/>
  <c r="E522" i="69"/>
  <c r="E521" i="69"/>
  <c r="E520" i="69"/>
  <c r="E519" i="69"/>
  <c r="E518" i="69"/>
  <c r="E517" i="69"/>
  <c r="E516" i="69"/>
  <c r="E515" i="69"/>
  <c r="E514" i="69"/>
  <c r="E513" i="69"/>
  <c r="E512" i="69"/>
  <c r="E511" i="69"/>
  <c r="E510" i="69"/>
  <c r="E509" i="69"/>
  <c r="E508" i="69"/>
  <c r="E507" i="69"/>
  <c r="E506" i="69"/>
  <c r="E505" i="69"/>
  <c r="E504" i="69"/>
  <c r="E503" i="69"/>
  <c r="E502" i="69"/>
  <c r="E501" i="69"/>
  <c r="E500" i="69"/>
  <c r="E499" i="69"/>
  <c r="E498" i="69"/>
  <c r="E497" i="69"/>
  <c r="E496" i="69"/>
  <c r="E495" i="69"/>
  <c r="E494" i="69"/>
  <c r="E493" i="69"/>
  <c r="E492" i="69"/>
  <c r="E491" i="69"/>
  <c r="E490" i="69"/>
  <c r="E489" i="69"/>
  <c r="E488" i="69"/>
  <c r="E487" i="69"/>
  <c r="E486" i="69"/>
  <c r="E485" i="69"/>
  <c r="E484" i="69"/>
  <c r="E483" i="69"/>
  <c r="E482" i="69"/>
  <c r="E481" i="69"/>
  <c r="E480" i="69"/>
  <c r="E479" i="69"/>
  <c r="E478" i="69"/>
  <c r="E477" i="69"/>
  <c r="E476" i="69"/>
  <c r="E475" i="69"/>
  <c r="E474" i="69"/>
  <c r="E473" i="69"/>
  <c r="E472" i="69"/>
  <c r="E471" i="69"/>
  <c r="E470" i="69"/>
  <c r="E469" i="69"/>
  <c r="E468" i="69"/>
  <c r="E467" i="69"/>
  <c r="E466" i="69"/>
  <c r="E465" i="69"/>
  <c r="E464" i="69"/>
  <c r="E463" i="69"/>
  <c r="E462" i="69"/>
  <c r="E461" i="69"/>
  <c r="E460" i="69"/>
  <c r="E459" i="69"/>
  <c r="E458" i="69"/>
  <c r="E457" i="69"/>
  <c r="E456" i="69"/>
  <c r="E455" i="69"/>
  <c r="E454" i="69"/>
  <c r="E453" i="69"/>
  <c r="E452" i="69"/>
  <c r="E451" i="69"/>
  <c r="E450" i="69"/>
  <c r="E449" i="69"/>
  <c r="E448" i="69"/>
  <c r="E447" i="69"/>
  <c r="E446" i="69"/>
  <c r="E445" i="69"/>
  <c r="E444" i="69"/>
  <c r="E443" i="69"/>
  <c r="E442" i="69"/>
  <c r="E441" i="69"/>
  <c r="E440" i="69"/>
  <c r="E439" i="69"/>
  <c r="E438" i="69"/>
  <c r="E437" i="69"/>
  <c r="E436" i="69"/>
  <c r="E435" i="69"/>
  <c r="E434" i="69"/>
  <c r="E433" i="69"/>
  <c r="E432" i="69"/>
  <c r="E431" i="69"/>
  <c r="E430" i="69"/>
  <c r="E429" i="69"/>
  <c r="E428" i="69"/>
  <c r="E427" i="69"/>
  <c r="E426" i="69"/>
  <c r="E425" i="69"/>
  <c r="E424" i="69"/>
  <c r="E423" i="69"/>
  <c r="E422" i="69"/>
  <c r="E421" i="69"/>
  <c r="E420" i="69"/>
  <c r="E419" i="69"/>
  <c r="E418" i="69"/>
  <c r="E417" i="69"/>
  <c r="E416" i="69"/>
  <c r="E415" i="69"/>
  <c r="E414" i="69"/>
  <c r="E413" i="69"/>
  <c r="E412" i="69"/>
  <c r="E411" i="69"/>
  <c r="E410" i="69"/>
  <c r="E409" i="69"/>
  <c r="E408" i="69"/>
  <c r="E407" i="69"/>
  <c r="E406" i="69"/>
  <c r="E405" i="69"/>
  <c r="E404" i="69"/>
  <c r="E403" i="69"/>
  <c r="E402" i="69"/>
  <c r="E401" i="69"/>
  <c r="E400" i="69"/>
  <c r="E399" i="69"/>
  <c r="E398" i="69"/>
  <c r="E397" i="69"/>
  <c r="E396" i="69"/>
  <c r="E395" i="69"/>
  <c r="E394" i="69"/>
  <c r="E393" i="69"/>
  <c r="E392" i="69"/>
  <c r="E391" i="69"/>
  <c r="E390" i="69"/>
  <c r="E389" i="69"/>
  <c r="E388" i="69"/>
  <c r="E387" i="69"/>
  <c r="E386" i="69"/>
  <c r="E385" i="69"/>
  <c r="E384" i="69"/>
  <c r="E383" i="69"/>
  <c r="E382" i="69"/>
  <c r="E381" i="69"/>
  <c r="E380" i="69"/>
  <c r="E379" i="69"/>
  <c r="E378" i="69"/>
  <c r="E377" i="69"/>
  <c r="E376" i="69"/>
  <c r="E375" i="69"/>
  <c r="E374" i="69"/>
  <c r="E373" i="69"/>
  <c r="E372" i="69"/>
  <c r="E371" i="69"/>
  <c r="E370" i="69"/>
  <c r="E369" i="69"/>
  <c r="E368" i="69"/>
  <c r="E367" i="69"/>
  <c r="E366" i="69"/>
  <c r="E365" i="69"/>
  <c r="E364" i="69"/>
  <c r="E363" i="69"/>
  <c r="E362" i="69"/>
  <c r="E361" i="69"/>
  <c r="E360" i="69"/>
  <c r="E359" i="69"/>
  <c r="E358" i="69"/>
  <c r="E357" i="69"/>
  <c r="E356" i="69"/>
  <c r="E355" i="69"/>
  <c r="E354" i="69"/>
  <c r="E353" i="69"/>
  <c r="E352" i="69"/>
  <c r="E351" i="69"/>
  <c r="E350" i="69"/>
  <c r="E349" i="69"/>
  <c r="E348" i="69"/>
  <c r="E347" i="69"/>
  <c r="E346" i="69"/>
  <c r="E345" i="69"/>
  <c r="E344" i="69"/>
  <c r="E343" i="69"/>
  <c r="E342" i="69"/>
  <c r="E341" i="69"/>
  <c r="E340" i="69"/>
  <c r="E339" i="69"/>
  <c r="E338" i="69"/>
  <c r="E337" i="69"/>
  <c r="E336" i="69"/>
  <c r="E335" i="69"/>
  <c r="E334" i="69"/>
  <c r="E333" i="69"/>
  <c r="E332" i="69"/>
  <c r="E331" i="69"/>
  <c r="E330" i="69"/>
  <c r="E329" i="69"/>
  <c r="E328" i="69"/>
  <c r="E327" i="69"/>
  <c r="E326" i="69"/>
  <c r="E325" i="69"/>
  <c r="E324" i="69"/>
  <c r="E323" i="69"/>
  <c r="E322" i="69"/>
  <c r="E321" i="69"/>
  <c r="E320" i="69"/>
  <c r="E319" i="69"/>
  <c r="E318" i="69"/>
  <c r="E317" i="69"/>
  <c r="E316" i="69"/>
  <c r="E315" i="69"/>
  <c r="E314" i="69"/>
  <c r="E313" i="69"/>
  <c r="E312" i="69"/>
  <c r="E311" i="69"/>
  <c r="E310" i="69"/>
  <c r="E309" i="69"/>
  <c r="E308" i="69"/>
  <c r="E307" i="69"/>
  <c r="E306" i="69"/>
  <c r="E305" i="69"/>
  <c r="E304" i="69"/>
  <c r="E303" i="69"/>
  <c r="E302" i="69"/>
  <c r="E301" i="69"/>
  <c r="E300" i="69"/>
  <c r="E299" i="69"/>
  <c r="E298" i="69"/>
  <c r="E297" i="69"/>
  <c r="E296" i="69"/>
  <c r="E295" i="69"/>
  <c r="E294" i="69"/>
  <c r="E293" i="69"/>
  <c r="E292" i="69"/>
  <c r="E291" i="69"/>
  <c r="E290" i="69"/>
  <c r="E289" i="69"/>
  <c r="E288" i="69"/>
  <c r="E287" i="69"/>
  <c r="E286" i="69"/>
  <c r="E285" i="69"/>
  <c r="E284" i="69"/>
  <c r="E283" i="69"/>
  <c r="E282" i="69"/>
  <c r="E281" i="69"/>
  <c r="E280" i="69"/>
  <c r="E279" i="69"/>
  <c r="E278" i="69"/>
  <c r="E277" i="69"/>
  <c r="E276" i="69"/>
  <c r="E275" i="69"/>
  <c r="E274" i="69"/>
  <c r="E273" i="69"/>
  <c r="E272" i="69"/>
  <c r="E271" i="69"/>
  <c r="E270" i="69"/>
  <c r="E269" i="69"/>
  <c r="E268" i="69"/>
  <c r="E267" i="69"/>
  <c r="E266" i="69"/>
  <c r="E265" i="69"/>
  <c r="E264" i="69"/>
  <c r="E263" i="69"/>
  <c r="E262" i="69"/>
  <c r="E261" i="69"/>
  <c r="E260" i="69"/>
  <c r="E259" i="69"/>
  <c r="E258" i="69"/>
  <c r="E257" i="69"/>
  <c r="E256" i="69"/>
  <c r="E255" i="69"/>
  <c r="E254" i="69"/>
  <c r="E253" i="69"/>
  <c r="E252" i="69"/>
  <c r="E251" i="69"/>
  <c r="E250" i="69"/>
  <c r="E249" i="69"/>
  <c r="E248" i="69"/>
  <c r="E247" i="69"/>
  <c r="E246" i="69"/>
  <c r="E245" i="69"/>
  <c r="E244" i="69"/>
  <c r="E243" i="69"/>
  <c r="E242" i="69"/>
  <c r="E241" i="69"/>
  <c r="E240" i="69"/>
  <c r="E239" i="69"/>
  <c r="E238" i="69"/>
  <c r="E237" i="69"/>
  <c r="E236" i="69"/>
  <c r="E235" i="69"/>
  <c r="E234" i="69"/>
  <c r="E233" i="69"/>
  <c r="E232" i="69"/>
  <c r="E231" i="69"/>
  <c r="E230" i="69"/>
  <c r="E229" i="69"/>
  <c r="E228" i="69"/>
  <c r="E227" i="69"/>
  <c r="E226" i="69"/>
  <c r="E225" i="69"/>
  <c r="E224" i="69"/>
  <c r="E223" i="69"/>
  <c r="E222" i="69"/>
  <c r="E221" i="69"/>
  <c r="E220" i="69"/>
  <c r="E219" i="69"/>
  <c r="E218" i="69"/>
  <c r="E217" i="69"/>
  <c r="E216" i="69"/>
  <c r="E215" i="69"/>
  <c r="E214" i="69"/>
  <c r="E213" i="69"/>
  <c r="E212" i="69"/>
  <c r="E211" i="69"/>
  <c r="E210" i="69"/>
  <c r="E209" i="69"/>
  <c r="E208" i="69"/>
  <c r="E207" i="69"/>
  <c r="E206" i="69"/>
  <c r="E205" i="69"/>
  <c r="E204" i="69"/>
  <c r="E203" i="69"/>
  <c r="E202" i="69"/>
  <c r="E201" i="69"/>
  <c r="E200" i="69"/>
  <c r="E199" i="69"/>
  <c r="E198" i="69"/>
  <c r="E197" i="69"/>
  <c r="E196" i="69"/>
  <c r="E195" i="69"/>
  <c r="E194" i="69"/>
  <c r="E193" i="69"/>
  <c r="E192" i="69"/>
  <c r="E191" i="69"/>
  <c r="E190" i="69"/>
  <c r="E189" i="69"/>
  <c r="E188" i="69"/>
  <c r="E187" i="69"/>
  <c r="E186" i="69"/>
  <c r="E185" i="69"/>
  <c r="E184" i="69"/>
  <c r="E183" i="69"/>
  <c r="E182" i="69"/>
  <c r="E181" i="69"/>
  <c r="E180" i="69"/>
  <c r="E179" i="69"/>
  <c r="E178" i="69"/>
  <c r="E177" i="69"/>
  <c r="E176" i="69"/>
  <c r="E175" i="69"/>
  <c r="E174" i="69"/>
  <c r="E173" i="69"/>
  <c r="E172" i="69"/>
  <c r="E171" i="69"/>
  <c r="E170" i="69"/>
  <c r="E169" i="69"/>
  <c r="E168" i="69"/>
  <c r="E167" i="69"/>
  <c r="E166" i="69"/>
  <c r="E165" i="69"/>
  <c r="E164" i="69"/>
  <c r="E163" i="69"/>
  <c r="E162" i="69"/>
  <c r="E161" i="69"/>
  <c r="E160" i="69"/>
  <c r="E159" i="69"/>
  <c r="E158" i="69"/>
  <c r="E157" i="69"/>
  <c r="E156" i="69"/>
  <c r="E155" i="69"/>
  <c r="E154" i="69"/>
  <c r="E153" i="69"/>
  <c r="E152" i="69"/>
  <c r="E151" i="69"/>
  <c r="E150" i="69"/>
  <c r="E149" i="69"/>
  <c r="E148" i="69"/>
  <c r="E147" i="69"/>
  <c r="E146" i="69"/>
  <c r="E145" i="69"/>
  <c r="E144" i="69"/>
  <c r="E143" i="69"/>
  <c r="E142" i="69"/>
  <c r="E141" i="69"/>
  <c r="E140" i="69"/>
  <c r="E139" i="69"/>
  <c r="E138" i="69"/>
  <c r="E137" i="69"/>
  <c r="E136" i="69"/>
  <c r="E135" i="69"/>
  <c r="E134" i="69"/>
  <c r="E133" i="69"/>
  <c r="E132" i="69"/>
  <c r="E131" i="69"/>
  <c r="E130" i="69"/>
  <c r="E129" i="69"/>
  <c r="E128" i="69"/>
  <c r="E127" i="69"/>
  <c r="E126" i="69"/>
  <c r="E125" i="69"/>
  <c r="E124" i="69"/>
  <c r="E123" i="69"/>
  <c r="E122" i="69"/>
  <c r="E121" i="69"/>
  <c r="E120" i="69"/>
  <c r="E119" i="69"/>
  <c r="E118" i="69"/>
  <c r="E117" i="69"/>
  <c r="E116" i="69"/>
  <c r="E115" i="69"/>
  <c r="E114" i="69"/>
  <c r="E113" i="69"/>
  <c r="E112" i="69"/>
  <c r="E111" i="69"/>
  <c r="E110" i="69"/>
  <c r="E109" i="69"/>
  <c r="E108" i="69"/>
  <c r="E107" i="69"/>
  <c r="E106" i="69"/>
  <c r="E105" i="69"/>
  <c r="E104" i="69"/>
  <c r="E103" i="69"/>
  <c r="E102" i="69"/>
  <c r="E101" i="69"/>
  <c r="E100" i="69"/>
  <c r="E99" i="69"/>
  <c r="E98" i="69"/>
  <c r="E97" i="69"/>
  <c r="E96" i="69"/>
  <c r="E95" i="69"/>
  <c r="E94" i="69"/>
  <c r="E93" i="69"/>
  <c r="E92" i="69"/>
  <c r="E91" i="69"/>
  <c r="E90" i="69"/>
  <c r="E89" i="69"/>
  <c r="E88" i="69"/>
  <c r="E87" i="69"/>
  <c r="E86" i="69"/>
  <c r="E85" i="69"/>
  <c r="E84" i="69"/>
  <c r="E83" i="69"/>
  <c r="E82" i="69"/>
  <c r="E81" i="69"/>
  <c r="E80" i="69"/>
  <c r="E79" i="69"/>
  <c r="E78" i="69"/>
  <c r="E77" i="69"/>
  <c r="E76" i="69"/>
  <c r="E75" i="69"/>
  <c r="E74" i="69"/>
  <c r="E73" i="69"/>
  <c r="E72" i="69"/>
  <c r="E71" i="69"/>
  <c r="E70" i="69"/>
  <c r="E69" i="69"/>
  <c r="E68" i="69"/>
  <c r="E67" i="69"/>
  <c r="E66" i="69"/>
  <c r="E65" i="69"/>
  <c r="E64" i="69"/>
  <c r="E63" i="69"/>
  <c r="E62" i="69"/>
  <c r="E61" i="69"/>
  <c r="E60" i="69"/>
  <c r="E59" i="69"/>
  <c r="E58" i="69"/>
  <c r="E57" i="69"/>
  <c r="E56" i="69"/>
  <c r="E55" i="69"/>
  <c r="E54" i="69"/>
  <c r="E53" i="69"/>
  <c r="E52" i="69"/>
  <c r="E51" i="69"/>
  <c r="E50" i="69"/>
  <c r="E49" i="69"/>
  <c r="E48" i="69"/>
  <c r="E47" i="69"/>
  <c r="E46" i="69"/>
  <c r="E45" i="69"/>
  <c r="E44" i="69"/>
  <c r="E43" i="69"/>
  <c r="E42" i="69"/>
  <c r="E41" i="69"/>
  <c r="E40" i="69"/>
  <c r="E39" i="69"/>
  <c r="E38" i="69"/>
  <c r="E37" i="69"/>
  <c r="E36" i="69"/>
  <c r="E35" i="69"/>
  <c r="E34" i="69"/>
  <c r="E33" i="69"/>
  <c r="E32" i="69"/>
  <c r="E31" i="69"/>
  <c r="E30" i="69"/>
  <c r="E29" i="69"/>
  <c r="E28" i="69"/>
  <c r="E27" i="69"/>
  <c r="E26" i="69"/>
  <c r="E25" i="69"/>
  <c r="E24" i="69"/>
  <c r="E23" i="69"/>
  <c r="E22" i="69"/>
  <c r="E21" i="69"/>
  <c r="E20" i="69"/>
  <c r="E19" i="69"/>
  <c r="E18" i="69"/>
  <c r="E17" i="69"/>
  <c r="E16" i="69"/>
  <c r="E15" i="69"/>
  <c r="E14" i="69"/>
  <c r="E13" i="69"/>
  <c r="E12" i="69"/>
  <c r="E11" i="69"/>
  <c r="E10" i="69"/>
  <c r="E9" i="69"/>
  <c r="G138" i="15"/>
  <c r="G135" i="15"/>
  <c r="K144" i="68" l="1"/>
  <c r="K130" i="68"/>
  <c r="J144" i="68"/>
  <c r="J130" i="68"/>
  <c r="I144" i="68"/>
  <c r="I130" i="68"/>
  <c r="H144" i="68"/>
  <c r="H130" i="68"/>
  <c r="D116" i="68"/>
  <c r="D105" i="68"/>
  <c r="D94" i="68"/>
  <c r="D83" i="68"/>
  <c r="D72" i="68"/>
  <c r="D61" i="68"/>
  <c r="D50" i="68"/>
  <c r="D39" i="68"/>
  <c r="D28" i="68"/>
  <c r="D17" i="68"/>
  <c r="B145" i="68"/>
  <c r="F16" i="68"/>
  <c r="G13" i="68" s="1"/>
  <c r="B146" i="68"/>
  <c r="B147" i="68"/>
  <c r="B148" i="68"/>
  <c r="F144" i="68"/>
  <c r="F130" i="68"/>
  <c r="E144" i="68"/>
  <c r="E130" i="68"/>
  <c r="G61" i="15"/>
  <c r="J24" i="60"/>
  <c r="J23" i="60"/>
  <c r="J22" i="60"/>
  <c r="J21" i="60"/>
  <c r="E24" i="60" a="1"/>
  <c r="E24" i="60" s="1"/>
  <c r="H17" i="60" s="1" a="1"/>
  <c r="H17" i="60" s="1"/>
  <c r="E23" i="60" a="1"/>
  <c r="E23" i="60" s="1"/>
  <c r="H16" i="60" s="1" a="1"/>
  <c r="H16" i="60" s="1"/>
  <c r="E22" i="60" a="1"/>
  <c r="E22" i="60" s="1"/>
  <c r="H15" i="60" s="1" a="1"/>
  <c r="H15" i="60" s="1"/>
  <c r="E21" i="60" a="1"/>
  <c r="E21" i="60" s="1"/>
  <c r="H14" i="60" s="1" a="1"/>
  <c r="H14" i="60" s="1"/>
  <c r="F90" i="60"/>
  <c r="F89" i="60"/>
  <c r="J148" i="68" l="1"/>
  <c r="K146" i="68"/>
  <c r="J147" i="68"/>
  <c r="K145" i="68"/>
  <c r="K147" i="68"/>
  <c r="I146" i="68"/>
  <c r="I148" i="68"/>
  <c r="C55" i="26" l="1"/>
  <c r="D5" i="66"/>
  <c r="E5" i="15"/>
  <c r="E5" i="55" l="1"/>
  <c r="F126" i="68"/>
  <c r="G116" i="68" s="1"/>
  <c r="F115" i="68"/>
  <c r="G105" i="68" s="1"/>
  <c r="F104" i="68"/>
  <c r="G94" i="68" s="1"/>
  <c r="J145" i="68" s="1"/>
  <c r="F93" i="68"/>
  <c r="G83" i="68" s="1"/>
  <c r="F82" i="68"/>
  <c r="G72" i="68" s="1"/>
  <c r="H147" i="68" s="1"/>
  <c r="H34" i="60" s="1"/>
  <c r="G179" i="60" s="1"/>
  <c r="F71" i="68"/>
  <c r="G61" i="68" s="1"/>
  <c r="F60" i="68"/>
  <c r="G50" i="68" s="1"/>
  <c r="F147" i="68" s="1"/>
  <c r="H30" i="60" s="1"/>
  <c r="G175" i="60" s="1"/>
  <c r="F49" i="68"/>
  <c r="G39" i="68" s="1"/>
  <c r="F38" i="68"/>
  <c r="G28" i="68" s="1"/>
  <c r="F146" i="68" s="1"/>
  <c r="H29" i="60" s="1"/>
  <c r="G174" i="60" s="1"/>
  <c r="F27" i="68"/>
  <c r="G17" i="68" s="1"/>
  <c r="C7" i="68"/>
  <c r="F148" i="68" l="1"/>
  <c r="H31" i="60" s="1"/>
  <c r="G176" i="60" s="1"/>
  <c r="J146" i="68"/>
  <c r="H145" i="68"/>
  <c r="H32" i="60" s="1"/>
  <c r="G177" i="60" s="1"/>
  <c r="K148" i="68"/>
  <c r="I145" i="68"/>
  <c r="I147" i="68"/>
  <c r="H148" i="68"/>
  <c r="H35" i="60" s="1"/>
  <c r="G180" i="60" s="1"/>
  <c r="H146" i="68"/>
  <c r="H33" i="60" s="1"/>
  <c r="G178" i="60" s="1"/>
  <c r="F131" i="68"/>
  <c r="F145" i="68"/>
  <c r="H28" i="60" s="1"/>
  <c r="G173" i="60" s="1"/>
  <c r="F127" i="68"/>
  <c r="G13" i="11" l="1"/>
  <c r="F13" i="11"/>
  <c r="E13" i="11"/>
  <c r="D13" i="11"/>
  <c r="G150" i="55"/>
  <c r="G149" i="55"/>
  <c r="K131" i="68" l="1"/>
  <c r="J132" i="68"/>
  <c r="I132" i="68"/>
  <c r="H131" i="68"/>
  <c r="M134" i="15"/>
  <c r="K140" i="68" l="1"/>
  <c r="F140" i="68"/>
  <c r="H140" i="68"/>
  <c r="J140" i="68"/>
  <c r="I131" i="68"/>
  <c r="J131" i="68"/>
  <c r="H93" i="66"/>
  <c r="E139" i="68" l="1"/>
  <c r="K137" i="68"/>
  <c r="J137" i="68"/>
  <c r="E135" i="68"/>
  <c r="K138" i="68"/>
  <c r="I137" i="68"/>
  <c r="H138" i="68"/>
  <c r="E138" i="68"/>
  <c r="H132" i="68" l="1"/>
  <c r="F135" i="68"/>
  <c r="I135" i="68"/>
  <c r="F139" i="68"/>
  <c r="K132" i="68"/>
  <c r="H136" i="68"/>
  <c r="H139" i="68"/>
  <c r="H135" i="68"/>
  <c r="H133" i="68"/>
  <c r="I136" i="68"/>
  <c r="I139" i="68"/>
  <c r="J133" i="68"/>
  <c r="K136" i="68"/>
  <c r="K133" i="68"/>
  <c r="H137" i="68"/>
  <c r="I140" i="68"/>
  <c r="F134" i="68"/>
  <c r="E133" i="68"/>
  <c r="H134" i="68"/>
  <c r="J135" i="68"/>
  <c r="E137" i="68"/>
  <c r="J139" i="68"/>
  <c r="F138" i="68"/>
  <c r="F133" i="68"/>
  <c r="I134" i="68"/>
  <c r="K135" i="68"/>
  <c r="F137" i="68"/>
  <c r="I138" i="68"/>
  <c r="K139" i="68"/>
  <c r="J134" i="68"/>
  <c r="E136" i="68"/>
  <c r="E132" i="68"/>
  <c r="J138" i="68"/>
  <c r="E140" i="68"/>
  <c r="F132" i="68"/>
  <c r="I133" i="68"/>
  <c r="K134" i="68"/>
  <c r="F136" i="68"/>
  <c r="E134" i="68"/>
  <c r="J136" i="68"/>
  <c r="H141" i="68" l="1"/>
  <c r="I141" i="68"/>
  <c r="J141" i="68"/>
  <c r="F141" i="68"/>
  <c r="E141" i="68"/>
  <c r="D91" i="66" s="1"/>
  <c r="K141" i="68"/>
  <c r="K95" i="60" l="1"/>
  <c r="H27" i="60"/>
  <c r="F91" i="66"/>
  <c r="K94" i="60"/>
  <c r="E91" i="66"/>
  <c r="K93" i="60"/>
  <c r="K88" i="60"/>
  <c r="G91" i="66"/>
  <c r="G172" i="60" l="1"/>
  <c r="H91" i="66"/>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95" i="60"/>
  <c r="H96" i="60"/>
  <c r="H91" i="60"/>
  <c r="H90" i="60"/>
  <c r="H89" i="60"/>
  <c r="J89" i="60" s="1"/>
  <c r="H88" i="60"/>
  <c r="F95" i="60"/>
  <c r="F91" i="60"/>
  <c r="F88" i="60"/>
  <c r="J95" i="60" l="1"/>
  <c r="J88" i="60"/>
  <c r="J91" i="60"/>
  <c r="J90" i="60"/>
  <c r="H119" i="60" l="1"/>
  <c r="G95" i="15" l="1"/>
  <c r="G7" i="58" l="1"/>
  <c r="G92" i="58" l="1"/>
  <c r="E92" i="58" s="1"/>
  <c r="G94" i="58"/>
  <c r="E94" i="58" s="1"/>
  <c r="G99" i="58"/>
  <c r="E99" i="58" s="1"/>
  <c r="G95" i="58"/>
  <c r="E95" i="58" s="1"/>
  <c r="G93" i="58"/>
  <c r="E93" i="58" s="1"/>
  <c r="G96" i="58"/>
  <c r="E96" i="58" s="1"/>
  <c r="G98" i="58"/>
  <c r="E98" i="58" s="1"/>
  <c r="G100" i="58"/>
  <c r="E100" i="58" s="1"/>
  <c r="G97" i="58"/>
  <c r="E97" i="58" s="1"/>
  <c r="G101" i="58"/>
  <c r="E101" i="58" s="1"/>
  <c r="N10" i="66"/>
  <c r="O10" i="66" s="1"/>
  <c r="P153" i="55"/>
  <c r="P151" i="55"/>
  <c r="P150" i="55"/>
  <c r="P149" i="55"/>
  <c r="E65" i="14"/>
  <c r="N97" i="52" l="1" a="1"/>
  <c r="N97" i="57" a="1"/>
  <c r="N97" i="56" a="1"/>
  <c r="C75" i="14"/>
  <c r="C74" i="14"/>
  <c r="F17" i="60"/>
  <c r="F16" i="60"/>
  <c r="F15" i="60"/>
  <c r="F14" i="60"/>
  <c r="R99" i="56" l="1"/>
  <c r="V100" i="56" s="1"/>
  <c r="R98" i="56"/>
  <c r="V99" i="56" s="1"/>
  <c r="S99" i="56"/>
  <c r="S98" i="56"/>
  <c r="R99" i="57"/>
  <c r="V100" i="57" s="1"/>
  <c r="S99" i="57"/>
  <c r="R98" i="57"/>
  <c r="V99" i="57" s="1"/>
  <c r="S98" i="57"/>
  <c r="N97" i="57"/>
  <c r="W97" i="57" a="1"/>
  <c r="W97" i="57" s="1"/>
  <c r="N97" i="56"/>
  <c r="W97" i="56" a="1"/>
  <c r="W97" i="56" s="1"/>
  <c r="R97" i="57"/>
  <c r="S97" i="57"/>
  <c r="N97" i="52"/>
  <c r="W97" i="52" a="1"/>
  <c r="W97" i="52" s="1"/>
  <c r="G14" i="60"/>
  <c r="G17" i="60"/>
  <c r="G16" i="60"/>
  <c r="G15" i="60"/>
  <c r="V98" i="57" l="1"/>
  <c r="Y234" i="58" a="1"/>
  <c r="Y234" i="58" s="1"/>
  <c r="S97" i="52"/>
  <c r="R97" i="52"/>
  <c r="S97" i="56"/>
  <c r="R97" i="56"/>
  <c r="V98" i="56" s="1"/>
  <c r="G77" i="58"/>
  <c r="G32" i="15"/>
  <c r="E28" i="14"/>
  <c r="AG92" i="57" a="1"/>
  <c r="AG92" i="57" s="1"/>
  <c r="AG91" i="57" a="1"/>
  <c r="AG91" i="57" s="1"/>
  <c r="S91" i="57"/>
  <c r="R91" i="57"/>
  <c r="V92" i="57" s="1"/>
  <c r="AG90" i="57" a="1"/>
  <c r="AG90" i="57" s="1"/>
  <c r="S90" i="57"/>
  <c r="R90" i="57"/>
  <c r="V91" i="57" s="1"/>
  <c r="AG89" i="57" a="1"/>
  <c r="AG89" i="57" s="1"/>
  <c r="S89" i="57"/>
  <c r="V90" i="57"/>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F79" i="58"/>
  <c r="L79" i="58" s="1"/>
  <c r="J79" i="58" s="1"/>
  <c r="F80" i="58"/>
  <c r="F81" i="58"/>
  <c r="L81" i="58" s="1"/>
  <c r="J81" i="58" s="1"/>
  <c r="F82" i="58"/>
  <c r="F83" i="58"/>
  <c r="F84" i="58"/>
  <c r="F85" i="58"/>
  <c r="L85" i="58" s="1"/>
  <c r="J85" i="58" s="1"/>
  <c r="F86" i="58"/>
  <c r="F77" i="58"/>
  <c r="C78" i="58"/>
  <c r="D78" i="58"/>
  <c r="C79" i="58"/>
  <c r="D79" i="58"/>
  <c r="C80" i="58"/>
  <c r="D80" i="58"/>
  <c r="C81" i="58"/>
  <c r="D81" i="58"/>
  <c r="C82" i="58"/>
  <c r="D82" i="58"/>
  <c r="C83" i="58"/>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68" i="55"/>
  <c r="A69" i="55" s="1"/>
  <c r="A70" i="55" s="1"/>
  <c r="A71" i="55" s="1"/>
  <c r="A72" i="55" s="1"/>
  <c r="A73" i="55" s="1"/>
  <c r="A74" i="55" s="1"/>
  <c r="A75" i="55" s="1"/>
  <c r="A76" i="55" s="1"/>
  <c r="S76" i="52"/>
  <c r="S75" i="52"/>
  <c r="S74" i="52"/>
  <c r="S73" i="52"/>
  <c r="S72" i="52"/>
  <c r="S71" i="52"/>
  <c r="S70" i="52"/>
  <c r="Y224" i="58" l="1" a="1"/>
  <c r="Y224" i="58" s="1"/>
  <c r="V98" i="52"/>
  <c r="Y214" i="58" a="1"/>
  <c r="Y214" i="58" s="1"/>
  <c r="S82" i="58"/>
  <c r="S83" i="58"/>
  <c r="S84" i="58"/>
  <c r="S80" i="58"/>
  <c r="S77" i="58"/>
  <c r="G153" i="55" s="1"/>
  <c r="S79" i="58"/>
  <c r="S86" i="58"/>
  <c r="S78" i="58"/>
  <c r="S85" i="58"/>
  <c r="S81" i="58"/>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L83" i="58"/>
  <c r="J83" i="58" s="1"/>
  <c r="L77" i="58"/>
  <c r="J77" i="58" s="1"/>
  <c r="L84" i="58"/>
  <c r="J84" i="58" s="1"/>
  <c r="R83" i="57"/>
  <c r="V84" i="57" s="1"/>
  <c r="S83" i="57"/>
  <c r="L80" i="58"/>
  <c r="J80" i="58" s="1"/>
  <c r="E77" i="58"/>
  <c r="L78" i="58"/>
  <c r="J78" i="58" s="1"/>
  <c r="L82" i="58"/>
  <c r="J82" i="58" s="1"/>
  <c r="L86" i="58"/>
  <c r="J86" i="58" s="1"/>
  <c r="R68" i="57"/>
  <c r="V69" i="57" s="1"/>
  <c r="S68" i="57"/>
  <c r="J65" i="58"/>
  <c r="N92" i="58" l="1"/>
  <c r="O92" i="58" s="1"/>
  <c r="N101" i="58"/>
  <c r="O101" i="58" s="1"/>
  <c r="N96" i="58"/>
  <c r="O96" i="58" s="1"/>
  <c r="N95" i="58"/>
  <c r="O95" i="58" s="1"/>
  <c r="N98" i="58"/>
  <c r="O98" i="58" s="1"/>
  <c r="N97" i="58"/>
  <c r="O97" i="58" s="1"/>
  <c r="N100" i="58"/>
  <c r="O100" i="58" s="1"/>
  <c r="N93" i="58"/>
  <c r="O93" i="58" s="1"/>
  <c r="N99" i="58"/>
  <c r="O99" i="58" s="1"/>
  <c r="N94" i="58"/>
  <c r="O94" i="58" s="1"/>
  <c r="N82" i="57" a="1"/>
  <c r="N82" i="57" s="1"/>
  <c r="N82" i="56" a="1"/>
  <c r="N82" i="56" s="1"/>
  <c r="W82" i="57" a="1"/>
  <c r="W82" i="57" s="1"/>
  <c r="N82" i="52" a="1"/>
  <c r="N82" i="52" s="1"/>
  <c r="S82" i="52" s="1"/>
  <c r="N67" i="57" a="1"/>
  <c r="N67" i="56" a="1"/>
  <c r="N67" i="52" a="1"/>
  <c r="N67" i="52" s="1"/>
  <c r="R67" i="52" s="1"/>
  <c r="P100" i="58" l="1"/>
  <c r="Q100" i="58" s="1"/>
  <c r="R100" i="58" s="1"/>
  <c r="P97" i="58"/>
  <c r="Q97" i="58" s="1"/>
  <c r="R97" i="58" s="1"/>
  <c r="P98" i="58"/>
  <c r="Q98" i="58" s="1"/>
  <c r="R98" i="58" s="1"/>
  <c r="P93" i="58"/>
  <c r="Q93" i="58" s="1"/>
  <c r="R93" i="58" s="1"/>
  <c r="P95" i="58"/>
  <c r="Q95" i="58" s="1"/>
  <c r="R95" i="58" s="1"/>
  <c r="P99" i="58"/>
  <c r="Q99" i="58" s="1"/>
  <c r="R99" i="58" s="1"/>
  <c r="P96" i="58"/>
  <c r="Q96" i="58" s="1"/>
  <c r="R96" i="58" s="1"/>
  <c r="P94" i="58"/>
  <c r="Q94" i="58" s="1"/>
  <c r="R94" i="58" s="1"/>
  <c r="P101" i="58"/>
  <c r="Q101" i="58" s="1"/>
  <c r="R101" i="58" s="1"/>
  <c r="P92" i="58"/>
  <c r="Q92" i="58" s="1"/>
  <c r="R92" i="58" s="1"/>
  <c r="R69" i="56"/>
  <c r="V70" i="56" s="1"/>
  <c r="S69" i="56"/>
  <c r="S82" i="56"/>
  <c r="R84" i="56"/>
  <c r="V85" i="56" s="1"/>
  <c r="S84" i="56"/>
  <c r="W82" i="56" a="1"/>
  <c r="W82" i="56" s="1"/>
  <c r="S83" i="56"/>
  <c r="R83" i="56"/>
  <c r="V84" i="56" s="1"/>
  <c r="W82" i="52" a="1"/>
  <c r="W82" i="52" s="1"/>
  <c r="R84" i="52"/>
  <c r="V85" i="52" s="1"/>
  <c r="R83" i="52"/>
  <c r="V84" i="52" s="1"/>
  <c r="R82" i="52"/>
  <c r="V83" i="52" s="1"/>
  <c r="S83" i="52"/>
  <c r="S84" i="52"/>
  <c r="R69" i="52"/>
  <c r="S67" i="52"/>
  <c r="R68" i="52"/>
  <c r="N67" i="56"/>
  <c r="W67" i="56" a="1"/>
  <c r="W67" i="56" s="1"/>
  <c r="R68" i="56"/>
  <c r="V69" i="56" s="1"/>
  <c r="S68" i="56"/>
  <c r="N67" i="57"/>
  <c r="W67" i="57" a="1"/>
  <c r="W67" i="57" s="1"/>
  <c r="G171" i="55" l="1"/>
  <c r="R82" i="56"/>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D29" i="15"/>
  <c r="D26" i="15"/>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7" i="14"/>
  <c r="G64" i="52" l="1"/>
  <c r="C39" i="9"/>
  <c r="M11" i="53"/>
  <c r="N12" i="53"/>
  <c r="O16" i="53"/>
  <c r="O15" i="53"/>
  <c r="N21" i="53"/>
  <c r="M20" i="53"/>
  <c r="L11" i="53"/>
  <c r="K17" i="53"/>
  <c r="J22" i="53"/>
  <c r="J10" i="53"/>
  <c r="J9" i="53"/>
  <c r="H150" i="28"/>
  <c r="E114" i="28"/>
  <c r="G30" i="15"/>
  <c r="D26" i="28" l="1"/>
  <c r="D28" i="28" s="1"/>
  <c r="E77" i="14"/>
  <c r="E76" i="14"/>
  <c r="E75" i="14"/>
  <c r="E74" i="14"/>
  <c r="G10" i="38"/>
  <c r="F10" i="38"/>
  <c r="E10" i="38"/>
  <c r="D10" i="38"/>
  <c r="E8" i="52" l="1"/>
  <c r="G8" i="39"/>
  <c r="F8" i="39"/>
  <c r="E8" i="39"/>
  <c r="G164" i="39" s="1"/>
  <c r="D8" i="39"/>
  <c r="G9" i="37"/>
  <c r="F9" i="37"/>
  <c r="E9" i="37"/>
  <c r="D9" i="37"/>
  <c r="C42" i="11" l="1"/>
  <c r="C44" i="11" s="1"/>
  <c r="D32" i="15"/>
  <c r="C43" i="11" l="1"/>
  <c r="K134" i="15"/>
  <c r="I134" i="15"/>
  <c r="G134" i="15"/>
  <c r="AQ13" i="52" a="1"/>
  <c r="AQ13" i="52" s="1"/>
  <c r="C15" i="4"/>
  <c r="C14" i="4"/>
  <c r="C10" i="4"/>
  <c r="C9" i="4"/>
  <c r="C8" i="4"/>
  <c r="C7" i="4"/>
  <c r="K9" i="53" l="1"/>
  <c r="J11" i="53"/>
  <c r="S8" i="58" l="1"/>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9" i="9" a="1"/>
  <c r="C79" i="9" s="1"/>
  <c r="C74" i="9" a="1"/>
  <c r="C74" i="9" s="1"/>
  <c r="C69" i="9" a="1"/>
  <c r="C69" i="9" s="1"/>
  <c r="C64" i="9" a="1"/>
  <c r="C64" i="9" s="1"/>
  <c r="C59" i="9" a="1"/>
  <c r="C59" i="9" s="1"/>
  <c r="C54" i="9" a="1"/>
  <c r="C54" i="9" s="1"/>
  <c r="C49" i="9"/>
  <c r="C50" i="9"/>
  <c r="C48" i="9"/>
  <c r="C46" i="9"/>
  <c r="C47" i="9"/>
  <c r="C45" i="9"/>
  <c r="C43" i="9"/>
  <c r="C44" i="9"/>
  <c r="C42" i="9"/>
  <c r="C40" i="9"/>
  <c r="C41" i="9"/>
  <c r="P148" i="55" l="1"/>
  <c r="G104" i="15"/>
  <c r="I104" i="15"/>
  <c r="K104" i="15"/>
  <c r="M104" i="15"/>
  <c r="X118" i="15" s="1"/>
  <c r="X119" i="15" s="1"/>
  <c r="I108" i="15"/>
  <c r="K108" i="15"/>
  <c r="M108" i="15"/>
  <c r="I111" i="15"/>
  <c r="I112" i="15" s="1"/>
  <c r="K111" i="15"/>
  <c r="K112" i="15" s="1"/>
  <c r="M111" i="15"/>
  <c r="M112" i="15" s="1"/>
  <c r="C139" i="37"/>
  <c r="C189" i="37" s="1"/>
  <c r="G174" i="39"/>
  <c r="G186" i="39" s="1"/>
  <c r="C174" i="39"/>
  <c r="F186" i="39" s="1"/>
  <c r="E186" i="39"/>
  <c r="C164" i="39"/>
  <c r="D186" i="39" s="1"/>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C34" i="58"/>
  <c r="D34" i="58"/>
  <c r="F34" i="58"/>
  <c r="E34" i="58" s="1"/>
  <c r="C35" i="58"/>
  <c r="D35" i="58"/>
  <c r="F35" i="58"/>
  <c r="E35" i="58" s="1"/>
  <c r="C36" i="58"/>
  <c r="D36" i="58"/>
  <c r="F36" i="58"/>
  <c r="C37" i="58"/>
  <c r="D37" i="58"/>
  <c r="F37" i="58"/>
  <c r="C38" i="58"/>
  <c r="D38" i="58"/>
  <c r="F38" i="58"/>
  <c r="C39" i="58"/>
  <c r="D39" i="58"/>
  <c r="F39" i="58"/>
  <c r="C40" i="58"/>
  <c r="D40" i="58"/>
  <c r="F40" i="58"/>
  <c r="C41" i="58"/>
  <c r="D41" i="58"/>
  <c r="F41" i="58"/>
  <c r="F32" i="58"/>
  <c r="E32" i="58" s="1"/>
  <c r="D32" i="58"/>
  <c r="C32" i="58"/>
  <c r="A82" i="55"/>
  <c r="A83" i="55" s="1"/>
  <c r="A84" i="55" s="1"/>
  <c r="A85" i="55" s="1"/>
  <c r="A86" i="55" s="1"/>
  <c r="A87" i="55" s="1"/>
  <c r="A88" i="55" s="1"/>
  <c r="A89" i="55" s="1"/>
  <c r="A90" i="55" s="1"/>
  <c r="P154" i="55" l="1"/>
  <c r="H28" i="66" s="1"/>
  <c r="U118" i="15"/>
  <c r="U119" i="15" s="1"/>
  <c r="G106" i="15"/>
  <c r="G146" i="15" s="1" a="1"/>
  <c r="G146" i="15" s="1"/>
  <c r="X121" i="15"/>
  <c r="X123" i="15"/>
  <c r="K105" i="15"/>
  <c r="K144" i="15" s="1" a="1"/>
  <c r="K144" i="15" s="1"/>
  <c r="W118" i="15"/>
  <c r="W119" i="15" s="1"/>
  <c r="I105" i="15"/>
  <c r="I144" i="15" s="1" a="1"/>
  <c r="I144" i="15" s="1"/>
  <c r="V118" i="15"/>
  <c r="V119" i="15" s="1"/>
  <c r="M110" i="15"/>
  <c r="X125" i="15"/>
  <c r="X124" i="15" s="1"/>
  <c r="K109" i="15"/>
  <c r="K110" i="15"/>
  <c r="I109" i="15"/>
  <c r="I110" i="15"/>
  <c r="M109" i="15"/>
  <c r="M106" i="15"/>
  <c r="M146" i="15" s="1" a="1"/>
  <c r="M146" i="15" s="1"/>
  <c r="M105" i="15"/>
  <c r="M144" i="15" s="1" a="1"/>
  <c r="M144" i="15" s="1"/>
  <c r="G105" i="15"/>
  <c r="G144" i="15" s="1" a="1"/>
  <c r="G144" i="15" s="1"/>
  <c r="E39" i="58"/>
  <c r="G113" i="15"/>
  <c r="K106" i="15"/>
  <c r="K146" i="15" s="1" a="1"/>
  <c r="K146" i="15" s="1"/>
  <c r="K113" i="15"/>
  <c r="I106" i="15"/>
  <c r="I146" i="15" s="1" a="1"/>
  <c r="I146" i="15" s="1"/>
  <c r="G114" i="15"/>
  <c r="G148" i="15" s="1" a="1"/>
  <c r="G148" i="15" s="1"/>
  <c r="M113" i="15"/>
  <c r="I113" i="15"/>
  <c r="M114" i="15"/>
  <c r="M118" i="15" s="1"/>
  <c r="K114" i="15"/>
  <c r="K118" i="15" s="1"/>
  <c r="I114" i="15"/>
  <c r="I118" i="15" s="1"/>
  <c r="E38" i="58"/>
  <c r="E37" i="58"/>
  <c r="E40" i="58"/>
  <c r="E36" i="58"/>
  <c r="E33" i="58"/>
  <c r="E41" i="58"/>
  <c r="M150" i="15" l="1" a="1"/>
  <c r="M150" i="15" s="1"/>
  <c r="G150" i="15" a="1"/>
  <c r="G150" i="15" s="1"/>
  <c r="N37" i="52" a="1"/>
  <c r="N37" i="52" s="1"/>
  <c r="U123" i="15"/>
  <c r="U125" i="15"/>
  <c r="U124" i="15" s="1"/>
  <c r="U122" i="15" s="1" a="1"/>
  <c r="U122" i="15" s="1"/>
  <c r="U120" i="15" s="1" a="1"/>
  <c r="U120" i="15" s="1"/>
  <c r="U126" i="15" s="1"/>
  <c r="G120" i="15" s="1"/>
  <c r="U121" i="15"/>
  <c r="I150" i="15" a="1"/>
  <c r="I150" i="15" s="1"/>
  <c r="E32" i="66" s="1"/>
  <c r="I148" i="15" a="1"/>
  <c r="I148" i="15" s="1"/>
  <c r="E30" i="66" s="1"/>
  <c r="M148" i="15" a="1"/>
  <c r="M148" i="15" s="1"/>
  <c r="G30" i="66" s="1"/>
  <c r="K150" i="15" a="1"/>
  <c r="K150" i="15" s="1"/>
  <c r="F32" i="66" s="1"/>
  <c r="K148" i="15" a="1"/>
  <c r="K148" i="15" s="1"/>
  <c r="F30" i="66" s="1"/>
  <c r="D30" i="66"/>
  <c r="G118" i="15"/>
  <c r="D11" i="66" s="1"/>
  <c r="I149" i="15"/>
  <c r="E31" i="66" s="1"/>
  <c r="M149" i="15"/>
  <c r="G31" i="66" s="1"/>
  <c r="G147" i="15"/>
  <c r="D29" i="66" s="1"/>
  <c r="I147" i="15"/>
  <c r="E29" i="66" s="1"/>
  <c r="K149" i="15"/>
  <c r="F31" i="66" s="1"/>
  <c r="K147" i="15"/>
  <c r="F29" i="66" s="1"/>
  <c r="G149" i="15"/>
  <c r="D31" i="66" s="1"/>
  <c r="M147" i="15"/>
  <c r="G29" i="66" s="1"/>
  <c r="F34" i="66"/>
  <c r="G32" i="66"/>
  <c r="D32" i="66"/>
  <c r="V123" i="15"/>
  <c r="V125" i="15"/>
  <c r="V124" i="15" s="1"/>
  <c r="E34" i="66"/>
  <c r="V121" i="15"/>
  <c r="W121" i="15"/>
  <c r="W123" i="15"/>
  <c r="W125" i="15"/>
  <c r="W124" i="15" s="1"/>
  <c r="X122" i="15" a="1"/>
  <c r="X122" i="15" s="1"/>
  <c r="X120" i="15" s="1" a="1"/>
  <c r="X120" i="15" s="1"/>
  <c r="X126" i="15" s="1"/>
  <c r="M120" i="15" s="1"/>
  <c r="M143" i="15" s="1"/>
  <c r="M107" i="15"/>
  <c r="G36" i="66"/>
  <c r="F11" i="66"/>
  <c r="E11" i="66"/>
  <c r="G11" i="66"/>
  <c r="K119" i="15"/>
  <c r="M119" i="15"/>
  <c r="G34" i="66"/>
  <c r="G119" i="15"/>
  <c r="I119" i="15"/>
  <c r="G107" i="15"/>
  <c r="D36" i="66"/>
  <c r="D34" i="66"/>
  <c r="I107" i="15"/>
  <c r="E36" i="66"/>
  <c r="K107" i="15"/>
  <c r="F36" i="66"/>
  <c r="S37" i="52"/>
  <c r="N37" i="57" a="1"/>
  <c r="N37" i="57" s="1"/>
  <c r="S37" i="57" s="1"/>
  <c r="N37" i="56" a="1"/>
  <c r="D299"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T48" i="58" s="1"/>
  <c r="H48" i="58"/>
  <c r="C49" i="58"/>
  <c r="D49" i="58"/>
  <c r="F49" i="58"/>
  <c r="H49" i="58"/>
  <c r="C50" i="58"/>
  <c r="D50" i="58"/>
  <c r="F50" i="58"/>
  <c r="H50" i="58"/>
  <c r="C51" i="58"/>
  <c r="D51" i="58"/>
  <c r="F51" i="58"/>
  <c r="T51" i="58" s="1"/>
  <c r="H51" i="58"/>
  <c r="C52" i="58"/>
  <c r="D52" i="58"/>
  <c r="F52" i="58"/>
  <c r="T52" i="58" s="1"/>
  <c r="H52" i="58"/>
  <c r="C53" i="58"/>
  <c r="D53" i="58"/>
  <c r="F53" i="58"/>
  <c r="T53" i="58" s="1"/>
  <c r="H53" i="58"/>
  <c r="C54" i="58"/>
  <c r="D54" i="58"/>
  <c r="F54" i="58"/>
  <c r="T54" i="58" s="1"/>
  <c r="H54" i="58"/>
  <c r="C55" i="58"/>
  <c r="D55" i="58"/>
  <c r="F55" i="58"/>
  <c r="T55" i="58" s="1"/>
  <c r="H55" i="58"/>
  <c r="C56" i="58"/>
  <c r="D56" i="58"/>
  <c r="F56" i="58"/>
  <c r="T56" i="58" s="1"/>
  <c r="H56" i="58"/>
  <c r="H47" i="58"/>
  <c r="F47" i="58"/>
  <c r="D47" i="58"/>
  <c r="C47" i="58"/>
  <c r="R118" i="15" l="1"/>
  <c r="M122" i="15"/>
  <c r="G122" i="15"/>
  <c r="D15" i="66" s="1"/>
  <c r="V122" i="15" a="1"/>
  <c r="V122" i="15" s="1"/>
  <c r="V120" i="15" s="1" a="1"/>
  <c r="V120" i="15" s="1"/>
  <c r="V126" i="15" s="1"/>
  <c r="I120" i="15" s="1"/>
  <c r="W122" i="15" a="1"/>
  <c r="W122" i="15" s="1"/>
  <c r="W120" i="15" s="1" a="1"/>
  <c r="W120" i="15" s="1"/>
  <c r="W126" i="15" s="1"/>
  <c r="K120" i="15" s="1"/>
  <c r="M121" i="15"/>
  <c r="G14" i="66" s="1"/>
  <c r="R119" i="15"/>
  <c r="G121" i="15"/>
  <c r="H93" i="60"/>
  <c r="J93" i="60" s="1"/>
  <c r="E12" i="66"/>
  <c r="D12" i="66"/>
  <c r="F12" i="66"/>
  <c r="G12" i="66"/>
  <c r="H94" i="60"/>
  <c r="J94" i="60" s="1"/>
  <c r="G13" i="66"/>
  <c r="K121" i="15"/>
  <c r="I121" i="15"/>
  <c r="I29" i="66"/>
  <c r="E65" i="66" s="1"/>
  <c r="E92" i="66" s="1"/>
  <c r="I31" i="66"/>
  <c r="F65" i="66" s="1"/>
  <c r="F92" i="66" s="1"/>
  <c r="S38" i="56"/>
  <c r="S39" i="56"/>
  <c r="L48" i="58"/>
  <c r="J48" i="58" s="1"/>
  <c r="E47" i="58"/>
  <c r="T47" i="58"/>
  <c r="L51" i="58"/>
  <c r="J51" i="58" s="1"/>
  <c r="E49" i="58"/>
  <c r="T49" i="58"/>
  <c r="L56" i="58"/>
  <c r="J56" i="58" s="1"/>
  <c r="L54" i="58"/>
  <c r="J54" i="58" s="1"/>
  <c r="L47" i="58"/>
  <c r="J47" i="58" s="1"/>
  <c r="L53" i="58"/>
  <c r="J53" i="58" s="1"/>
  <c r="L49" i="58"/>
  <c r="J49" i="58" s="1"/>
  <c r="L52" i="58"/>
  <c r="J52" i="58" s="1"/>
  <c r="L55" i="58"/>
  <c r="J55" i="58" s="1"/>
  <c r="E50" i="58"/>
  <c r="T50" i="58"/>
  <c r="L50" i="58"/>
  <c r="J50" i="58" s="1"/>
  <c r="W37" i="57" a="1"/>
  <c r="W37" i="57" s="1"/>
  <c r="J32" i="58"/>
  <c r="L39" i="58"/>
  <c r="J39" i="58" s="1"/>
  <c r="L41" i="58"/>
  <c r="J41" i="58" s="1"/>
  <c r="L35" i="58"/>
  <c r="J35" i="58" s="1"/>
  <c r="R39" i="52" s="1"/>
  <c r="V40" i="52" s="1"/>
  <c r="L36" i="58"/>
  <c r="J36" i="58" s="1"/>
  <c r="R37" i="57" s="1"/>
  <c r="V38" i="57" s="1"/>
  <c r="L38" i="58"/>
  <c r="J38" i="58" s="1"/>
  <c r="L33" i="58"/>
  <c r="J33" i="58" s="1"/>
  <c r="L40" i="58"/>
  <c r="J40" i="58" s="1"/>
  <c r="L37" i="58"/>
  <c r="J37" i="58" s="1"/>
  <c r="R39" i="56" s="1"/>
  <c r="V40" i="56" s="1"/>
  <c r="L34" i="58"/>
  <c r="J34" i="58" s="1"/>
  <c r="R38" i="52" s="1"/>
  <c r="V39" i="52" s="1"/>
  <c r="N37" i="56"/>
  <c r="W37" i="56" a="1"/>
  <c r="W37" i="56" s="1"/>
  <c r="S38" i="52"/>
  <c r="S39" i="52"/>
  <c r="W37" i="52" a="1"/>
  <c r="W37" i="52" s="1"/>
  <c r="E51" i="58"/>
  <c r="E54" i="58"/>
  <c r="E56" i="58"/>
  <c r="E55" i="58"/>
  <c r="E52" i="58"/>
  <c r="E53" i="58"/>
  <c r="E48" i="58"/>
  <c r="F13" i="66" l="1"/>
  <c r="K143" i="15"/>
  <c r="E13" i="66"/>
  <c r="G145" i="15"/>
  <c r="G151" i="15" s="1"/>
  <c r="G15" i="66"/>
  <c r="M145" i="15"/>
  <c r="I122" i="15"/>
  <c r="K122" i="15"/>
  <c r="R120" i="15"/>
  <c r="D13" i="66"/>
  <c r="R121" i="15"/>
  <c r="D14" i="66"/>
  <c r="E14" i="66"/>
  <c r="F14" i="66"/>
  <c r="R38" i="56"/>
  <c r="V39" i="56" s="1"/>
  <c r="S47" i="58"/>
  <c r="U47" i="58" s="1"/>
  <c r="G151" i="55" s="1"/>
  <c r="S55" i="58"/>
  <c r="U55" i="58" s="1"/>
  <c r="S56" i="58"/>
  <c r="U56" i="58" s="1"/>
  <c r="S51" i="58"/>
  <c r="U51" i="58" s="1"/>
  <c r="S52" i="58"/>
  <c r="U52" i="58" s="1"/>
  <c r="S54" i="58"/>
  <c r="U54" i="58" s="1"/>
  <c r="N52" i="52" a="1"/>
  <c r="N52" i="52" s="1"/>
  <c r="Y108" i="58" s="1" a="1"/>
  <c r="Y108" i="58" s="1"/>
  <c r="S50" i="58"/>
  <c r="U50" i="58" s="1"/>
  <c r="S49" i="58"/>
  <c r="U49" i="58" s="1"/>
  <c r="S48" i="58"/>
  <c r="U48" i="58" s="1"/>
  <c r="S53" i="58"/>
  <c r="U53" i="58" s="1"/>
  <c r="V69" i="52"/>
  <c r="N52" i="57" a="1"/>
  <c r="N52" i="57" s="1"/>
  <c r="R52" i="57" s="1"/>
  <c r="V53" i="57" s="1"/>
  <c r="S68" i="52"/>
  <c r="V70" i="52"/>
  <c r="S69" i="52"/>
  <c r="W67" i="52" a="1"/>
  <c r="W67" i="52" s="1"/>
  <c r="Y93" i="58" a="1"/>
  <c r="Y93" i="58" s="1"/>
  <c r="S37" i="56"/>
  <c r="R37" i="56"/>
  <c r="R37" i="52"/>
  <c r="V38" i="52" s="1"/>
  <c r="N52" i="56" a="1"/>
  <c r="V56" i="52"/>
  <c r="S55" i="52"/>
  <c r="E15" i="66" l="1"/>
  <c r="I145" i="15"/>
  <c r="F15" i="66"/>
  <c r="K145" i="15"/>
  <c r="R122" i="15"/>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11" i="66" l="1"/>
  <c r="O11" i="66" s="1"/>
  <c r="N32" i="58"/>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96" i="55"/>
  <c r="A97" i="55" s="1"/>
  <c r="A98" i="55" s="1"/>
  <c r="A99" i="55" s="1"/>
  <c r="A100" i="55" s="1"/>
  <c r="A101" i="55" s="1"/>
  <c r="A102" i="55" s="1"/>
  <c r="A103" i="55" s="1"/>
  <c r="A104" i="55" s="1"/>
  <c r="C8" i="58"/>
  <c r="D8" i="58"/>
  <c r="F8" i="58"/>
  <c r="E8" i="58" s="1"/>
  <c r="H8" i="58"/>
  <c r="C9" i="58"/>
  <c r="U9" i="58" s="1"/>
  <c r="V9" i="58" s="1"/>
  <c r="D9" i="58"/>
  <c r="F9" i="58"/>
  <c r="E9" i="58" s="1"/>
  <c r="H9" i="58"/>
  <c r="C10" i="58"/>
  <c r="U10" i="58" s="1"/>
  <c r="V10" i="58" s="1"/>
  <c r="D10" i="58"/>
  <c r="F10" i="58"/>
  <c r="H10" i="58"/>
  <c r="C11" i="58"/>
  <c r="U11" i="58" s="1"/>
  <c r="V11" i="58" s="1"/>
  <c r="D11" i="58"/>
  <c r="F11" i="58"/>
  <c r="H11" i="58"/>
  <c r="C12" i="58"/>
  <c r="U12" i="58" s="1"/>
  <c r="V12" i="58" s="1"/>
  <c r="D12" i="58"/>
  <c r="F12" i="58"/>
  <c r="H12" i="58"/>
  <c r="C13" i="58"/>
  <c r="J13" i="58" s="1"/>
  <c r="D13" i="58"/>
  <c r="F13" i="58"/>
  <c r="H13" i="58"/>
  <c r="C14" i="58"/>
  <c r="D14" i="58"/>
  <c r="F14" i="58"/>
  <c r="H14" i="58"/>
  <c r="C15" i="58"/>
  <c r="D15" i="58"/>
  <c r="F15" i="58"/>
  <c r="H15" i="58"/>
  <c r="C16" i="58"/>
  <c r="D16" i="58"/>
  <c r="F16" i="58"/>
  <c r="H16" i="58"/>
  <c r="C17" i="58"/>
  <c r="D17" i="58"/>
  <c r="F17" i="58"/>
  <c r="H17" i="58"/>
  <c r="C18" i="58"/>
  <c r="D18" i="58"/>
  <c r="F18" i="58"/>
  <c r="H18" i="58"/>
  <c r="C19" i="58"/>
  <c r="D19" i="58"/>
  <c r="F19" i="58"/>
  <c r="H19" i="58"/>
  <c r="C20" i="58"/>
  <c r="D20" i="58"/>
  <c r="F20" i="58"/>
  <c r="H20" i="58"/>
  <c r="C21" i="58"/>
  <c r="D21" i="58"/>
  <c r="F21" i="58"/>
  <c r="H21" i="58"/>
  <c r="C22" i="58"/>
  <c r="D22" i="58"/>
  <c r="F22" i="58"/>
  <c r="H22" i="58"/>
  <c r="C23" i="58"/>
  <c r="D23" i="58"/>
  <c r="F23" i="58"/>
  <c r="H23" i="58"/>
  <c r="C24" i="58"/>
  <c r="D24" i="58"/>
  <c r="F24" i="58"/>
  <c r="H24" i="58"/>
  <c r="C25" i="58"/>
  <c r="D25" i="58"/>
  <c r="F25" i="58"/>
  <c r="H25" i="58"/>
  <c r="C26" i="58"/>
  <c r="D26" i="58"/>
  <c r="F26" i="58"/>
  <c r="H26" i="58"/>
  <c r="D7" i="58"/>
  <c r="F7" i="58"/>
  <c r="E7" i="58" s="1"/>
  <c r="H7" i="58"/>
  <c r="C7" i="58"/>
  <c r="U7" i="58" s="1"/>
  <c r="E266" i="28"/>
  <c r="E267" i="28"/>
  <c r="E268" i="28"/>
  <c r="E269" i="28"/>
  <c r="E270" i="28"/>
  <c r="E271" i="28"/>
  <c r="E272" i="28"/>
  <c r="E273" i="28"/>
  <c r="E274" i="28"/>
  <c r="E275" i="28"/>
  <c r="E276" i="28"/>
  <c r="E277" i="28"/>
  <c r="E278" i="28"/>
  <c r="E279" i="28"/>
  <c r="E280" i="28"/>
  <c r="E281" i="28"/>
  <c r="E282" i="28"/>
  <c r="E283" i="28"/>
  <c r="E284" i="28"/>
  <c r="E285" i="28"/>
  <c r="E265" i="28"/>
  <c r="G249" i="28" a="1"/>
  <c r="G249" i="28" s="1"/>
  <c r="C274" i="28"/>
  <c r="C272" i="28"/>
  <c r="C271" i="28"/>
  <c r="C269" i="28"/>
  <c r="C268" i="28"/>
  <c r="C267" i="28"/>
  <c r="C266" i="28"/>
  <c r="C265"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E17" i="52"/>
  <c r="E12" i="52"/>
  <c r="D223" i="28"/>
  <c r="T7" i="52" s="1"/>
  <c r="E11" i="52" s="1"/>
  <c r="A44" i="55"/>
  <c r="A45" i="55" s="1"/>
  <c r="A46" i="55" s="1"/>
  <c r="A47" i="55" s="1"/>
  <c r="A48" i="55" s="1"/>
  <c r="A49" i="55" s="1"/>
  <c r="A50" i="55" s="1"/>
  <c r="A51" i="55" s="1"/>
  <c r="A52" i="55" s="1"/>
  <c r="A53" i="55" s="1"/>
  <c r="A54" i="55" s="1"/>
  <c r="A55" i="55" s="1"/>
  <c r="A56" i="55" s="1"/>
  <c r="A57" i="55" s="1"/>
  <c r="A58" i="55" s="1"/>
  <c r="A59" i="55" s="1"/>
  <c r="A60" i="55" s="1"/>
  <c r="A61" i="55" s="1"/>
  <c r="A62" i="55" s="1"/>
  <c r="D9" i="54"/>
  <c r="C17" i="66" l="1"/>
  <c r="W11" i="58"/>
  <c r="W9" i="58"/>
  <c r="W12" i="58"/>
  <c r="W10" i="58"/>
  <c r="N48" i="58"/>
  <c r="E18" i="52"/>
  <c r="G65" i="52" s="1"/>
  <c r="N52" i="58"/>
  <c r="N49" i="58"/>
  <c r="N50" i="58"/>
  <c r="N51" i="58"/>
  <c r="N54" i="58"/>
  <c r="N53" i="58"/>
  <c r="O53" i="58" s="1"/>
  <c r="N55" i="58"/>
  <c r="N56" i="58"/>
  <c r="N47" i="58"/>
  <c r="O47" i="58" s="1"/>
  <c r="O77" i="58"/>
  <c r="P77" i="58" s="1"/>
  <c r="I172" i="55" s="1"/>
  <c r="Q32" i="58"/>
  <c r="L7" i="58"/>
  <c r="E10"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J9" i="58"/>
  <c r="L11" i="58"/>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E22" i="58"/>
  <c r="E14" i="58"/>
  <c r="E24" i="58"/>
  <c r="E16" i="58"/>
  <c r="E15" i="58"/>
  <c r="E23" i="58"/>
  <c r="E26" i="58"/>
  <c r="E18" i="58"/>
  <c r="E25" i="58"/>
  <c r="E19" i="58"/>
  <c r="E11" i="58"/>
  <c r="E17" i="58"/>
  <c r="E20" i="58"/>
  <c r="E12" i="58"/>
  <c r="E21" i="58"/>
  <c r="E13"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N12" i="57" l="1" a="1"/>
  <c r="N12" i="57" s="1"/>
  <c r="G148" i="55"/>
  <c r="G154" i="55" s="1"/>
  <c r="H27" i="66" s="1"/>
  <c r="M20" i="58"/>
  <c r="M22" i="58"/>
  <c r="M15" i="58"/>
  <c r="M25" i="58"/>
  <c r="M24" i="58"/>
  <c r="M18" i="58"/>
  <c r="M19" i="58"/>
  <c r="M14" i="58"/>
  <c r="M16" i="58"/>
  <c r="M23" i="58"/>
  <c r="M13" i="58"/>
  <c r="M17" i="58"/>
  <c r="M21" i="58"/>
  <c r="Q77" i="58"/>
  <c r="R77" i="58" s="1"/>
  <c r="G172" i="55" s="1"/>
  <c r="M26" i="58"/>
  <c r="N12" i="56" a="1"/>
  <c r="M7" i="58"/>
  <c r="N12" i="52" a="1"/>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S13" i="57" l="1"/>
  <c r="S31" i="52"/>
  <c r="R31" i="52"/>
  <c r="V32" i="52" s="1"/>
  <c r="R12" i="52"/>
  <c r="V13" i="52" s="1"/>
  <c r="S22" i="52"/>
  <c r="S29" i="52"/>
  <c r="S30" i="52"/>
  <c r="S18" i="52"/>
  <c r="S19" i="52"/>
  <c r="S23" i="52"/>
  <c r="R22" i="52"/>
  <c r="V23" i="52" s="1"/>
  <c r="R26" i="52"/>
  <c r="V27" i="52" s="1"/>
  <c r="R29" i="52"/>
  <c r="V30" i="52" s="1"/>
  <c r="R18" i="52"/>
  <c r="V19" i="52" s="1"/>
  <c r="R23" i="52"/>
  <c r="V24" i="52" s="1"/>
  <c r="R27" i="52"/>
  <c r="V28" i="52" s="1"/>
  <c r="S25" i="52"/>
  <c r="R28" i="52"/>
  <c r="V29" i="52" s="1"/>
  <c r="S26" i="52"/>
  <c r="R30" i="52"/>
  <c r="V31" i="52" s="1"/>
  <c r="S24" i="52"/>
  <c r="R21" i="52"/>
  <c r="V22" i="52" s="1"/>
  <c r="R25" i="52"/>
  <c r="V26" i="52" s="1"/>
  <c r="R24" i="52"/>
  <c r="V25" i="52" s="1"/>
  <c r="S21" i="52"/>
  <c r="R20" i="52"/>
  <c r="V21" i="52" s="1"/>
  <c r="S20" i="52"/>
  <c r="S27" i="52"/>
  <c r="R19" i="52"/>
  <c r="V20" i="52" s="1"/>
  <c r="S28" i="52"/>
  <c r="I27" i="66"/>
  <c r="D65" i="66" s="1"/>
  <c r="D66" i="66" s="1"/>
  <c r="S12" i="57"/>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N12" i="52"/>
  <c r="S12" i="52" s="1"/>
  <c r="G40" i="52"/>
  <c r="G41" i="52" s="1"/>
  <c r="G46" i="52" s="1"/>
  <c r="S14" i="56"/>
  <c r="R14" i="56"/>
  <c r="V15" i="56" s="1"/>
  <c r="S13" i="56"/>
  <c r="R13" i="56"/>
  <c r="V14" i="56" s="1"/>
  <c r="W12" i="52" a="1"/>
  <c r="W12" i="52" s="1"/>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H37" i="66" l="1"/>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N7" i="58" l="1"/>
  <c r="O7" i="58" s="1"/>
  <c r="P7" i="58" s="1"/>
  <c r="D92" i="66"/>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I168" i="55" l="1"/>
  <c r="Q33" i="58"/>
  <c r="R33" i="58" s="1"/>
  <c r="Q63" i="58"/>
  <c r="R63" i="58" s="1"/>
  <c r="G168"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I169" i="55" l="1"/>
  <c r="I167" i="55"/>
  <c r="I170" i="55"/>
  <c r="G170" i="55"/>
  <c r="G169" i="55"/>
  <c r="D80" i="47"/>
  <c r="H152" i="28"/>
  <c r="H153" i="28"/>
  <c r="H154" i="28"/>
  <c r="H155" i="28"/>
  <c r="H156" i="28"/>
  <c r="H157" i="28"/>
  <c r="H158" i="28"/>
  <c r="H159" i="28"/>
  <c r="H160" i="28"/>
  <c r="H161" i="28"/>
  <c r="H162" i="28"/>
  <c r="H163" i="28"/>
  <c r="H164" i="28"/>
  <c r="H165" i="28"/>
  <c r="H166" i="28"/>
  <c r="H167" i="28"/>
  <c r="H168" i="28"/>
  <c r="H169" i="28"/>
  <c r="H170" i="28"/>
  <c r="H171" i="28"/>
  <c r="H172" i="28"/>
  <c r="H173" i="28"/>
  <c r="H151" i="28"/>
  <c r="G69" i="15"/>
  <c r="F21" i="60" s="1" a="1"/>
  <c r="F21" i="60" s="1"/>
  <c r="AE11" i="49"/>
  <c r="AE10" i="49"/>
  <c r="AE11" i="48"/>
  <c r="AE10" i="48"/>
  <c r="AE23" i="47"/>
  <c r="AE11" i="45"/>
  <c r="AE10" i="45"/>
  <c r="J14" i="60" l="1"/>
  <c r="I173" i="55"/>
  <c r="R7" i="58"/>
  <c r="G167" i="55" s="1"/>
  <c r="G136" i="15"/>
  <c r="G69" i="66" s="1"/>
  <c r="N17" i="45"/>
  <c r="L17" i="45" s="1"/>
  <c r="L27" i="45" s="1"/>
  <c r="G173" i="55" l="1"/>
  <c r="G70" i="66"/>
  <c r="G71" i="66" s="1" a="1"/>
  <c r="G71" i="66" s="1"/>
  <c r="D84" i="28"/>
  <c r="C27" i="39" s="1"/>
  <c r="E36" i="28"/>
  <c r="L124" i="60" l="1"/>
  <c r="L126" i="60" s="1"/>
  <c r="O124" i="60" s="1"/>
  <c r="C12" i="26"/>
  <c r="C33" i="38"/>
  <c r="C28" i="37"/>
  <c r="D25" i="28"/>
  <c r="D37" i="28" l="1"/>
  <c r="D32" i="28"/>
  <c r="M124" i="60"/>
  <c r="F27" i="60"/>
  <c r="D34" i="28"/>
  <c r="C64" i="38" s="1"/>
  <c r="Q4" i="26"/>
  <c r="Q5" i="26"/>
  <c r="D27" i="28"/>
  <c r="D35" i="28"/>
  <c r="D31" i="28"/>
  <c r="D33" i="28"/>
  <c r="C33" i="26" s="1"/>
  <c r="D36" i="28"/>
  <c r="F50" i="28" s="1"/>
  <c r="F48" i="28" s="1"/>
  <c r="F49" i="28" l="1"/>
  <c r="G49" i="28" s="1"/>
  <c r="G50" i="28" s="1"/>
  <c r="G48" i="28"/>
  <c r="I27" i="60"/>
  <c r="F172" i="60"/>
  <c r="H172" i="60" s="1" a="1"/>
  <c r="H172" i="60" s="1"/>
  <c r="G27" i="60" a="1"/>
  <c r="G27" i="60" s="1"/>
  <c r="G48" i="60" s="1"/>
  <c r="Q7" i="26"/>
  <c r="D13" i="38"/>
  <c r="D14" i="38" s="1"/>
  <c r="D7" i="38"/>
  <c r="D8" i="38" s="1"/>
  <c r="D156" i="28"/>
  <c r="D225" i="28" s="1"/>
  <c r="T7" i="57" s="1"/>
  <c r="E11" i="57" s="1"/>
  <c r="D155" i="28"/>
  <c r="D226" i="28" s="1"/>
  <c r="D152" i="28"/>
  <c r="B8" i="3"/>
  <c r="I172" i="60" l="1"/>
  <c r="F44" i="28"/>
  <c r="F45" i="28" s="1"/>
  <c r="D158" i="28"/>
  <c r="D162" i="28" s="1"/>
  <c r="D165" i="28" s="1"/>
  <c r="D159" i="28"/>
  <c r="D163"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G53" i="28" l="1"/>
  <c r="E53" i="28"/>
  <c r="D53" i="28"/>
  <c r="F53" i="28"/>
  <c r="F215" i="47"/>
  <c r="F214" i="47" s="1"/>
  <c r="H214" i="47" s="1"/>
  <c r="H216" i="47" s="1"/>
  <c r="F216" i="47" s="1"/>
  <c r="G216" i="47" s="1"/>
  <c r="G37" i="56"/>
  <c r="G54" i="56" s="1"/>
  <c r="G78" i="56"/>
  <c r="G95" i="56" s="1"/>
  <c r="G81" i="57"/>
  <c r="G82" i="57" s="1"/>
  <c r="G87" i="57" s="1"/>
  <c r="G67" i="57"/>
  <c r="G68" i="57" s="1"/>
  <c r="G69" i="57" s="1"/>
  <c r="G40" i="57"/>
  <c r="G41" i="57" s="1"/>
  <c r="G46" i="57" s="1"/>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U7" i="41" l="1"/>
  <c r="U7" i="42"/>
  <c r="U7" i="43"/>
  <c r="U7" i="44"/>
  <c r="G214" i="47"/>
  <c r="G215" i="47" s="1"/>
  <c r="C138" i="47" s="1"/>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C172" i="39"/>
  <c r="C162" i="39"/>
  <c r="G11" i="39"/>
  <c r="G12" i="39" s="1"/>
  <c r="G170" i="39" s="1"/>
  <c r="F11" i="39"/>
  <c r="F12" i="39" s="1"/>
  <c r="C170" i="39" s="1"/>
  <c r="E11" i="39"/>
  <c r="E12" i="39" s="1"/>
  <c r="G160" i="39" s="1"/>
  <c r="D11" i="39"/>
  <c r="D12" i="39" s="1"/>
  <c r="C63" i="37"/>
  <c r="C52" i="37"/>
  <c r="C43" i="37"/>
  <c r="C27" i="37"/>
  <c r="C26" i="37"/>
  <c r="C29" i="37" s="1"/>
  <c r="C20" i="37"/>
  <c r="C21" i="37" s="1"/>
  <c r="G12" i="37"/>
  <c r="G13" i="37" s="1"/>
  <c r="G173" i="37" s="1"/>
  <c r="F12" i="37"/>
  <c r="F13" i="37" s="1"/>
  <c r="C173" i="37" s="1"/>
  <c r="E12" i="37"/>
  <c r="E13" i="37" s="1"/>
  <c r="G163" i="37" s="1"/>
  <c r="D12" i="37"/>
  <c r="D13" i="37" s="1"/>
  <c r="G10" i="37"/>
  <c r="G11" i="37" s="1"/>
  <c r="F10" i="37"/>
  <c r="F11" i="37" s="1"/>
  <c r="E10" i="37"/>
  <c r="E11" i="37" s="1"/>
  <c r="D10" i="37"/>
  <c r="D11" i="37" s="1"/>
  <c r="G6" i="37"/>
  <c r="G7" i="37" s="1"/>
  <c r="F6" i="37"/>
  <c r="F8" i="37" s="1"/>
  <c r="E6" i="37"/>
  <c r="E7" i="37" s="1"/>
  <c r="D6" i="37"/>
  <c r="D8" i="37" s="1"/>
  <c r="E7" i="38"/>
  <c r="F7" i="38"/>
  <c r="F8" i="38" s="1"/>
  <c r="G7" i="38"/>
  <c r="G8" i="38" s="1"/>
  <c r="D11" i="38"/>
  <c r="E11" i="38"/>
  <c r="E12" i="38" s="1"/>
  <c r="F11" i="38"/>
  <c r="F12" i="38" s="1"/>
  <c r="G11" i="38"/>
  <c r="G12" i="38" s="1"/>
  <c r="E13" i="38"/>
  <c r="E14" i="38" s="1"/>
  <c r="F13" i="38"/>
  <c r="F14" i="38" s="1"/>
  <c r="G13" i="38"/>
  <c r="G14" i="38" s="1"/>
  <c r="C22" i="38"/>
  <c r="C23" i="38" s="1"/>
  <c r="C31" i="38"/>
  <c r="C34" i="38" s="1"/>
  <c r="C32" i="38"/>
  <c r="C57" i="38"/>
  <c r="C66" i="38"/>
  <c r="C77" i="38"/>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C35" i="37" l="1"/>
  <c r="D12" i="38"/>
  <c r="D139" i="38" s="1"/>
  <c r="E143" i="38"/>
  <c r="E144" i="38"/>
  <c r="E139" i="38"/>
  <c r="E140" i="38"/>
  <c r="E137" i="38"/>
  <c r="G141" i="38"/>
  <c r="G144" i="38"/>
  <c r="G143" i="38"/>
  <c r="G139" i="38"/>
  <c r="G140" i="38"/>
  <c r="F144" i="38"/>
  <c r="F142" i="38"/>
  <c r="F143" i="38"/>
  <c r="F139" i="38"/>
  <c r="F140" i="38"/>
  <c r="E9" i="38"/>
  <c r="E8" i="38"/>
  <c r="G56" i="57"/>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9" i="38"/>
  <c r="G9" i="38"/>
  <c r="D9" i="38"/>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D7" i="37"/>
  <c r="C23" i="37"/>
  <c r="G8" i="37"/>
  <c r="E8" i="37"/>
  <c r="F7" i="37"/>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J50" i="38" l="1"/>
  <c r="K50" i="38"/>
  <c r="G50" i="38"/>
  <c r="F50" i="38"/>
  <c r="D140" i="38"/>
  <c r="D138" i="38"/>
  <c r="D144" i="38"/>
  <c r="C144" i="38" s="1"/>
  <c r="D143" i="38"/>
  <c r="C143" i="38" s="1"/>
  <c r="D155" i="38" s="1"/>
  <c r="G60" i="57"/>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F155" i="38" l="1"/>
  <c r="G155" i="38"/>
  <c r="E155" i="38"/>
  <c r="D156" i="38"/>
  <c r="E156" i="38"/>
  <c r="F156" i="38"/>
  <c r="G156" i="38"/>
  <c r="G72" i="57"/>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C155" i="38" l="1"/>
  <c r="C156" i="38"/>
  <c r="H38" i="57"/>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C190" i="37"/>
  <c r="H110" i="57" l="1"/>
  <c r="H72" i="57"/>
  <c r="H74" i="57"/>
  <c r="H51" i="56"/>
  <c r="H58" i="56" s="1"/>
  <c r="H59" i="56" s="1"/>
  <c r="H56" i="56"/>
  <c r="I81" i="57"/>
  <c r="I82" i="57" s="1"/>
  <c r="I87" i="57" s="1"/>
  <c r="H98" i="56"/>
  <c r="H101" i="56"/>
  <c r="H102" i="56" s="1"/>
  <c r="H103" i="56" s="1"/>
  <c r="H107" i="56" s="1"/>
  <c r="H108" i="56" s="1"/>
  <c r="D6" i="11"/>
  <c r="D166" i="28"/>
  <c r="G14" i="11"/>
  <c r="F14" i="11"/>
  <c r="E14" i="11"/>
  <c r="D14" i="11"/>
  <c r="G6" i="11"/>
  <c r="G9" i="11" s="1"/>
  <c r="G54" i="11" s="1"/>
  <c r="F6" i="11"/>
  <c r="F7" i="11" s="1"/>
  <c r="E6" i="11"/>
  <c r="E7" i="11" s="1"/>
  <c r="I95" i="15"/>
  <c r="K95" i="15"/>
  <c r="M95" i="15"/>
  <c r="E52" i="11" l="1"/>
  <c r="F52"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D7" i="11"/>
  <c r="F15" i="11"/>
  <c r="F9" i="11"/>
  <c r="F54" i="11" s="1"/>
  <c r="D9" i="11"/>
  <c r="D54" i="11" s="1"/>
  <c r="E9" i="11"/>
  <c r="E54" i="11" s="1"/>
  <c r="G8" i="11"/>
  <c r="G53" i="11" s="1"/>
  <c r="G57" i="11" s="1"/>
  <c r="G7" i="11"/>
  <c r="F8" i="11"/>
  <c r="F53" i="11" s="1"/>
  <c r="F56" i="11" s="1"/>
  <c r="E8" i="11"/>
  <c r="E53" i="11" s="1"/>
  <c r="D8" i="11"/>
  <c r="D53" i="11" s="1"/>
  <c r="E15" i="11"/>
  <c r="G15" i="11"/>
  <c r="E115" i="28"/>
  <c r="E116" i="28"/>
  <c r="E117" i="28"/>
  <c r="E118" i="28"/>
  <c r="E119" i="28"/>
  <c r="E56" i="11" l="1"/>
  <c r="G52" i="11"/>
  <c r="G56" i="11" s="1"/>
  <c r="H72" i="56"/>
  <c r="H74" i="56"/>
  <c r="I40" i="57"/>
  <c r="I41" i="57" s="1"/>
  <c r="I46" i="57" s="1"/>
  <c r="I67" i="57"/>
  <c r="I68" i="57" s="1"/>
  <c r="I69" i="57" s="1"/>
  <c r="I97" i="57"/>
  <c r="I92" i="57"/>
  <c r="I99" i="57" s="1"/>
  <c r="I100" i="57" s="1"/>
  <c r="I81" i="56"/>
  <c r="I82" i="56" s="1"/>
  <c r="I87" i="56" s="1"/>
  <c r="D52" i="11"/>
  <c r="D56" i="11" s="1"/>
  <c r="C123" i="28" a="1"/>
  <c r="C123" i="28" s="1"/>
  <c r="F57" i="11"/>
  <c r="E57" i="11"/>
  <c r="D57" i="11"/>
  <c r="I98" i="57" l="1"/>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123" i="28"/>
  <c r="D123" i="28"/>
  <c r="E123" i="28"/>
  <c r="D25" i="11" l="1"/>
  <c r="D126" i="28"/>
  <c r="C24" i="11" s="1"/>
  <c r="I51" i="57"/>
  <c r="I58" i="57" s="1"/>
  <c r="I59" i="57" s="1"/>
  <c r="I67" i="56"/>
  <c r="I68" i="56" s="1"/>
  <c r="I69" i="56" s="1"/>
  <c r="I40" i="56"/>
  <c r="I41" i="56" s="1"/>
  <c r="I46" i="56" s="1"/>
  <c r="I56" i="57"/>
  <c r="I109" i="57"/>
  <c r="J78" i="57" s="1"/>
  <c r="J95" i="57" s="1"/>
  <c r="I110" i="57"/>
  <c r="I97" i="56"/>
  <c r="I92" i="56"/>
  <c r="I99" i="56" s="1"/>
  <c r="I100" i="56" s="1"/>
  <c r="E25" i="11"/>
  <c r="G25" i="11"/>
  <c r="F25" i="11"/>
  <c r="G26" i="11" l="1"/>
  <c r="E26" i="11"/>
  <c r="F26" i="11"/>
  <c r="D26" i="1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I56" i="56" l="1"/>
  <c r="I57" i="56" s="1"/>
  <c r="I51" i="56"/>
  <c r="I58" i="56" s="1"/>
  <c r="I59" i="56" s="1"/>
  <c r="J84" i="57"/>
  <c r="J86" i="57"/>
  <c r="J90" i="57"/>
  <c r="J89" i="57"/>
  <c r="J83" i="57"/>
  <c r="J85" i="57"/>
  <c r="J88" i="57"/>
  <c r="J91" i="57" s="1"/>
  <c r="I72" i="57"/>
  <c r="I74" i="57"/>
  <c r="I110" i="56"/>
  <c r="I109" i="56"/>
  <c r="J78" i="56" s="1"/>
  <c r="J95" i="56" s="1"/>
  <c r="C106" i="41"/>
  <c r="E74" i="41"/>
  <c r="J92" i="57" l="1"/>
  <c r="J99" i="57" s="1"/>
  <c r="J100" i="57" s="1"/>
  <c r="J81" i="56"/>
  <c r="J82" i="56" s="1"/>
  <c r="J87" i="56" s="1"/>
  <c r="I73" i="57"/>
  <c r="J37" i="57" s="1"/>
  <c r="J54" i="57" s="1"/>
  <c r="J38" i="57"/>
  <c r="I60" i="56"/>
  <c r="I61" i="56" s="1"/>
  <c r="I62" i="56" s="1"/>
  <c r="I70" i="56" s="1"/>
  <c r="I71" i="56" s="1"/>
  <c r="J97" i="57"/>
  <c r="N11" i="42"/>
  <c r="J11" i="42" s="1"/>
  <c r="J90" i="56" l="1"/>
  <c r="J86" i="56"/>
  <c r="J88" i="56"/>
  <c r="J91" i="56" s="1"/>
  <c r="J85" i="56"/>
  <c r="J89" i="56"/>
  <c r="J83" i="56"/>
  <c r="J84" i="56"/>
  <c r="J98" i="57"/>
  <c r="J101" i="57"/>
  <c r="J102" i="57" s="1"/>
  <c r="J103" i="57" s="1"/>
  <c r="J107" i="57" s="1"/>
  <c r="J108" i="57" s="1"/>
  <c r="I72" i="56"/>
  <c r="I74" i="56"/>
  <c r="J40" i="57"/>
  <c r="J41" i="57" s="1"/>
  <c r="J46" i="57" s="1"/>
  <c r="J67" i="57"/>
  <c r="J68" i="57" s="1"/>
  <c r="J69" i="57" s="1"/>
  <c r="E75" i="44"/>
  <c r="C122" i="44"/>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22" i="43"/>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C122" i="42"/>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E75" i="4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D60" i="41"/>
  <c r="E60" i="41"/>
  <c r="D61" i="41"/>
  <c r="E62" i="41"/>
  <c r="N22" i="41"/>
  <c r="D64"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D55" i="41"/>
  <c r="H55" i="41" s="1"/>
  <c r="K13" i="42"/>
  <c r="I53" i="42"/>
  <c r="P11" i="43"/>
  <c r="M17" i="43"/>
  <c r="C106" i="43"/>
  <c r="M11" i="44"/>
  <c r="L19" i="44"/>
  <c r="L21" i="44"/>
  <c r="C51" i="44"/>
  <c r="K14" i="43"/>
  <c r="N20" i="43"/>
  <c r="K20" i="43" s="1"/>
  <c r="J13" i="44"/>
  <c r="J17" i="44"/>
  <c r="I62" i="44"/>
  <c r="G74" i="44"/>
  <c r="G75" i="44" s="1"/>
  <c r="E58" i="41"/>
  <c r="I58" i="41" s="1"/>
  <c r="D54" i="42"/>
  <c r="H54" i="42" s="1"/>
  <c r="D60" i="42"/>
  <c r="I60" i="42" s="1"/>
  <c r="L14" i="43"/>
  <c r="D54" i="43"/>
  <c r="I54" i="43" s="1"/>
  <c r="D60" i="43"/>
  <c r="E63" i="43"/>
  <c r="I63" i="43" s="1"/>
  <c r="K13" i="44"/>
  <c r="K17" i="44"/>
  <c r="K23" i="44"/>
  <c r="E61" i="41"/>
  <c r="H61" i="41" s="1"/>
  <c r="I53" i="4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D62" i="41"/>
  <c r="J23" i="41"/>
  <c r="N15" i="41"/>
  <c r="J14" i="41"/>
  <c r="L26" i="41"/>
  <c r="L24" i="41"/>
  <c r="M23" i="41"/>
  <c r="O20" i="41"/>
  <c r="P20" i="41" s="1"/>
  <c r="O14" i="41"/>
  <c r="P14" i="41" s="1"/>
  <c r="O18" i="41"/>
  <c r="O24" i="41"/>
  <c r="P24" i="41" s="1"/>
  <c r="O26" i="41"/>
  <c r="P26" i="41" s="1"/>
  <c r="J17" i="41"/>
  <c r="I56" i="41"/>
  <c r="D54" i="41"/>
  <c r="K26" i="41"/>
  <c r="J25" i="41"/>
  <c r="L25" i="41"/>
  <c r="K24" i="41"/>
  <c r="K22" i="41"/>
  <c r="E65" i="41"/>
  <c r="H65" i="41" s="1"/>
  <c r="D59" i="41"/>
  <c r="N18" i="41"/>
  <c r="E59" i="41"/>
  <c r="L12" i="41"/>
  <c r="M12" i="41"/>
  <c r="J26" i="41"/>
  <c r="J24" i="41"/>
  <c r="K23" i="41"/>
  <c r="J22" i="41"/>
  <c r="J51" i="57" l="1"/>
  <c r="J58" i="57" s="1"/>
  <c r="J59" i="57" s="1"/>
  <c r="J56" i="57"/>
  <c r="K81" i="57"/>
  <c r="K82" i="57" s="1"/>
  <c r="K87" i="57" s="1"/>
  <c r="J98" i="56"/>
  <c r="J101" i="56"/>
  <c r="J102" i="56" s="1"/>
  <c r="J103" i="56" s="1"/>
  <c r="J107" i="56" s="1"/>
  <c r="J108" i="56" s="1"/>
  <c r="J67" i="56"/>
  <c r="J68" i="56" s="1"/>
  <c r="J69" i="56" s="1"/>
  <c r="J40" i="56"/>
  <c r="J41" i="56" s="1"/>
  <c r="J46" i="56" s="1"/>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D51" i="41"/>
  <c r="H54" i="41"/>
  <c r="I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P27" i="42"/>
  <c r="H51" i="44"/>
  <c r="I51" i="44"/>
  <c r="F79" i="44" s="1"/>
  <c r="P27" i="43"/>
  <c r="H51" i="43"/>
  <c r="L27" i="43"/>
  <c r="K31" i="43" s="1"/>
  <c r="L27" i="41"/>
  <c r="K31" i="41" s="1"/>
  <c r="K27" i="41"/>
  <c r="H51" i="4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I51" i="41"/>
  <c r="J51" i="56" l="1"/>
  <c r="J58" i="56" s="1"/>
  <c r="J59" i="56" s="1"/>
  <c r="K97" i="57"/>
  <c r="J72" i="57"/>
  <c r="J74" i="57"/>
  <c r="J56" i="56"/>
  <c r="K92" i="57"/>
  <c r="K99" i="57" s="1"/>
  <c r="K100" i="57" s="1"/>
  <c r="K81" i="56"/>
  <c r="K82" i="56" s="1"/>
  <c r="K87" i="56" s="1"/>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E89" i="41" s="1"/>
  <c r="G89" i="41" s="1"/>
  <c r="Q15" i="41" s="1"/>
  <c r="S15" i="41" s="1"/>
  <c r="T13" i="41"/>
  <c r="V13" i="41" s="1"/>
  <c r="E79" i="4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D88" i="42"/>
  <c r="D87" i="42" s="1"/>
  <c r="F83" i="44"/>
  <c r="F75" i="44"/>
  <c r="F76" i="44"/>
  <c r="E87" i="44"/>
  <c r="G88" i="44"/>
  <c r="Q11" i="44" s="1"/>
  <c r="E83" i="44"/>
  <c r="G83" i="44" s="1"/>
  <c r="G80" i="44"/>
  <c r="C115" i="44"/>
  <c r="C118" i="44"/>
  <c r="G203" i="44" s="1"/>
  <c r="G202" i="44" s="1"/>
  <c r="F202" i="44" s="1"/>
  <c r="F88" i="44"/>
  <c r="F87" i="44" s="1"/>
  <c r="F85" i="44" s="1"/>
  <c r="E76" i="44"/>
  <c r="G82" i="44"/>
  <c r="L79" i="44" s="1"/>
  <c r="F83" i="43"/>
  <c r="F76" i="43"/>
  <c r="F75" i="43"/>
  <c r="E76" i="43"/>
  <c r="G82" i="43"/>
  <c r="L79" i="43" s="1"/>
  <c r="E88" i="43"/>
  <c r="E83" i="43"/>
  <c r="G83" i="43" s="1"/>
  <c r="G80" i="43"/>
  <c r="F88" i="43"/>
  <c r="F87" i="43" s="1"/>
  <c r="F85" i="43" s="1"/>
  <c r="C118" i="43"/>
  <c r="G203" i="43" s="1"/>
  <c r="G202" i="43" s="1"/>
  <c r="F202" i="43" s="1"/>
  <c r="D88" i="43"/>
  <c r="D87" i="43" s="1"/>
  <c r="C115" i="42"/>
  <c r="C118" i="42"/>
  <c r="G203" i="42" s="1"/>
  <c r="G202" i="42" s="1"/>
  <c r="F202" i="42" s="1"/>
  <c r="E76" i="42"/>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D75" i="41" s="1"/>
  <c r="F80" i="41"/>
  <c r="F82" i="41"/>
  <c r="E80" i="41"/>
  <c r="E82" i="41"/>
  <c r="E88" i="41" s="1"/>
  <c r="G88" i="41" s="1"/>
  <c r="G79" i="41"/>
  <c r="G76" i="43" l="1"/>
  <c r="F34" i="11"/>
  <c r="F19" i="11"/>
  <c r="G76" i="44"/>
  <c r="G34" i="11"/>
  <c r="G19" i="11"/>
  <c r="G76" i="42"/>
  <c r="E34" i="11"/>
  <c r="E19" i="11"/>
  <c r="K97" i="56"/>
  <c r="K98" i="56" s="1"/>
  <c r="K110" i="57"/>
  <c r="E27" i="57" s="1"/>
  <c r="K109" i="57"/>
  <c r="E26" i="57" s="1"/>
  <c r="K92" i="56"/>
  <c r="K99" i="56" s="1"/>
  <c r="K100" i="56" s="1"/>
  <c r="K40" i="57"/>
  <c r="K41" i="57" s="1"/>
  <c r="K46" i="57" s="1"/>
  <c r="K67" i="57"/>
  <c r="K68" i="57" s="1"/>
  <c r="K69" i="57" s="1"/>
  <c r="J74" i="56"/>
  <c r="J72" i="56"/>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7" i="41"/>
  <c r="E85" i="41" s="1"/>
  <c r="Q11" i="41"/>
  <c r="S11" i="41" s="1"/>
  <c r="E83" i="41"/>
  <c r="G83" i="41" s="1"/>
  <c r="G80" i="41"/>
  <c r="D89" i="41"/>
  <c r="E76" i="41"/>
  <c r="G82" i="41"/>
  <c r="L79" i="41" s="1"/>
  <c r="T11" i="41" s="1"/>
  <c r="V11" i="41" s="1"/>
  <c r="D88" i="41"/>
  <c r="D87" i="41" s="1"/>
  <c r="G76" i="41" l="1"/>
  <c r="D34" i="11"/>
  <c r="D19" i="11"/>
  <c r="D20" i="11" s="1"/>
  <c r="D21" i="11" s="1"/>
  <c r="D28" i="11" s="1"/>
  <c r="J73" i="56"/>
  <c r="K37" i="56" s="1"/>
  <c r="K54" i="56" s="1"/>
  <c r="K38" i="56"/>
  <c r="K48" i="57"/>
  <c r="K49" i="57"/>
  <c r="K47" i="57"/>
  <c r="K50" i="57" s="1"/>
  <c r="K42" i="57"/>
  <c r="K45" i="57"/>
  <c r="K44" i="57"/>
  <c r="K43" i="57"/>
  <c r="K101" i="56"/>
  <c r="K102" i="56" s="1"/>
  <c r="K103" i="56" s="1"/>
  <c r="K107" i="56" s="1"/>
  <c r="K108" i="56"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5" i="41"/>
  <c r="G87" i="41"/>
  <c r="L77" i="41" s="1"/>
  <c r="D37" i="11" l="1"/>
  <c r="D39" i="11" s="1"/>
  <c r="D35" i="11"/>
  <c r="D38" i="11" s="1"/>
  <c r="D76" i="47"/>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Q25" i="41"/>
  <c r="S25" i="41" s="1"/>
  <c r="S27" i="41" s="1"/>
  <c r="G5" i="41" s="1"/>
  <c r="D82" i="47" l="1"/>
  <c r="G76" i="47"/>
  <c r="K60" i="57"/>
  <c r="K61" i="57" s="1"/>
  <c r="K62" i="57" s="1"/>
  <c r="K70" i="57" s="1"/>
  <c r="K71" i="57" s="1"/>
  <c r="K49" i="56"/>
  <c r="K47" i="56"/>
  <c r="K50" i="56" s="1"/>
  <c r="K43" i="56"/>
  <c r="K48" i="56"/>
  <c r="K45" i="56"/>
  <c r="K42" i="56"/>
  <c r="K44" i="56"/>
  <c r="M81" i="44"/>
  <c r="Q27" i="41"/>
  <c r="C124" i="44"/>
  <c r="M80" i="44"/>
  <c r="N80" i="44"/>
  <c r="M78" i="44"/>
  <c r="N78" i="44"/>
  <c r="M79" i="44"/>
  <c r="N79" i="44"/>
  <c r="M77" i="44"/>
  <c r="Q27" i="43"/>
  <c r="L75" i="43"/>
  <c r="T25" i="43"/>
  <c r="V25" i="43" s="1"/>
  <c r="Q27" i="42"/>
  <c r="L75" i="42"/>
  <c r="N77" i="42" s="1"/>
  <c r="T25" i="42"/>
  <c r="V25" i="42" s="1"/>
  <c r="T25" i="41"/>
  <c r="V25" i="41" s="1"/>
  <c r="L75" i="41"/>
  <c r="D83" i="47" l="1"/>
  <c r="G82" i="47"/>
  <c r="L79" i="47" s="1"/>
  <c r="D88" i="47"/>
  <c r="K51" i="56"/>
  <c r="K58" i="56" s="1"/>
  <c r="K59" i="56" s="1"/>
  <c r="K56" i="56"/>
  <c r="K57" i="56" s="1"/>
  <c r="K74" i="57"/>
  <c r="E24" i="57" s="1"/>
  <c r="E30"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M78" i="41"/>
  <c r="M79" i="41"/>
  <c r="N79" i="41"/>
  <c r="M81" i="41"/>
  <c r="M77" i="41"/>
  <c r="N77" i="41"/>
  <c r="D87" i="47" l="1"/>
  <c r="G88" i="47"/>
  <c r="Q11" i="47" s="1"/>
  <c r="T11" i="47"/>
  <c r="V11" i="47" s="1"/>
  <c r="D75" i="47"/>
  <c r="G75" i="47" s="1"/>
  <c r="G83" i="47"/>
  <c r="D89" i="47"/>
  <c r="G89" i="47" s="1"/>
  <c r="V12" i="57"/>
  <c r="V97" i="57"/>
  <c r="V67" i="57"/>
  <c r="V82" i="57"/>
  <c r="V52" i="57"/>
  <c r="V37" i="57"/>
  <c r="E33" i="57"/>
  <c r="K60" i="56"/>
  <c r="K61" i="56" s="1"/>
  <c r="K62" i="56" s="1"/>
  <c r="K70" i="56" s="1"/>
  <c r="K71" i="56" s="1"/>
  <c r="K74" i="56" s="1"/>
  <c r="E24" i="56" s="1"/>
  <c r="E30"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E77" i="41"/>
  <c r="G77" i="41" s="1"/>
  <c r="N75" i="41"/>
  <c r="L81" i="47" l="1"/>
  <c r="Q15" i="47"/>
  <c r="S15" i="47" s="1"/>
  <c r="L86" i="47"/>
  <c r="C125" i="47" s="1"/>
  <c r="S11" i="47"/>
  <c r="D85" i="47"/>
  <c r="G85" i="47" s="1"/>
  <c r="G87" i="47"/>
  <c r="V12" i="56"/>
  <c r="V97" i="56"/>
  <c r="K72" i="56"/>
  <c r="K73" i="56" s="1"/>
  <c r="E23" i="56" s="1"/>
  <c r="E32" i="56"/>
  <c r="E31" i="56"/>
  <c r="G209" i="44"/>
  <c r="G208" i="44"/>
  <c r="F208" i="44" s="1"/>
  <c r="C133" i="43"/>
  <c r="C127" i="43"/>
  <c r="L90" i="43"/>
  <c r="C130" i="43"/>
  <c r="L90" i="42"/>
  <c r="C130" i="42"/>
  <c r="C127" i="42"/>
  <c r="C133" i="42"/>
  <c r="C130" i="41"/>
  <c r="L90" i="41"/>
  <c r="C133" i="41"/>
  <c r="C127" i="41"/>
  <c r="L77" i="47" l="1"/>
  <c r="Q25" i="47"/>
  <c r="V67" i="56"/>
  <c r="V82" i="56"/>
  <c r="V52" i="56"/>
  <c r="V37" i="56"/>
  <c r="E33" i="56"/>
  <c r="H208" i="44"/>
  <c r="H210" i="44" s="1"/>
  <c r="F210" i="44" s="1"/>
  <c r="G210" i="44" s="1"/>
  <c r="F209" i="44" s="1"/>
  <c r="C136" i="44" s="1"/>
  <c r="G209" i="43"/>
  <c r="G208" i="43"/>
  <c r="F208" i="43" s="1"/>
  <c r="G209" i="42"/>
  <c r="G208" i="42"/>
  <c r="F208" i="42" s="1"/>
  <c r="G209" i="41"/>
  <c r="G208" i="41"/>
  <c r="F208" i="41" s="1"/>
  <c r="L75" i="47" l="1"/>
  <c r="T25" i="47"/>
  <c r="V25" i="47" s="1"/>
  <c r="N77" i="47"/>
  <c r="M77" i="47"/>
  <c r="S25" i="47"/>
  <c r="S27" i="47" s="1"/>
  <c r="G5" i="47" s="1"/>
  <c r="Q27" i="47"/>
  <c r="C135" i="44"/>
  <c r="L88" i="44"/>
  <c r="L85" i="44" s="1"/>
  <c r="H208" i="43"/>
  <c r="H210" i="43" s="1"/>
  <c r="F210" i="43" s="1"/>
  <c r="G210" i="43" s="1"/>
  <c r="F209" i="43" s="1"/>
  <c r="C136" i="43" s="1"/>
  <c r="H208" i="42"/>
  <c r="H210" i="42" s="1"/>
  <c r="F210" i="42" s="1"/>
  <c r="G210" i="42" s="1"/>
  <c r="F209" i="42" s="1"/>
  <c r="C136" i="42" s="1"/>
  <c r="H208" i="41"/>
  <c r="H210" i="41" s="1"/>
  <c r="F210" i="41" s="1"/>
  <c r="G210" i="41" s="1"/>
  <c r="F209" i="41" s="1"/>
  <c r="C136" i="41" s="1"/>
  <c r="G163" i="39"/>
  <c r="C124" i="47" l="1"/>
  <c r="N78" i="47"/>
  <c r="N80" i="47"/>
  <c r="M78" i="47"/>
  <c r="M80" i="47"/>
  <c r="M79" i="47"/>
  <c r="N79" i="47"/>
  <c r="M81" i="47"/>
  <c r="C144" i="44"/>
  <c r="C139" i="44"/>
  <c r="C140" i="44" s="1"/>
  <c r="C135" i="43"/>
  <c r="L88" i="43"/>
  <c r="L85" i="43" s="1"/>
  <c r="C135" i="42"/>
  <c r="L88" i="42"/>
  <c r="L85" i="42" s="1"/>
  <c r="C135" i="41"/>
  <c r="L88" i="41"/>
  <c r="D130" i="47" l="1"/>
  <c r="C132" i="47"/>
  <c r="C129" i="47"/>
  <c r="M83" i="47"/>
  <c r="L89" i="47" s="1"/>
  <c r="E77" i="47"/>
  <c r="D77" i="47"/>
  <c r="G77" i="47" s="1"/>
  <c r="N75" i="47"/>
  <c r="M75" i="47"/>
  <c r="L91" i="44"/>
  <c r="C141" i="44"/>
  <c r="C50" i="37"/>
  <c r="C56" i="26"/>
  <c r="C64" i="37"/>
  <c r="C78" i="38"/>
  <c r="C85" i="38" s="1"/>
  <c r="C67" i="39"/>
  <c r="C72" i="39" s="1"/>
  <c r="C144" i="43"/>
  <c r="C139" i="43"/>
  <c r="C140" i="43" s="1"/>
  <c r="C144" i="42"/>
  <c r="C139" i="42"/>
  <c r="C140" i="42" s="1"/>
  <c r="L85" i="41"/>
  <c r="C139" i="41"/>
  <c r="C140" i="41" s="1"/>
  <c r="C144" i="41"/>
  <c r="L90" i="47" l="1"/>
  <c r="C130" i="47"/>
  <c r="C127" i="47"/>
  <c r="C133" i="47"/>
  <c r="C63" i="26"/>
  <c r="P6" i="26"/>
  <c r="L91" i="42"/>
  <c r="C141" i="42"/>
  <c r="L91" i="41"/>
  <c r="C141" i="41"/>
  <c r="L92" i="44"/>
  <c r="C142" i="44"/>
  <c r="C95" i="38"/>
  <c r="C93" i="38"/>
  <c r="G93" i="38" s="1"/>
  <c r="C81" i="37"/>
  <c r="C79" i="37"/>
  <c r="G79" i="37" s="1"/>
  <c r="C90" i="38"/>
  <c r="C83" i="38"/>
  <c r="G83" i="38" s="1"/>
  <c r="C88" i="38"/>
  <c r="C76" i="37"/>
  <c r="C69" i="37"/>
  <c r="G69" i="37" s="1"/>
  <c r="C71" i="37"/>
  <c r="C74" i="37"/>
  <c r="L91" i="43"/>
  <c r="C141" i="43"/>
  <c r="C61" i="26"/>
  <c r="M69" i="15"/>
  <c r="F24" i="60" s="1" a="1"/>
  <c r="F24" i="60" s="1"/>
  <c r="K69" i="15"/>
  <c r="F23" i="60" s="1" a="1"/>
  <c r="F23" i="60" s="1"/>
  <c r="I69" i="15"/>
  <c r="G208" i="47" l="1"/>
  <c r="F208" i="47" s="1"/>
  <c r="G209" i="47"/>
  <c r="G61" i="26"/>
  <c r="F22" i="60" a="1"/>
  <c r="F22" i="60" s="1"/>
  <c r="J15" i="60" s="1"/>
  <c r="L92" i="42"/>
  <c r="C142" i="42"/>
  <c r="L92" i="41"/>
  <c r="C142" i="41"/>
  <c r="L82" i="44"/>
  <c r="M82" i="44" s="1"/>
  <c r="T16" i="44"/>
  <c r="M136" i="15"/>
  <c r="G87" i="66" s="1"/>
  <c r="J17" i="60"/>
  <c r="K136" i="15"/>
  <c r="G81" i="66" s="1"/>
  <c r="J16" i="60"/>
  <c r="I136" i="15"/>
  <c r="G75" i="66" s="1"/>
  <c r="C84" i="38"/>
  <c r="G84" i="38" s="1"/>
  <c r="D83" i="38"/>
  <c r="F83" i="38"/>
  <c r="E83" i="38"/>
  <c r="C89" i="38"/>
  <c r="C75" i="37"/>
  <c r="D79" i="37"/>
  <c r="E79" i="37"/>
  <c r="C80" i="37"/>
  <c r="G80" i="37" s="1"/>
  <c r="F79" i="37"/>
  <c r="D69" i="37"/>
  <c r="C70" i="37"/>
  <c r="G70" i="37" s="1"/>
  <c r="F69" i="37"/>
  <c r="E69" i="37"/>
  <c r="D93" i="38"/>
  <c r="E93" i="38"/>
  <c r="F93" i="38"/>
  <c r="C94" i="38"/>
  <c r="G94" i="38" s="1"/>
  <c r="L92" i="43"/>
  <c r="C142" i="43"/>
  <c r="C65" i="14"/>
  <c r="G172" i="39"/>
  <c r="H172" i="39" s="1"/>
  <c r="E172" i="39"/>
  <c r="E162" i="39"/>
  <c r="G9" i="39"/>
  <c r="G10" i="39" s="1"/>
  <c r="F9" i="39"/>
  <c r="F10" i="39" s="1"/>
  <c r="E9" i="39"/>
  <c r="E10" i="39" s="1"/>
  <c r="D9" i="39"/>
  <c r="D10" i="39" s="1"/>
  <c r="G5" i="39"/>
  <c r="G7" i="39" s="1"/>
  <c r="F5" i="39"/>
  <c r="F7" i="39" s="1"/>
  <c r="E5" i="39"/>
  <c r="E7" i="39" s="1"/>
  <c r="D5" i="39"/>
  <c r="D6" i="39" s="1"/>
  <c r="C79" i="39"/>
  <c r="C77" i="39"/>
  <c r="C74" i="39"/>
  <c r="C66" i="39"/>
  <c r="C53" i="39"/>
  <c r="C51" i="39"/>
  <c r="C44" i="39"/>
  <c r="C26" i="39"/>
  <c r="C25" i="39"/>
  <c r="C19" i="39"/>
  <c r="H208" i="47" l="1"/>
  <c r="H210" i="47" s="1"/>
  <c r="F210" i="47" s="1"/>
  <c r="G210" i="47" s="1"/>
  <c r="F209" i="47" s="1"/>
  <c r="C136" i="47" s="1"/>
  <c r="C84" i="39"/>
  <c r="C82" i="39"/>
  <c r="C73" i="39"/>
  <c r="E73" i="39" s="1"/>
  <c r="G72" i="39"/>
  <c r="G71" i="37"/>
  <c r="G81" i="37"/>
  <c r="C36" i="37" s="1"/>
  <c r="C34" i="37" s="1"/>
  <c r="C38" i="37" s="1"/>
  <c r="C28" i="39"/>
  <c r="G85" i="38"/>
  <c r="G95" i="38"/>
  <c r="C41" i="38" s="1"/>
  <c r="G76" i="66"/>
  <c r="G77" i="66" s="1" a="1"/>
  <c r="G77" i="66" s="1"/>
  <c r="G88" i="66"/>
  <c r="G89" i="66" s="1" a="1"/>
  <c r="G89" i="66" s="1"/>
  <c r="G82" i="66"/>
  <c r="G83" i="66" s="1" a="1"/>
  <c r="G83" i="66" s="1"/>
  <c r="L82" i="42"/>
  <c r="M82" i="42" s="1"/>
  <c r="T16" i="42"/>
  <c r="T16" i="41"/>
  <c r="L82" i="41"/>
  <c r="M82" i="41" s="1"/>
  <c r="T15" i="44"/>
  <c r="V16" i="44"/>
  <c r="E72" i="14"/>
  <c r="E70" i="14"/>
  <c r="F70" i="37"/>
  <c r="F71" i="37" s="1"/>
  <c r="E70" i="37"/>
  <c r="E71" i="37" s="1"/>
  <c r="C66" i="37" s="1"/>
  <c r="D70" i="37"/>
  <c r="D71" i="37" s="1"/>
  <c r="C44" i="37" s="1"/>
  <c r="F94" i="38"/>
  <c r="F95" i="38" s="1"/>
  <c r="E94" i="38"/>
  <c r="E95" i="38" s="1"/>
  <c r="D94" i="38"/>
  <c r="D95" i="38" s="1"/>
  <c r="C44" i="38" s="1"/>
  <c r="E80" i="37"/>
  <c r="E81" i="37" s="1"/>
  <c r="F80" i="37"/>
  <c r="F81" i="37" s="1"/>
  <c r="D80" i="37"/>
  <c r="D81" i="37" s="1"/>
  <c r="C39" i="37" s="1"/>
  <c r="D84" i="38"/>
  <c r="F84" i="38"/>
  <c r="F85" i="38" s="1"/>
  <c r="C79" i="38" s="1"/>
  <c r="E84" i="38"/>
  <c r="E85" i="38" s="1"/>
  <c r="C80" i="38" s="1"/>
  <c r="D7" i="39"/>
  <c r="T16" i="43"/>
  <c r="L82" i="43"/>
  <c r="M82" i="43" s="1"/>
  <c r="E73" i="14"/>
  <c r="C70" i="14"/>
  <c r="C73" i="14"/>
  <c r="C72" i="14"/>
  <c r="E71" i="14"/>
  <c r="C71" i="14"/>
  <c r="C77" i="14"/>
  <c r="C76" i="14"/>
  <c r="I163" i="39"/>
  <c r="H163" i="39"/>
  <c r="G173" i="39"/>
  <c r="H162" i="39"/>
  <c r="C173" i="39"/>
  <c r="I172" i="39"/>
  <c r="J172" i="39" s="1"/>
  <c r="I162" i="39"/>
  <c r="D172" i="39"/>
  <c r="F172" i="39" s="1"/>
  <c r="C163" i="39"/>
  <c r="D162" i="39"/>
  <c r="F162" i="39" s="1"/>
  <c r="F6" i="39"/>
  <c r="G6" i="39"/>
  <c r="E6" i="39"/>
  <c r="E72" i="39"/>
  <c r="G82" i="39"/>
  <c r="F72" i="39"/>
  <c r="C78" i="39"/>
  <c r="D72" i="39"/>
  <c r="C135" i="47" l="1"/>
  <c r="L88" i="47"/>
  <c r="L85" i="47" s="1"/>
  <c r="D73" i="39"/>
  <c r="D74" i="39" s="1"/>
  <c r="C45" i="39" s="1"/>
  <c r="C37" i="37"/>
  <c r="F73" i="39"/>
  <c r="F74" i="39" s="1"/>
  <c r="G73" i="39"/>
  <c r="G74" i="39" s="1"/>
  <c r="V16" i="42"/>
  <c r="T15" i="42"/>
  <c r="V16" i="41"/>
  <c r="T15" i="41"/>
  <c r="V15" i="44"/>
  <c r="V27" i="44" s="1"/>
  <c r="G4" i="44" s="1"/>
  <c r="G2" i="44" s="1"/>
  <c r="T27" i="44"/>
  <c r="H67" i="14" a="1"/>
  <c r="H67" i="14" s="1"/>
  <c r="J67" i="14" a="1"/>
  <c r="J67" i="14" s="1"/>
  <c r="J77" i="14" s="1"/>
  <c r="D85" i="38"/>
  <c r="C58" i="38" s="1"/>
  <c r="C140" i="38"/>
  <c r="C139" i="38"/>
  <c r="T15" i="43"/>
  <c r="V16" i="43"/>
  <c r="I164" i="39"/>
  <c r="H164" i="39"/>
  <c r="J162" i="39"/>
  <c r="D173" i="39"/>
  <c r="E173" i="39"/>
  <c r="E174" i="39" s="1"/>
  <c r="H173" i="39"/>
  <c r="H174" i="39" s="1"/>
  <c r="I173" i="39"/>
  <c r="I174" i="39" s="1"/>
  <c r="E163" i="39"/>
  <c r="E164" i="39" s="1"/>
  <c r="D163" i="39"/>
  <c r="D164" i="39" s="1"/>
  <c r="J163" i="39"/>
  <c r="E74" i="39"/>
  <c r="C69" i="39" s="1"/>
  <c r="C83" i="39"/>
  <c r="G83" i="39" s="1"/>
  <c r="F82" i="39"/>
  <c r="E82" i="39"/>
  <c r="D82" i="39"/>
  <c r="C140" i="47" l="1"/>
  <c r="L91" i="47" s="1"/>
  <c r="C142" i="47"/>
  <c r="C139" i="47"/>
  <c r="C141" i="47"/>
  <c r="L92" i="47" s="1"/>
  <c r="C144" i="47"/>
  <c r="G84" i="39"/>
  <c r="C33" i="39" s="1"/>
  <c r="T27" i="42"/>
  <c r="V15" i="42"/>
  <c r="V27" i="42" s="1"/>
  <c r="G4" i="42" s="1"/>
  <c r="G2" i="42" s="1"/>
  <c r="T27" i="41"/>
  <c r="V15" i="41"/>
  <c r="V27" i="41" s="1"/>
  <c r="G4" i="41" s="1"/>
  <c r="G2" i="41" s="1"/>
  <c r="G76" i="26"/>
  <c r="V15" i="43"/>
  <c r="V27" i="43" s="1"/>
  <c r="G4" i="43" s="1"/>
  <c r="G2" i="43" s="1"/>
  <c r="T27" i="43"/>
  <c r="J164" i="39"/>
  <c r="J174" i="39"/>
  <c r="J173" i="39"/>
  <c r="F173" i="39"/>
  <c r="D174" i="39"/>
  <c r="F174" i="39" s="1"/>
  <c r="F164" i="39"/>
  <c r="F163" i="39"/>
  <c r="F83" i="39"/>
  <c r="F84" i="39" s="1"/>
  <c r="E83" i="39"/>
  <c r="E84" i="39" s="1"/>
  <c r="D83" i="39"/>
  <c r="D84" i="39" s="1"/>
  <c r="C36" i="39" s="1"/>
  <c r="L82" i="47" l="1"/>
  <c r="M82" i="47" s="1"/>
  <c r="T16" i="47"/>
  <c r="G60" i="11"/>
  <c r="E76" i="26"/>
  <c r="D76" i="26"/>
  <c r="F76" i="26"/>
  <c r="O7" i="3"/>
  <c r="C196" i="37"/>
  <c r="C195" i="37"/>
  <c r="C145" i="37"/>
  <c r="V16" i="47" l="1"/>
  <c r="T15" i="47"/>
  <c r="M173" i="15"/>
  <c r="M177" i="15"/>
  <c r="F60" i="11"/>
  <c r="K173" i="15" s="1"/>
  <c r="D60" i="11"/>
  <c r="D61" i="11" s="1"/>
  <c r="E60" i="11"/>
  <c r="O8" i="3"/>
  <c r="G201" i="37"/>
  <c r="F201" i="37"/>
  <c r="E201" i="37"/>
  <c r="D201" i="37"/>
  <c r="G177" i="37"/>
  <c r="G175" i="37"/>
  <c r="I175" i="37" s="1"/>
  <c r="C177" i="37"/>
  <c r="C175" i="37"/>
  <c r="E175" i="37" s="1"/>
  <c r="G167" i="37"/>
  <c r="G165" i="37"/>
  <c r="C167" i="37"/>
  <c r="C165" i="37"/>
  <c r="M32" i="15"/>
  <c r="K32" i="15"/>
  <c r="I32" i="15"/>
  <c r="I30" i="15"/>
  <c r="K30" i="15"/>
  <c r="M30" i="15"/>
  <c r="G27" i="15"/>
  <c r="D77" i="26" s="1"/>
  <c r="I27" i="15"/>
  <c r="K27" i="15"/>
  <c r="M27" i="15"/>
  <c r="V15" i="47" l="1"/>
  <c r="V27" i="47" s="1"/>
  <c r="G4" i="47" s="1"/>
  <c r="T27" i="47"/>
  <c r="F95" i="39"/>
  <c r="F93" i="39" s="1"/>
  <c r="F106" i="38"/>
  <c r="F92" i="37"/>
  <c r="F111" i="38"/>
  <c r="F97" i="37"/>
  <c r="C92" i="37"/>
  <c r="C106" i="38"/>
  <c r="C16" i="37"/>
  <c r="C18" i="38"/>
  <c r="C111" i="38"/>
  <c r="C97" i="37"/>
  <c r="C15" i="39"/>
  <c r="F16" i="39" s="1"/>
  <c r="C7" i="26"/>
  <c r="G166" i="37"/>
  <c r="H165" i="37"/>
  <c r="I165" i="37"/>
  <c r="F100" i="39"/>
  <c r="F98" i="39" s="1"/>
  <c r="C100" i="39"/>
  <c r="C95" i="39"/>
  <c r="E165" i="37"/>
  <c r="D165" i="37"/>
  <c r="D175" i="37"/>
  <c r="F175" i="37" s="1"/>
  <c r="H175" i="37"/>
  <c r="J175" i="37" s="1"/>
  <c r="C166" i="37"/>
  <c r="C176" i="37"/>
  <c r="G176" i="37"/>
  <c r="C89" i="26"/>
  <c r="C87" i="26" s="1"/>
  <c r="C88" i="26" s="1"/>
  <c r="D88" i="26" s="1"/>
  <c r="E88" i="26" s="1"/>
  <c r="F84" i="26"/>
  <c r="F82" i="26" s="1"/>
  <c r="C84" i="26"/>
  <c r="C82" i="26" s="1"/>
  <c r="D82" i="26" s="1"/>
  <c r="E82" i="26" s="1"/>
  <c r="F89" i="26"/>
  <c r="AB9" i="47" l="1"/>
  <c r="G2" i="47"/>
  <c r="D8" i="26"/>
  <c r="F35" i="66"/>
  <c r="G95" i="39"/>
  <c r="H95" i="39" s="1"/>
  <c r="E88" i="39" s="1"/>
  <c r="F95" i="37"/>
  <c r="G97" i="37"/>
  <c r="H97" i="37" s="1"/>
  <c r="G85" i="37" s="1"/>
  <c r="F109" i="38"/>
  <c r="G111" i="38"/>
  <c r="H111" i="38" s="1"/>
  <c r="G99" i="38" s="1"/>
  <c r="D92" i="37"/>
  <c r="E92" i="37" s="1"/>
  <c r="D85" i="37" s="1"/>
  <c r="C90" i="37"/>
  <c r="F104" i="38"/>
  <c r="G106" i="38"/>
  <c r="H106" i="38" s="1"/>
  <c r="E99" i="38" s="1"/>
  <c r="F90" i="37"/>
  <c r="G92" i="37"/>
  <c r="H92" i="37" s="1"/>
  <c r="E85" i="37" s="1"/>
  <c r="C104" i="38"/>
  <c r="D106" i="38"/>
  <c r="E106" i="38" s="1"/>
  <c r="D99" i="38" s="1"/>
  <c r="G19" i="38"/>
  <c r="E19" i="38"/>
  <c r="E17" i="37"/>
  <c r="D17" i="37"/>
  <c r="D19" i="38"/>
  <c r="G17" i="37"/>
  <c r="F19" i="38"/>
  <c r="F17" i="37"/>
  <c r="D97" i="37"/>
  <c r="E97" i="37" s="1"/>
  <c r="F85" i="37" s="1"/>
  <c r="C95" i="37"/>
  <c r="D111" i="38"/>
  <c r="E111" i="38" s="1"/>
  <c r="F99" i="38" s="1"/>
  <c r="C109" i="38"/>
  <c r="E20" i="11"/>
  <c r="E21" i="11" s="1"/>
  <c r="E28" i="11" s="1"/>
  <c r="E16" i="39"/>
  <c r="H77" i="14"/>
  <c r="G100" i="39"/>
  <c r="H100" i="39" s="1"/>
  <c r="G88" i="39" s="1"/>
  <c r="G93" i="39"/>
  <c r="H93" i="39" s="1"/>
  <c r="F94" i="39"/>
  <c r="G94" i="39" s="1"/>
  <c r="H94" i="39" s="1"/>
  <c r="G16" i="39"/>
  <c r="D16" i="39"/>
  <c r="D95" i="39"/>
  <c r="E95" i="39" s="1"/>
  <c r="D88" i="39" s="1"/>
  <c r="C93" i="39"/>
  <c r="H166" i="37"/>
  <c r="H167" i="37" s="1"/>
  <c r="I166" i="37"/>
  <c r="I167" i="37" s="1"/>
  <c r="D100" i="39"/>
  <c r="E100" i="39" s="1"/>
  <c r="F88" i="39" s="1"/>
  <c r="C98" i="39"/>
  <c r="E166" i="37"/>
  <c r="E167" i="37" s="1"/>
  <c r="D166" i="37"/>
  <c r="D167" i="37" s="1"/>
  <c r="E8" i="26"/>
  <c r="F165" i="37"/>
  <c r="I176" i="37"/>
  <c r="I177" i="37" s="1"/>
  <c r="H176" i="37"/>
  <c r="E176" i="37"/>
  <c r="E177" i="37" s="1"/>
  <c r="D176" i="37"/>
  <c r="J165" i="37"/>
  <c r="F8" i="26"/>
  <c r="D89" i="26"/>
  <c r="E89" i="26" s="1"/>
  <c r="F77" i="26" s="1"/>
  <c r="G8" i="26"/>
  <c r="D87" i="26"/>
  <c r="E87" i="26" s="1"/>
  <c r="G84" i="26"/>
  <c r="H84" i="26" s="1"/>
  <c r="E77" i="26" s="1"/>
  <c r="D84" i="26"/>
  <c r="E84" i="26" s="1"/>
  <c r="C83" i="26"/>
  <c r="D83" i="26" s="1"/>
  <c r="E83" i="26" s="1"/>
  <c r="F87" i="26"/>
  <c r="G87" i="26" s="1"/>
  <c r="H87" i="26" s="1"/>
  <c r="G89" i="26"/>
  <c r="H89" i="26" s="1"/>
  <c r="G77" i="26" s="1"/>
  <c r="G82" i="26"/>
  <c r="H82" i="26" s="1"/>
  <c r="F83" i="26"/>
  <c r="G83" i="26" s="1"/>
  <c r="H83" i="26" s="1"/>
  <c r="F78" i="26" l="1"/>
  <c r="F74" i="11"/>
  <c r="G78" i="26"/>
  <c r="G74" i="11"/>
  <c r="E78" i="26"/>
  <c r="E74" i="11"/>
  <c r="D78" i="26"/>
  <c r="H150" i="60" s="1"/>
  <c r="D74" i="11"/>
  <c r="G177" i="15"/>
  <c r="G104" i="38"/>
  <c r="H104" i="38" s="1"/>
  <c r="F105" i="38"/>
  <c r="G105" i="38" s="1"/>
  <c r="H105" i="38" s="1"/>
  <c r="C91" i="37"/>
  <c r="D91" i="37" s="1"/>
  <c r="E91" i="37" s="1"/>
  <c r="D90" i="37"/>
  <c r="E90" i="37" s="1"/>
  <c r="G37" i="11"/>
  <c r="D76" i="49"/>
  <c r="D104" i="38"/>
  <c r="E104" i="38" s="1"/>
  <c r="C105" i="38"/>
  <c r="D105" i="38" s="1"/>
  <c r="E105" i="38" s="1"/>
  <c r="F110" i="38"/>
  <c r="G110" i="38" s="1"/>
  <c r="H110" i="38" s="1"/>
  <c r="G109" i="38"/>
  <c r="H109" i="38" s="1"/>
  <c r="G90" i="37"/>
  <c r="H90" i="37" s="1"/>
  <c r="F91" i="37"/>
  <c r="G91" i="37" s="1"/>
  <c r="H91" i="37" s="1"/>
  <c r="G95" i="37"/>
  <c r="H95" i="37" s="1"/>
  <c r="F96" i="37"/>
  <c r="G96" i="37" s="1"/>
  <c r="H96" i="37" s="1"/>
  <c r="C110" i="38"/>
  <c r="D110" i="38" s="1"/>
  <c r="E110" i="38" s="1"/>
  <c r="D109" i="38"/>
  <c r="E109" i="38" s="1"/>
  <c r="D95" i="37"/>
  <c r="E95" i="37" s="1"/>
  <c r="C96" i="37"/>
  <c r="D96" i="37" s="1"/>
  <c r="E96" i="37" s="1"/>
  <c r="D76" i="48"/>
  <c r="G35" i="11"/>
  <c r="G38" i="11" s="1"/>
  <c r="F20" i="11"/>
  <c r="F21" i="11" s="1"/>
  <c r="F28" i="11" s="1"/>
  <c r="G20" i="11"/>
  <c r="G21" i="11" s="1"/>
  <c r="G28" i="11" s="1"/>
  <c r="J166" i="37"/>
  <c r="C94" i="39"/>
  <c r="D94" i="39" s="1"/>
  <c r="E94" i="39" s="1"/>
  <c r="D93" i="39"/>
  <c r="E93" i="39" s="1"/>
  <c r="D98" i="39"/>
  <c r="E98" i="39" s="1"/>
  <c r="C99" i="39"/>
  <c r="D99" i="39" s="1"/>
  <c r="E99" i="39" s="1"/>
  <c r="G98" i="39"/>
  <c r="H98" i="39" s="1"/>
  <c r="F99" i="39"/>
  <c r="G99" i="39" s="1"/>
  <c r="H99" i="39" s="1"/>
  <c r="J167" i="37"/>
  <c r="J176" i="37"/>
  <c r="H177" i="37"/>
  <c r="J177" i="37" s="1"/>
  <c r="F166" i="37"/>
  <c r="F167" i="37"/>
  <c r="F176" i="37"/>
  <c r="D177" i="37"/>
  <c r="F177" i="37" s="1"/>
  <c r="F88" i="26"/>
  <c r="G88" i="26" s="1"/>
  <c r="H88" i="26" s="1"/>
  <c r="G39" i="11" l="1"/>
  <c r="K177" i="15"/>
  <c r="F61" i="11"/>
  <c r="K174" i="15" s="1"/>
  <c r="D65" i="11"/>
  <c r="I173" i="15"/>
  <c r="I177" i="15"/>
  <c r="E61" i="11"/>
  <c r="G61" i="11"/>
  <c r="G173" i="15"/>
  <c r="G76" i="49"/>
  <c r="D82" i="49"/>
  <c r="F37" i="11"/>
  <c r="F39" i="11" s="1"/>
  <c r="F35" i="11"/>
  <c r="F38" i="11" s="1"/>
  <c r="G65" i="11" l="1"/>
  <c r="M175" i="15"/>
  <c r="M174" i="15"/>
  <c r="F65" i="11"/>
  <c r="K175" i="15"/>
  <c r="G174" i="15"/>
  <c r="G175" i="15"/>
  <c r="E65" i="11"/>
  <c r="I175" i="15"/>
  <c r="I174" i="15"/>
  <c r="D83" i="49"/>
  <c r="G82" i="49"/>
  <c r="L79" i="49" s="1"/>
  <c r="D88" i="49"/>
  <c r="G76" i="48"/>
  <c r="D82" i="48"/>
  <c r="G88" i="49" l="1"/>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31"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42" i="26"/>
  <c r="C16" i="26"/>
  <c r="C18" i="26" s="1"/>
  <c r="C17" i="26"/>
  <c r="C11" i="26"/>
  <c r="C13" i="26" s="1"/>
  <c r="F61" i="26"/>
  <c r="C68" i="26"/>
  <c r="C66" i="26"/>
  <c r="C25" i="26" l="1"/>
  <c r="C22" i="26"/>
  <c r="O5" i="26"/>
  <c r="R5" i="26" s="1"/>
  <c r="O4" i="26"/>
  <c r="R4" i="26" s="1"/>
  <c r="F209" i="49"/>
  <c r="C136" i="49" s="1"/>
  <c r="C135" i="49" s="1"/>
  <c r="G208" i="48"/>
  <c r="F208" i="48" s="1"/>
  <c r="H208" i="48" s="1"/>
  <c r="H210" i="48" s="1"/>
  <c r="F210" i="48" s="1"/>
  <c r="G210" i="48" s="1"/>
  <c r="G209" i="48"/>
  <c r="C40" i="26"/>
  <c r="E61" i="26"/>
  <c r="D61" i="26"/>
  <c r="C62" i="26"/>
  <c r="C67" i="26"/>
  <c r="G62" i="26" l="1"/>
  <c r="G63" i="26" s="1"/>
  <c r="O6" i="26" s="1"/>
  <c r="O16" i="26" s="1"/>
  <c r="P16" i="26" s="1"/>
  <c r="C71" i="26"/>
  <c r="C72" i="26" s="1"/>
  <c r="P7" i="26"/>
  <c r="L88" i="49"/>
  <c r="L85" i="49" s="1"/>
  <c r="C140" i="49"/>
  <c r="L91" i="49" s="1"/>
  <c r="C139" i="49"/>
  <c r="C142" i="49"/>
  <c r="C141" i="49"/>
  <c r="L92" i="49" s="1"/>
  <c r="C144" i="49"/>
  <c r="F209" i="48"/>
  <c r="C136" i="48" s="1"/>
  <c r="C135" i="48" s="1"/>
  <c r="C73" i="26"/>
  <c r="D62" i="26"/>
  <c r="D63" i="26" s="1"/>
  <c r="C34" i="26" s="1"/>
  <c r="F62" i="26"/>
  <c r="F63" i="26" s="1"/>
  <c r="C57" i="26" s="1"/>
  <c r="E62" i="26"/>
  <c r="E63" i="26" s="1"/>
  <c r="C58" i="26" s="1"/>
  <c r="R6" i="26" l="1"/>
  <c r="D72" i="26"/>
  <c r="G72" i="26"/>
  <c r="G71" i="26"/>
  <c r="D71" i="26"/>
  <c r="T16" i="49"/>
  <c r="L82" i="49"/>
  <c r="M82" i="49" s="1"/>
  <c r="L88" i="48"/>
  <c r="L85" i="48" s="1"/>
  <c r="C140" i="48"/>
  <c r="L91" i="48" s="1"/>
  <c r="C144" i="48"/>
  <c r="C139" i="48"/>
  <c r="C142" i="48"/>
  <c r="C141" i="48"/>
  <c r="L92" i="48" s="1"/>
  <c r="E71" i="26"/>
  <c r="F71" i="26"/>
  <c r="E72" i="26"/>
  <c r="F72" i="26"/>
  <c r="G73" i="26" l="1"/>
  <c r="C23" i="26" s="1"/>
  <c r="C21" i="26" s="1"/>
  <c r="D73" i="26"/>
  <c r="F73" i="26"/>
  <c r="V16" i="49"/>
  <c r="T15" i="49"/>
  <c r="L82" i="48"/>
  <c r="M82" i="48" s="1"/>
  <c r="T16" i="48"/>
  <c r="E73" i="26"/>
  <c r="C26" i="26" l="1"/>
  <c r="C24" i="26" s="1"/>
  <c r="V15" i="49"/>
  <c r="V27" i="49" s="1"/>
  <c r="G4" i="49" s="1"/>
  <c r="G2" i="49" s="1"/>
  <c r="T27" i="49"/>
  <c r="V16" i="48"/>
  <c r="T15" i="48"/>
  <c r="D27" i="26" l="1"/>
  <c r="D29" i="26" s="1"/>
  <c r="AB9" i="49"/>
  <c r="V15" i="48"/>
  <c r="V27" i="48" s="1"/>
  <c r="G4" i="48" s="1"/>
  <c r="T27" i="48"/>
  <c r="D28" i="26" l="1"/>
  <c r="D36" i="26" s="1"/>
  <c r="D35" i="26" s="1"/>
  <c r="D48" i="26" s="1"/>
  <c r="AB9" i="48"/>
  <c r="G2" i="48"/>
  <c r="E35" i="11" l="1"/>
  <c r="E38" i="11" s="1"/>
  <c r="E37" i="11" l="1"/>
  <c r="E39" i="11" s="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M31" i="15"/>
  <c r="K31" i="15"/>
  <c r="I31" i="15"/>
  <c r="L77" i="45" l="1"/>
  <c r="Q25" i="45"/>
  <c r="O33" i="3"/>
  <c r="O31" i="3"/>
  <c r="O29" i="3"/>
  <c r="O27" i="3"/>
  <c r="O25" i="3"/>
  <c r="O23" i="3"/>
  <c r="O21" i="3"/>
  <c r="O19" i="3"/>
  <c r="O17" i="3"/>
  <c r="O15" i="3"/>
  <c r="O13" i="3"/>
  <c r="D77" i="39" s="1"/>
  <c r="O11" i="3"/>
  <c r="O9" i="3"/>
  <c r="O32" i="3"/>
  <c r="S25" i="45" l="1"/>
  <c r="S27" i="45" s="1"/>
  <c r="G5" i="45" s="1"/>
  <c r="Q27" i="45"/>
  <c r="D74" i="37"/>
  <c r="D88" i="38"/>
  <c r="T25" i="45"/>
  <c r="L75" i="45"/>
  <c r="M77" i="45" s="1"/>
  <c r="O12" i="3"/>
  <c r="O20" i="3"/>
  <c r="O26" i="3"/>
  <c r="O30" i="3"/>
  <c r="O10" i="3"/>
  <c r="O14" i="3"/>
  <c r="D78" i="39" s="1"/>
  <c r="O18" i="3"/>
  <c r="O24" i="3"/>
  <c r="O28" i="3"/>
  <c r="O34" i="3"/>
  <c r="O16" i="3"/>
  <c r="O22" i="3"/>
  <c r="N77" i="45" l="1"/>
  <c r="D89" i="38"/>
  <c r="D90" i="38" s="1"/>
  <c r="D75" i="37"/>
  <c r="D76" i="37" s="1"/>
  <c r="C65" i="37" s="1"/>
  <c r="C124" i="45"/>
  <c r="N78" i="45"/>
  <c r="M80" i="45"/>
  <c r="N80" i="45"/>
  <c r="M78" i="45"/>
  <c r="N79" i="45"/>
  <c r="M79" i="45"/>
  <c r="M81" i="45"/>
  <c r="D67" i="26"/>
  <c r="D66" i="26"/>
  <c r="D130" i="45" l="1"/>
  <c r="N75" i="45"/>
  <c r="D79" i="39"/>
  <c r="C68" i="39" s="1"/>
  <c r="M75" i="45"/>
  <c r="M83" i="45"/>
  <c r="D77" i="45"/>
  <c r="G77" i="45" s="1"/>
  <c r="E77" i="45"/>
  <c r="C129" i="45"/>
  <c r="C132" i="45"/>
  <c r="D68" i="26"/>
  <c r="F27" i="26" l="1"/>
  <c r="G27" i="26"/>
  <c r="G29" i="26" s="1"/>
  <c r="G97" i="26" s="1"/>
  <c r="E27" i="26"/>
  <c r="C133" i="45"/>
  <c r="C127" i="45"/>
  <c r="L90" i="45"/>
  <c r="C130" i="45"/>
  <c r="C27" i="26" l="1"/>
  <c r="G122" i="38"/>
  <c r="G37" i="38"/>
  <c r="G32" i="37"/>
  <c r="G28" i="26"/>
  <c r="D32" i="37"/>
  <c r="D37" i="38"/>
  <c r="I50" i="38" s="1"/>
  <c r="D97" i="26"/>
  <c r="D122" i="38" s="1"/>
  <c r="E29" i="26"/>
  <c r="E97" i="26" s="1"/>
  <c r="E122" i="38" s="1"/>
  <c r="E28" i="26"/>
  <c r="E32" i="37"/>
  <c r="E37" i="38"/>
  <c r="F29" i="26"/>
  <c r="F97" i="26" s="1"/>
  <c r="F122" i="38" s="1"/>
  <c r="F32" i="37"/>
  <c r="F28" i="26"/>
  <c r="F37" i="38"/>
  <c r="G209" i="45"/>
  <c r="G208" i="45"/>
  <c r="F208" i="45" s="1"/>
  <c r="H208" i="45" s="1"/>
  <c r="H210" i="45" s="1"/>
  <c r="F210" i="45" s="1"/>
  <c r="G210" i="45" s="1"/>
  <c r="E142" i="38" l="1"/>
  <c r="E141" i="38"/>
  <c r="G137" i="38"/>
  <c r="G138" i="38"/>
  <c r="F137" i="38"/>
  <c r="F138" i="38"/>
  <c r="D137" i="38"/>
  <c r="D50" i="38"/>
  <c r="D141" i="38"/>
  <c r="H50" i="38"/>
  <c r="C41" i="26"/>
  <c r="D41" i="26" s="1"/>
  <c r="E50" i="38"/>
  <c r="N7" i="26"/>
  <c r="N4" i="26"/>
  <c r="S4" i="26" s="1"/>
  <c r="N5" i="26"/>
  <c r="S5" i="26" s="1"/>
  <c r="G142" i="38"/>
  <c r="G38" i="38"/>
  <c r="G60" i="38" s="1"/>
  <c r="G59" i="38" s="1"/>
  <c r="G61" i="38" s="1"/>
  <c r="G119" i="38" s="1"/>
  <c r="F40" i="37"/>
  <c r="F33" i="37"/>
  <c r="F46" i="37" s="1"/>
  <c r="F45" i="37" s="1"/>
  <c r="F47" i="37" s="1"/>
  <c r="F103" i="37" s="1"/>
  <c r="D142" i="38"/>
  <c r="C37" i="38"/>
  <c r="D38" i="38"/>
  <c r="D60" i="38" s="1"/>
  <c r="D59" i="38" s="1"/>
  <c r="D61" i="38" s="1"/>
  <c r="D119" i="38" s="1"/>
  <c r="F141" i="38"/>
  <c r="F38" i="38"/>
  <c r="F60" i="38" s="1"/>
  <c r="F59" i="38" s="1"/>
  <c r="F61" i="38" s="1"/>
  <c r="F119" i="38" s="1"/>
  <c r="F36" i="26"/>
  <c r="F35" i="26" s="1"/>
  <c r="D40" i="37"/>
  <c r="C32" i="37"/>
  <c r="D33" i="37"/>
  <c r="D46" i="37" s="1"/>
  <c r="D45" i="37" s="1"/>
  <c r="D47" i="37" s="1"/>
  <c r="D103" i="37" s="1"/>
  <c r="E138" i="38"/>
  <c r="E38" i="38"/>
  <c r="E60" i="38" s="1"/>
  <c r="E59" i="38" s="1"/>
  <c r="E61" i="38" s="1"/>
  <c r="E119" i="38" s="1"/>
  <c r="E33" i="37"/>
  <c r="E46" i="37" s="1"/>
  <c r="E45" i="37" s="1"/>
  <c r="E47" i="37" s="1"/>
  <c r="E103" i="37" s="1"/>
  <c r="E40" i="37"/>
  <c r="E36" i="26"/>
  <c r="E35" i="26" s="1"/>
  <c r="G36" i="26"/>
  <c r="G35" i="26" s="1"/>
  <c r="G40" i="37"/>
  <c r="G33" i="37"/>
  <c r="G46" i="37" s="1"/>
  <c r="G45" i="37" s="1"/>
  <c r="G47" i="37" s="1"/>
  <c r="G103" i="37" s="1"/>
  <c r="F209" i="45"/>
  <c r="C136" i="45" s="1"/>
  <c r="L88" i="45" s="1"/>
  <c r="C138" i="38" l="1"/>
  <c r="C137" i="38"/>
  <c r="C43" i="26"/>
  <c r="C45" i="26" s="1"/>
  <c r="C141" i="38"/>
  <c r="C24" i="38"/>
  <c r="C25" i="38" s="1"/>
  <c r="C22" i="37"/>
  <c r="C51" i="37"/>
  <c r="G41" i="26"/>
  <c r="G43" i="26" s="1"/>
  <c r="G44" i="26" s="1"/>
  <c r="E41" i="26"/>
  <c r="E43" i="26" s="1"/>
  <c r="E45" i="26" s="1"/>
  <c r="E96" i="26" s="1"/>
  <c r="E120" i="38" s="1"/>
  <c r="F41" i="26"/>
  <c r="F43" i="26" s="1"/>
  <c r="F44" i="26" s="1"/>
  <c r="D43" i="26"/>
  <c r="N6" i="26"/>
  <c r="S6" i="26" s="1"/>
  <c r="S7" i="26" s="1"/>
  <c r="O7" i="26" s="1"/>
  <c r="E49" i="26"/>
  <c r="G49" i="26"/>
  <c r="G37" i="26"/>
  <c r="G95" i="26" s="1"/>
  <c r="G118" i="38" s="1"/>
  <c r="G48" i="26"/>
  <c r="C142" i="38"/>
  <c r="F49" i="26"/>
  <c r="D37" i="26"/>
  <c r="E37" i="26"/>
  <c r="E95" i="26" s="1"/>
  <c r="E118" i="38" s="1"/>
  <c r="E48" i="26"/>
  <c r="D49" i="26"/>
  <c r="F37" i="26"/>
  <c r="F95" i="26" s="1"/>
  <c r="F118" i="38" s="1"/>
  <c r="F48" i="26"/>
  <c r="D105" i="37"/>
  <c r="G51" i="37" l="1"/>
  <c r="G53" i="37" s="1"/>
  <c r="F51" i="37"/>
  <c r="F53" i="37" s="1"/>
  <c r="E51" i="37"/>
  <c r="E53" i="37" s="1"/>
  <c r="D50" i="26"/>
  <c r="D58" i="37" s="1"/>
  <c r="D60" i="37" s="1"/>
  <c r="D102" i="37" s="1"/>
  <c r="D45" i="26"/>
  <c r="D96" i="26" s="1"/>
  <c r="D120" i="38" s="1"/>
  <c r="E50" i="26"/>
  <c r="E52" i="26" s="1"/>
  <c r="E94" i="26" s="1"/>
  <c r="E44" i="26"/>
  <c r="E51" i="26" s="1"/>
  <c r="E59" i="37" s="1"/>
  <c r="D44" i="26"/>
  <c r="D51" i="26" s="1"/>
  <c r="D73" i="38" s="1"/>
  <c r="F45" i="26"/>
  <c r="F96" i="26" s="1"/>
  <c r="F120" i="38" s="1"/>
  <c r="G45" i="26"/>
  <c r="G96" i="26" s="1"/>
  <c r="G120" i="38" s="1"/>
  <c r="G50" i="26"/>
  <c r="G58" i="37" s="1"/>
  <c r="G60" i="37" s="1"/>
  <c r="G102" i="37" s="1"/>
  <c r="F50" i="26"/>
  <c r="F52" i="26" s="1"/>
  <c r="F94" i="26" s="1"/>
  <c r="G51" i="26"/>
  <c r="G73" i="38" s="1"/>
  <c r="D95" i="26"/>
  <c r="D118" i="38" s="1"/>
  <c r="F51" i="26"/>
  <c r="E105" i="37"/>
  <c r="F105" i="37"/>
  <c r="G105" i="37"/>
  <c r="D52" i="26" l="1"/>
  <c r="D94" i="26" s="1"/>
  <c r="D98" i="26" s="1"/>
  <c r="D72" i="38"/>
  <c r="D74" i="38" s="1"/>
  <c r="D117" i="38" s="1"/>
  <c r="E72" i="38"/>
  <c r="E74" i="38" s="1"/>
  <c r="E117" i="38" s="1"/>
  <c r="E58" i="37"/>
  <c r="E60" i="37" s="1"/>
  <c r="E102" i="37" s="1"/>
  <c r="F58" i="37"/>
  <c r="F60" i="37" s="1"/>
  <c r="F102" i="37" s="1"/>
  <c r="F72" i="38"/>
  <c r="F74" i="38" s="1"/>
  <c r="F117" i="38" s="1"/>
  <c r="G52" i="26"/>
  <c r="G94" i="26" s="1"/>
  <c r="G98" i="26" s="1"/>
  <c r="G72" i="38"/>
  <c r="G74" i="38" s="1"/>
  <c r="G117" i="38" s="1"/>
  <c r="G59" i="37"/>
  <c r="D59" i="37"/>
  <c r="E73" i="38"/>
  <c r="F116" i="38"/>
  <c r="F98" i="26"/>
  <c r="F3" i="26" s="1"/>
  <c r="E98" i="26"/>
  <c r="E3" i="26" s="1"/>
  <c r="E116" i="38"/>
  <c r="F73" i="38"/>
  <c r="F59" i="37"/>
  <c r="F54" i="37"/>
  <c r="F55" i="37"/>
  <c r="F104" i="37" s="1"/>
  <c r="G54" i="37"/>
  <c r="G55" i="37"/>
  <c r="G104" i="37" s="1"/>
  <c r="G106" i="37" s="1"/>
  <c r="E54" i="37"/>
  <c r="E55" i="37"/>
  <c r="E104" i="37" s="1"/>
  <c r="D116" i="38" l="1"/>
  <c r="E106" i="37"/>
  <c r="E107" i="37" s="1"/>
  <c r="F106" i="37"/>
  <c r="F107" i="37" s="1"/>
  <c r="G116" i="38"/>
  <c r="D100" i="26"/>
  <c r="D101" i="26" s="1"/>
  <c r="D102" i="26" s="1"/>
  <c r="D3" i="26"/>
  <c r="D99" i="26"/>
  <c r="D124" i="38"/>
  <c r="D73" i="11"/>
  <c r="F99" i="26"/>
  <c r="F73" i="11"/>
  <c r="F124" i="38"/>
  <c r="F100" i="26"/>
  <c r="E99" i="26"/>
  <c r="E100" i="26"/>
  <c r="E124" i="38"/>
  <c r="E73" i="11"/>
  <c r="G3" i="26"/>
  <c r="G99" i="26"/>
  <c r="G124" i="38"/>
  <c r="G73" i="11"/>
  <c r="G100" i="26"/>
  <c r="G107" i="37"/>
  <c r="F76" i="11" l="1"/>
  <c r="D76" i="11"/>
  <c r="E76" i="11"/>
  <c r="G76" i="11"/>
  <c r="F127" i="38"/>
  <c r="F184" i="38" s="1"/>
  <c r="F101" i="26"/>
  <c r="F102" i="26" s="1"/>
  <c r="D127" i="38"/>
  <c r="D184" i="38" s="1"/>
  <c r="E127" i="38"/>
  <c r="E184" i="38" s="1"/>
  <c r="E101" i="26"/>
  <c r="E102" i="26" s="1"/>
  <c r="G127" i="38"/>
  <c r="G184" i="38" s="1"/>
  <c r="G101" i="26"/>
  <c r="G102" i="26" s="1"/>
  <c r="U11" i="45"/>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C184" i="38" l="1"/>
  <c r="I168" i="15"/>
  <c r="H117" i="60" s="1"/>
  <c r="O118" i="60" s="1"/>
  <c r="D131" i="38"/>
  <c r="E131" i="38"/>
  <c r="G131" i="38"/>
  <c r="F131" i="38"/>
  <c r="F215" i="45"/>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66" i="28" a="1"/>
  <c r="L166" i="28" s="1"/>
  <c r="G2" i="45" l="1"/>
  <c r="N166" i="28"/>
  <c r="M166" i="28"/>
  <c r="D168" i="28" l="1"/>
  <c r="D171" i="28" s="1"/>
  <c r="D169" i="28"/>
  <c r="D172" i="28" s="1"/>
  <c r="C46" i="11" s="1"/>
  <c r="F48" i="11" s="1"/>
  <c r="F62" i="11" s="1"/>
  <c r="F63" i="11" s="1"/>
  <c r="D48" i="11" l="1"/>
  <c r="D62" i="11" s="1"/>
  <c r="D69" i="11" s="1"/>
  <c r="E48" i="11"/>
  <c r="E62" i="11" s="1"/>
  <c r="G48" i="11"/>
  <c r="G62" i="11" s="1"/>
  <c r="D66" i="11" l="1"/>
  <c r="F70" i="11"/>
  <c r="F69" i="11"/>
  <c r="G66" i="11"/>
  <c r="G70" i="11"/>
  <c r="G69" i="11"/>
  <c r="E70" i="11"/>
  <c r="E69" i="11"/>
  <c r="D70" i="11"/>
  <c r="D63" i="11"/>
  <c r="D64" i="11" s="1"/>
  <c r="F66" i="11"/>
  <c r="E66" i="11"/>
  <c r="M179" i="15"/>
  <c r="M178" i="15"/>
  <c r="G63" i="11"/>
  <c r="G64" i="11" s="1"/>
  <c r="E63" i="11"/>
  <c r="I179" i="15"/>
  <c r="I178" i="15"/>
  <c r="F64" i="11"/>
  <c r="K179" i="15"/>
  <c r="K178" i="15"/>
  <c r="G178" i="15"/>
  <c r="G179" i="15"/>
  <c r="G87" i="39" l="1"/>
  <c r="G89" i="39" s="1"/>
  <c r="G84" i="37"/>
  <c r="G86" i="37" s="1"/>
  <c r="G108" i="37" s="1"/>
  <c r="G109" i="37" s="1"/>
  <c r="G110" i="37" s="1"/>
  <c r="G115" i="37" s="1"/>
  <c r="G116" i="37" s="1"/>
  <c r="F87" i="39"/>
  <c r="F89" i="39" s="1"/>
  <c r="F84" i="37"/>
  <c r="F86" i="37" s="1"/>
  <c r="F108" i="37" s="1"/>
  <c r="F109" i="37" s="1"/>
  <c r="F110" i="37" s="1"/>
  <c r="F115" i="37" s="1"/>
  <c r="D87" i="39"/>
  <c r="D89" i="39" s="1"/>
  <c r="D84" i="37"/>
  <c r="D86" i="37" s="1"/>
  <c r="G77" i="11"/>
  <c r="G78" i="11" s="1"/>
  <c r="G98" i="38"/>
  <c r="G100" i="38" s="1"/>
  <c r="F77" i="11"/>
  <c r="F78" i="11" s="1"/>
  <c r="F98" i="38"/>
  <c r="F100" i="38" s="1"/>
  <c r="D77" i="11"/>
  <c r="D78" i="11" s="1"/>
  <c r="D98" i="38"/>
  <c r="D100" i="38" s="1"/>
  <c r="E64" i="11"/>
  <c r="AB4" i="49"/>
  <c r="AB5" i="49" s="1"/>
  <c r="AB4" i="48"/>
  <c r="E98" i="38" l="1"/>
  <c r="E100" i="38" s="1"/>
  <c r="E87" i="39"/>
  <c r="E89" i="39" s="1"/>
  <c r="E84" i="37"/>
  <c r="E86" i="37" s="1"/>
  <c r="E108" i="37" s="1"/>
  <c r="E109" i="37" s="1"/>
  <c r="E110" i="37" s="1"/>
  <c r="E115" i="37" s="1"/>
  <c r="E116" i="37" s="1"/>
  <c r="AB4" i="45"/>
  <c r="AB5" i="45" s="1"/>
  <c r="E77" i="11"/>
  <c r="E78" i="11" s="1"/>
  <c r="AB4" i="47"/>
  <c r="AB5" i="47" s="1"/>
  <c r="G79" i="11"/>
  <c r="G161" i="38" s="1"/>
  <c r="G80" i="11"/>
  <c r="G162" i="38" s="1"/>
  <c r="D79" i="11"/>
  <c r="D161" i="38" s="1"/>
  <c r="D80" i="11"/>
  <c r="D162" i="38" s="1"/>
  <c r="F80" i="11"/>
  <c r="F162" i="38" s="1"/>
  <c r="F79" i="11"/>
  <c r="F161" i="38" s="1"/>
  <c r="AB5" i="48"/>
  <c r="H131" i="37"/>
  <c r="H130" i="37"/>
  <c r="H128" i="37"/>
  <c r="H129" i="37"/>
  <c r="F116" i="37"/>
  <c r="C163" i="37" l="1"/>
  <c r="D184" i="37" s="1"/>
  <c r="C160" i="39"/>
  <c r="E79" i="11"/>
  <c r="E161" i="38" s="1"/>
  <c r="C161" i="38" s="1"/>
  <c r="E80" i="11"/>
  <c r="E162" i="38" s="1"/>
  <c r="C172" i="37"/>
  <c r="E172" i="37" s="1"/>
  <c r="C168" i="39"/>
  <c r="C169" i="39" s="1"/>
  <c r="G161" i="37"/>
  <c r="H161" i="37" s="1"/>
  <c r="E181" i="39"/>
  <c r="G158" i="39"/>
  <c r="I158" i="39" s="1"/>
  <c r="G168" i="39"/>
  <c r="G181" i="39"/>
  <c r="G184" i="37"/>
  <c r="G171" i="37"/>
  <c r="G172" i="37"/>
  <c r="J128" i="37"/>
  <c r="H133" i="37"/>
  <c r="H132" i="37"/>
  <c r="I128" i="37"/>
  <c r="I130" i="37"/>
  <c r="J130" i="37"/>
  <c r="J129" i="37"/>
  <c r="I129" i="37"/>
  <c r="J131" i="37"/>
  <c r="I131" i="37"/>
  <c r="H123" i="37"/>
  <c r="H120" i="37"/>
  <c r="H122" i="37"/>
  <c r="H121" i="37"/>
  <c r="D129" i="37"/>
  <c r="F129" i="37" s="1"/>
  <c r="D130" i="37"/>
  <c r="E130" i="37" s="1"/>
  <c r="D128" i="37"/>
  <c r="F128" i="37" s="1"/>
  <c r="D131" i="37"/>
  <c r="F131" i="37" s="1"/>
  <c r="C158" i="39" l="1"/>
  <c r="C159" i="39" s="1"/>
  <c r="D181" i="39"/>
  <c r="C162" i="37"/>
  <c r="D162" i="37" s="1"/>
  <c r="C161" i="37"/>
  <c r="D161" i="37" s="1"/>
  <c r="C162" i="38"/>
  <c r="C171" i="37"/>
  <c r="E171" i="37" s="1"/>
  <c r="F184" i="37"/>
  <c r="E184" i="37"/>
  <c r="G162" i="37"/>
  <c r="H162" i="37" s="1"/>
  <c r="I161" i="37"/>
  <c r="J161" i="37" s="1"/>
  <c r="F181" i="39"/>
  <c r="E168" i="39"/>
  <c r="D168" i="39"/>
  <c r="D172" i="37"/>
  <c r="F172" i="37" s="1"/>
  <c r="G159" i="39"/>
  <c r="H159" i="39" s="1"/>
  <c r="H158" i="39"/>
  <c r="J158" i="39" s="1"/>
  <c r="J132" i="37"/>
  <c r="G142" i="37" s="1"/>
  <c r="I172" i="37"/>
  <c r="H172" i="37"/>
  <c r="J133" i="37"/>
  <c r="G141" i="37" s="1"/>
  <c r="H171" i="37"/>
  <c r="I171" i="37"/>
  <c r="I133" i="37"/>
  <c r="I132" i="37"/>
  <c r="I168" i="39"/>
  <c r="G169" i="39"/>
  <c r="H168" i="39"/>
  <c r="J121" i="37"/>
  <c r="I121" i="37"/>
  <c r="J122" i="37"/>
  <c r="I122" i="37"/>
  <c r="J120" i="37"/>
  <c r="I120" i="37"/>
  <c r="H125" i="37"/>
  <c r="H124" i="37"/>
  <c r="J123" i="37"/>
  <c r="I123" i="37"/>
  <c r="F130" i="37"/>
  <c r="F133" i="37" s="1"/>
  <c r="F141" i="37" s="1"/>
  <c r="E131" i="37"/>
  <c r="D133" i="37"/>
  <c r="E129" i="37"/>
  <c r="D132" i="37"/>
  <c r="E128" i="37"/>
  <c r="E169" i="39"/>
  <c r="D169" i="39"/>
  <c r="E158" i="39" l="1"/>
  <c r="D158" i="39"/>
  <c r="E161" i="37"/>
  <c r="F161" i="37" s="1"/>
  <c r="E162" i="37"/>
  <c r="F162" i="37" s="1"/>
  <c r="E173" i="37"/>
  <c r="D171" i="37"/>
  <c r="F171" i="37" s="1"/>
  <c r="H163" i="37"/>
  <c r="I162" i="37"/>
  <c r="I163" i="37" s="1"/>
  <c r="F168" i="39"/>
  <c r="E170" i="39"/>
  <c r="G154" i="37"/>
  <c r="G191" i="37" s="1"/>
  <c r="G192" i="37" s="1"/>
  <c r="I159" i="39"/>
  <c r="I160" i="39" s="1"/>
  <c r="H173" i="37"/>
  <c r="I173" i="37"/>
  <c r="J172" i="37"/>
  <c r="J168" i="39"/>
  <c r="G143" i="37"/>
  <c r="E227" i="37" s="1"/>
  <c r="G155" i="37"/>
  <c r="G197" i="37" s="1"/>
  <c r="G198" i="37" s="1"/>
  <c r="H169" i="39"/>
  <c r="H170" i="39" s="1"/>
  <c r="I169" i="39"/>
  <c r="I170" i="39" s="1"/>
  <c r="J171" i="37"/>
  <c r="J124" i="37"/>
  <c r="E142" i="37" s="1"/>
  <c r="J125" i="37"/>
  <c r="E141" i="37" s="1"/>
  <c r="I124" i="37"/>
  <c r="I125" i="37"/>
  <c r="H160" i="39"/>
  <c r="F132" i="37"/>
  <c r="F142" i="37" s="1"/>
  <c r="E133" i="37"/>
  <c r="E132" i="37"/>
  <c r="F169" i="39"/>
  <c r="D170" i="39"/>
  <c r="D163" i="37"/>
  <c r="E159" i="39"/>
  <c r="E160" i="39" s="1"/>
  <c r="D159" i="39"/>
  <c r="F158" i="39" l="1"/>
  <c r="E163" i="37"/>
  <c r="F163" i="37" s="1"/>
  <c r="D173" i="37"/>
  <c r="F173" i="37" s="1"/>
  <c r="F143" i="37"/>
  <c r="F146" i="37" s="1"/>
  <c r="F147" i="37" s="1"/>
  <c r="J162" i="37"/>
  <c r="J163" i="37"/>
  <c r="F170" i="39"/>
  <c r="J159" i="39"/>
  <c r="J160" i="39"/>
  <c r="J173" i="37"/>
  <c r="G185" i="37" s="1"/>
  <c r="G186" i="37" s="1"/>
  <c r="E226" i="37" s="1"/>
  <c r="G202" i="37"/>
  <c r="G203" i="37" s="1"/>
  <c r="G146" i="37"/>
  <c r="G147" i="37" s="1"/>
  <c r="J170" i="39"/>
  <c r="J169" i="39"/>
  <c r="E155" i="37"/>
  <c r="E143" i="37"/>
  <c r="E154" i="37"/>
  <c r="F155" i="37"/>
  <c r="F197" i="37" s="1"/>
  <c r="F198" i="37" s="1"/>
  <c r="F154" i="37"/>
  <c r="F159" i="39"/>
  <c r="D160" i="39"/>
  <c r="F160" i="39" s="1"/>
  <c r="E221" i="37" l="1"/>
  <c r="F185" i="37"/>
  <c r="F186" i="37" s="1"/>
  <c r="F191" i="37"/>
  <c r="F192" i="37" s="1"/>
  <c r="E228" i="37"/>
  <c r="E229" i="37" s="1"/>
  <c r="G26" i="38" s="1"/>
  <c r="E191" i="37"/>
  <c r="E192" i="37" s="1"/>
  <c r="E185" i="37"/>
  <c r="E186" i="37" s="1"/>
  <c r="E215" i="37"/>
  <c r="E146" i="37"/>
  <c r="E147" i="37" s="1"/>
  <c r="E197" i="37"/>
  <c r="E198" i="37" s="1"/>
  <c r="E202" i="37"/>
  <c r="E203" i="37" s="1"/>
  <c r="F202" i="37"/>
  <c r="F203" i="37" s="1"/>
  <c r="E222" i="37" s="1"/>
  <c r="E220" i="37" l="1"/>
  <c r="E223" i="37" s="1"/>
  <c r="F26" i="38" s="1"/>
  <c r="E214" i="37"/>
  <c r="E216" i="37"/>
  <c r="E217" i="37" l="1"/>
  <c r="E26" i="38" s="1"/>
  <c r="K49" i="38" l="1"/>
  <c r="H144" i="38" l="1"/>
  <c r="D60" i="60" s="1"/>
  <c r="J105" i="52" l="1"/>
  <c r="J106" i="52" s="1"/>
  <c r="I64" i="52"/>
  <c r="I105" i="52"/>
  <c r="I106" i="52" s="1"/>
  <c r="K64" i="52"/>
  <c r="J64" i="52"/>
  <c r="H105" i="52"/>
  <c r="H106" i="52" s="1"/>
  <c r="K105" i="52"/>
  <c r="K106" i="52" s="1"/>
  <c r="G105" i="52"/>
  <c r="G106" i="52" s="1"/>
  <c r="G107" i="52" s="1"/>
  <c r="G108" i="52" s="1"/>
  <c r="H64" i="52"/>
  <c r="G38" i="52"/>
  <c r="G109" i="52" l="1"/>
  <c r="G110" i="52"/>
  <c r="G67" i="52"/>
  <c r="G68" i="52" s="1"/>
  <c r="G69" i="52" s="1"/>
  <c r="K65" i="52"/>
  <c r="J65" i="52"/>
  <c r="I65" i="52"/>
  <c r="H65" i="52"/>
  <c r="G70" i="52" l="1"/>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V37" i="52" s="1"/>
  <c r="K72" i="52"/>
  <c r="K73" i="52" s="1"/>
  <c r="E23" i="52" s="1"/>
  <c r="K74" i="52"/>
  <c r="E24" i="52" s="1"/>
  <c r="E30" i="52" s="1"/>
  <c r="E31" i="52" l="1"/>
  <c r="V97" i="52"/>
  <c r="V12" i="52"/>
  <c r="V67" i="52"/>
  <c r="V82" i="52"/>
  <c r="V52" i="52"/>
  <c r="E33" i="52"/>
  <c r="G24" i="15" l="1"/>
  <c r="G137" i="15"/>
  <c r="G139" i="15" s="1"/>
  <c r="E14" i="60"/>
  <c r="D35" i="66" l="1"/>
  <c r="G68" i="66" l="1" a="1"/>
  <c r="G68" i="66" s="1"/>
  <c r="G72" i="66" s="1"/>
  <c r="D37" i="66"/>
  <c r="I24" i="15"/>
  <c r="I135" i="15"/>
  <c r="I137" i="15" s="1"/>
  <c r="I139" i="15" s="1"/>
  <c r="I143" i="15" s="1"/>
  <c r="I138" i="15"/>
  <c r="E15" i="60"/>
  <c r="K24" i="15"/>
  <c r="K135" i="15"/>
  <c r="K137" i="15" s="1"/>
  <c r="K138" i="15"/>
  <c r="E16" i="60"/>
  <c r="M24" i="15"/>
  <c r="M135" i="15"/>
  <c r="M137" i="15" s="1"/>
  <c r="M139" i="15" s="1"/>
  <c r="M138" i="15"/>
  <c r="E17" i="60"/>
  <c r="K139" i="15" l="1"/>
  <c r="E33" i="66"/>
  <c r="E35" i="66"/>
  <c r="G33" i="66"/>
  <c r="F33" i="66"/>
  <c r="K151" i="15"/>
  <c r="G74" i="66" l="1" a="1"/>
  <c r="G74" i="66" s="1"/>
  <c r="G78" i="66" s="1"/>
  <c r="I151" i="15"/>
  <c r="E37" i="66"/>
  <c r="G35" i="66"/>
  <c r="I35" i="66" s="1"/>
  <c r="M151" i="15"/>
  <c r="I33" i="66"/>
  <c r="G80" i="66" a="1"/>
  <c r="G80" i="66" s="1"/>
  <c r="G84" i="66" s="1"/>
  <c r="F37" i="66"/>
  <c r="D51" i="37"/>
  <c r="D53" i="37" s="1"/>
  <c r="G153" i="15" l="1"/>
  <c r="G37" i="66"/>
  <c r="G86" i="66" a="1"/>
  <c r="G86" i="66" s="1"/>
  <c r="G90" i="66" s="1"/>
  <c r="G66" i="66" s="1"/>
  <c r="G92" i="66" s="1"/>
  <c r="I37" i="66"/>
  <c r="G65" i="66"/>
  <c r="H65" i="66" s="1"/>
  <c r="D54" i="37"/>
  <c r="D55" i="37"/>
  <c r="D104" i="37" s="1"/>
  <c r="D106" i="37" s="1"/>
  <c r="H92" i="66" l="1"/>
  <c r="D107" i="37"/>
  <c r="D108" i="37"/>
  <c r="D109" i="37" s="1"/>
  <c r="D110" i="37" s="1"/>
  <c r="D115" i="37" s="1"/>
  <c r="D116" i="37" s="1"/>
  <c r="H94" i="66" l="1"/>
  <c r="D120" i="37"/>
  <c r="D121" i="37"/>
  <c r="D122" i="37"/>
  <c r="D123" i="37"/>
  <c r="H96" i="66" l="1"/>
  <c r="H95" i="66"/>
  <c r="E49" i="60" s="1"/>
  <c r="E122" i="37"/>
  <c r="F122" i="37"/>
  <c r="F123" i="37"/>
  <c r="E123" i="37"/>
  <c r="E121" i="37"/>
  <c r="F121" i="37"/>
  <c r="F120" i="37"/>
  <c r="D125" i="37"/>
  <c r="E120" i="37"/>
  <c r="D124" i="37"/>
  <c r="F124" i="37" l="1"/>
  <c r="D142" i="37" s="1"/>
  <c r="F125" i="37"/>
  <c r="D141" i="37" s="1"/>
  <c r="E125" i="37"/>
  <c r="E124" i="37"/>
  <c r="D154" i="37" l="1"/>
  <c r="D191" i="37" s="1"/>
  <c r="D192" i="37" s="1"/>
  <c r="D155" i="37"/>
  <c r="D143" i="37"/>
  <c r="D185" i="37" l="1"/>
  <c r="D186" i="37" s="1"/>
  <c r="E208" i="37" s="1"/>
  <c r="E209" i="37"/>
  <c r="D146" i="37"/>
  <c r="D147" i="37" s="1"/>
  <c r="D202" i="37"/>
  <c r="D203" i="37" s="1"/>
  <c r="D197" i="37"/>
  <c r="D198" i="37" s="1"/>
  <c r="E210" i="37" l="1"/>
  <c r="E211" i="37" l="1"/>
  <c r="D26" i="38" s="1"/>
  <c r="C165" i="38" s="1"/>
  <c r="E165" i="38" l="1"/>
  <c r="F165" i="38"/>
  <c r="D165" i="38"/>
  <c r="G165" i="38"/>
  <c r="C26" i="38"/>
  <c r="C27" i="38" s="1"/>
  <c r="C40" i="38" s="1"/>
  <c r="C20" i="39" l="1"/>
  <c r="C21" i="39" s="1"/>
  <c r="C32" i="39" s="1"/>
  <c r="C35" i="39" s="1"/>
  <c r="C34" i="39" s="1"/>
  <c r="C28" i="38"/>
  <c r="C43" i="38" s="1"/>
  <c r="D65" i="38" s="1"/>
  <c r="D67" i="38" s="1"/>
  <c r="C39" i="38"/>
  <c r="C31" i="39" l="1"/>
  <c r="C22" i="39"/>
  <c r="C42" i="38"/>
  <c r="C51" i="38" s="1"/>
  <c r="F65" i="38"/>
  <c r="F67" i="38" s="1"/>
  <c r="F68" i="38" s="1"/>
  <c r="E65" i="38"/>
  <c r="E67" i="38" s="1"/>
  <c r="E68" i="38" s="1"/>
  <c r="G65" i="38"/>
  <c r="G67" i="38" s="1"/>
  <c r="G68" i="38" s="1"/>
  <c r="D37" i="39"/>
  <c r="G37" i="39"/>
  <c r="E37" i="39"/>
  <c r="F37" i="39"/>
  <c r="F39" i="39" s="1"/>
  <c r="F108" i="39" s="1"/>
  <c r="K51" i="38" l="1"/>
  <c r="F69" i="38"/>
  <c r="F121" i="38" s="1"/>
  <c r="E69" i="38"/>
  <c r="E121" i="38" s="1"/>
  <c r="C65" i="38"/>
  <c r="G69" i="38"/>
  <c r="G121" i="38" s="1"/>
  <c r="G39" i="39"/>
  <c r="G108" i="39" s="1"/>
  <c r="G38" i="39"/>
  <c r="D38" i="39"/>
  <c r="C37" i="39"/>
  <c r="C52" i="39" s="1"/>
  <c r="D52" i="39" s="1"/>
  <c r="D39" i="39"/>
  <c r="D108" i="39" s="1"/>
  <c r="D69" i="38"/>
  <c r="D68" i="38"/>
  <c r="F38" i="39"/>
  <c r="E39" i="39"/>
  <c r="E108" i="39" s="1"/>
  <c r="E38" i="39"/>
  <c r="D121" i="38" l="1"/>
  <c r="C69" i="38"/>
  <c r="C166" i="38" s="1"/>
  <c r="C164" i="38" s="1"/>
  <c r="D47" i="39"/>
  <c r="D46" i="39" s="1"/>
  <c r="C54" i="39"/>
  <c r="C56" i="39" s="1"/>
  <c r="F52" i="39"/>
  <c r="F54" i="39" s="1"/>
  <c r="D54" i="39"/>
  <c r="E52" i="39"/>
  <c r="E54" i="39" s="1"/>
  <c r="G52" i="39"/>
  <c r="G54" i="39" s="1"/>
  <c r="G47" i="39"/>
  <c r="G46" i="39" s="1"/>
  <c r="F47" i="39"/>
  <c r="F46" i="39" s="1"/>
  <c r="E47" i="39"/>
  <c r="E46" i="39" s="1"/>
  <c r="C171" i="38" l="1"/>
  <c r="E171" i="38" s="1"/>
  <c r="D60" i="39"/>
  <c r="G60" i="39"/>
  <c r="F48" i="39"/>
  <c r="F106" i="39" s="1"/>
  <c r="F59" i="39"/>
  <c r="F61" i="39" s="1"/>
  <c r="F63" i="39" s="1"/>
  <c r="F105" i="39" s="1"/>
  <c r="E60" i="39"/>
  <c r="E48" i="39"/>
  <c r="E106" i="39" s="1"/>
  <c r="E59" i="39"/>
  <c r="E61" i="39" s="1"/>
  <c r="E63" i="39" s="1"/>
  <c r="E105" i="39" s="1"/>
  <c r="F55" i="39"/>
  <c r="F56" i="39"/>
  <c r="F107" i="39" s="1"/>
  <c r="G56" i="39"/>
  <c r="G107" i="39" s="1"/>
  <c r="G55" i="39"/>
  <c r="D48" i="39"/>
  <c r="D106" i="39" s="1"/>
  <c r="D59" i="39"/>
  <c r="D61" i="39" s="1"/>
  <c r="D63" i="39" s="1"/>
  <c r="D105" i="39" s="1"/>
  <c r="G48" i="39"/>
  <c r="G106" i="39" s="1"/>
  <c r="G59" i="39"/>
  <c r="G61" i="39" s="1"/>
  <c r="G63" i="39" s="1"/>
  <c r="G105" i="39" s="1"/>
  <c r="E56" i="39"/>
  <c r="E107" i="39" s="1"/>
  <c r="E55" i="39"/>
  <c r="F60" i="39"/>
  <c r="D56" i="39"/>
  <c r="D107" i="39" s="1"/>
  <c r="D55" i="39"/>
  <c r="D171" i="38" l="1"/>
  <c r="G171" i="38"/>
  <c r="F171" i="38"/>
  <c r="E166" i="38"/>
  <c r="E164" i="38" s="1"/>
  <c r="E179" i="38" s="1"/>
  <c r="I181" i="15" s="1"/>
  <c r="I140" i="60" s="1"/>
  <c r="I142" i="60" s="1"/>
  <c r="D166" i="38"/>
  <c r="D164" i="38" s="1"/>
  <c r="D179" i="38" s="1"/>
  <c r="G181" i="15" s="1"/>
  <c r="G166" i="38"/>
  <c r="G164" i="38" s="1"/>
  <c r="G179" i="38" s="1"/>
  <c r="M181" i="15" s="1"/>
  <c r="K140" i="60" s="1"/>
  <c r="K142" i="60" s="1"/>
  <c r="F166" i="38"/>
  <c r="F164" i="38" s="1"/>
  <c r="F179" i="38" s="1"/>
  <c r="G109" i="39"/>
  <c r="G110" i="39" s="1"/>
  <c r="D62" i="39"/>
  <c r="F62" i="39"/>
  <c r="G62" i="39"/>
  <c r="D109" i="39"/>
  <c r="D111" i="39" s="1"/>
  <c r="D112" i="39" s="1"/>
  <c r="D113" i="39" s="1"/>
  <c r="E62" i="39"/>
  <c r="E109" i="39"/>
  <c r="F109" i="39"/>
  <c r="K181" i="15" l="1"/>
  <c r="J140" i="60" s="1"/>
  <c r="J142" i="60" s="1"/>
  <c r="D118" i="39"/>
  <c r="D119" i="39" s="1"/>
  <c r="C179" i="38"/>
  <c r="G111" i="39"/>
  <c r="G112" i="39" s="1"/>
  <c r="G113" i="39" s="1"/>
  <c r="G118" i="39" s="1"/>
  <c r="G119" i="39" s="1"/>
  <c r="H131" i="39" s="1"/>
  <c r="D110" i="39"/>
  <c r="F110" i="39"/>
  <c r="F111" i="39"/>
  <c r="F112" i="39" s="1"/>
  <c r="F113" i="39" s="1"/>
  <c r="F118" i="39" s="1"/>
  <c r="F119" i="39" s="1"/>
  <c r="E110" i="39"/>
  <c r="E111" i="39"/>
  <c r="E112" i="39" s="1"/>
  <c r="E113" i="39" s="1"/>
  <c r="E118" i="39" s="1"/>
  <c r="E119" i="39" s="1"/>
  <c r="D123" i="39" l="1"/>
  <c r="E123" i="39" s="1"/>
  <c r="D126" i="39"/>
  <c r="E126" i="39" s="1"/>
  <c r="D124" i="39"/>
  <c r="F124" i="39" s="1"/>
  <c r="D125" i="39"/>
  <c r="H132" i="39"/>
  <c r="J132" i="39" s="1"/>
  <c r="O181" i="15"/>
  <c r="H140" i="60"/>
  <c r="H134" i="39"/>
  <c r="J134" i="39" s="1"/>
  <c r="H133" i="39"/>
  <c r="H124" i="39"/>
  <c r="H123" i="39"/>
  <c r="H126" i="39"/>
  <c r="H125" i="39"/>
  <c r="D134" i="39"/>
  <c r="D132" i="39"/>
  <c r="D133" i="39"/>
  <c r="D131" i="39"/>
  <c r="I131" i="39"/>
  <c r="J131" i="39"/>
  <c r="E124" i="39" l="1"/>
  <c r="F126" i="39"/>
  <c r="F123" i="39"/>
  <c r="D127" i="39"/>
  <c r="E125" i="39"/>
  <c r="E128" i="39" s="1"/>
  <c r="F125" i="39"/>
  <c r="D128" i="39"/>
  <c r="I132" i="39"/>
  <c r="H135" i="39"/>
  <c r="J133" i="39"/>
  <c r="J136" i="39" s="1"/>
  <c r="G142" i="39" s="1"/>
  <c r="H136" i="39"/>
  <c r="I134" i="39"/>
  <c r="I133" i="39"/>
  <c r="M140" i="60"/>
  <c r="H142" i="60"/>
  <c r="O140" i="60" s="1" a="1"/>
  <c r="O140" i="60" s="1"/>
  <c r="F134" i="39"/>
  <c r="E134" i="39"/>
  <c r="I126" i="39"/>
  <c r="J126" i="39"/>
  <c r="F131" i="39"/>
  <c r="D135" i="39"/>
  <c r="E131" i="39"/>
  <c r="D136" i="39"/>
  <c r="I123" i="39"/>
  <c r="H128" i="39"/>
  <c r="J123" i="39"/>
  <c r="H127" i="39"/>
  <c r="E132" i="39"/>
  <c r="F132" i="39"/>
  <c r="J125" i="39"/>
  <c r="I125" i="39"/>
  <c r="E133" i="39"/>
  <c r="F133" i="39"/>
  <c r="I124" i="39"/>
  <c r="J124" i="39"/>
  <c r="F127" i="39" l="1"/>
  <c r="D143" i="39" s="1"/>
  <c r="E127" i="39"/>
  <c r="F128" i="39"/>
  <c r="D142" i="39" s="1"/>
  <c r="J135" i="39"/>
  <c r="G143" i="39" s="1"/>
  <c r="I136" i="39"/>
  <c r="I135" i="39"/>
  <c r="F136" i="39"/>
  <c r="F142" i="39" s="1"/>
  <c r="I127" i="39"/>
  <c r="J127" i="39"/>
  <c r="E143" i="39" s="1"/>
  <c r="J128" i="39"/>
  <c r="E142" i="39" s="1"/>
  <c r="E136" i="39"/>
  <c r="E135" i="39"/>
  <c r="F135" i="39"/>
  <c r="F143" i="39" s="1"/>
  <c r="I128" i="39"/>
  <c r="G144" i="39" l="1"/>
  <c r="D151" i="39"/>
  <c r="D144" i="39"/>
  <c r="D152" i="39"/>
  <c r="G152" i="39"/>
  <c r="G151" i="39"/>
  <c r="G182" i="39" s="1"/>
  <c r="G183" i="39" s="1"/>
  <c r="E151" i="39"/>
  <c r="E144" i="39"/>
  <c r="E152" i="39"/>
  <c r="F151" i="39"/>
  <c r="F144" i="39"/>
  <c r="F152" i="39"/>
  <c r="D187" i="39" l="1"/>
  <c r="D188" i="39" s="1"/>
  <c r="D182" i="39"/>
  <c r="D183" i="39" s="1"/>
  <c r="G187" i="39"/>
  <c r="F187" i="39"/>
  <c r="F188" i="39" s="1"/>
  <c r="F182" i="39"/>
  <c r="F183" i="39" s="1"/>
  <c r="E187" i="39"/>
  <c r="E188" i="39" s="1"/>
  <c r="E182" i="39"/>
  <c r="E183" i="39" s="1"/>
  <c r="E191" i="39" l="1"/>
  <c r="D45" i="38" s="1"/>
  <c r="G188" i="39"/>
  <c r="E200" i="39" s="1"/>
  <c r="G45" i="38" s="1"/>
  <c r="E197" i="39"/>
  <c r="F45" i="38" s="1"/>
  <c r="F49" i="38" s="1"/>
  <c r="E194" i="39"/>
  <c r="E45" i="38" s="1"/>
  <c r="J49" i="38"/>
  <c r="H49" i="38" l="1"/>
  <c r="H51" i="38" s="1"/>
  <c r="D49" i="38"/>
  <c r="H137" i="38" s="1"/>
  <c r="G49" i="38"/>
  <c r="H140" i="38" s="1"/>
  <c r="I49" i="38"/>
  <c r="I51" i="38" s="1"/>
  <c r="H139" i="38"/>
  <c r="F51" i="38"/>
  <c r="E49" i="38"/>
  <c r="J51" i="38"/>
  <c r="H143" i="38"/>
  <c r="D59" i="60" s="1"/>
  <c r="H141" i="38" l="1"/>
  <c r="D57" i="60" s="1"/>
  <c r="D153" i="38"/>
  <c r="E153" i="38"/>
  <c r="G153" i="38"/>
  <c r="F153" i="38"/>
  <c r="D55" i="60"/>
  <c r="F151" i="38"/>
  <c r="G151" i="38"/>
  <c r="D151" i="38"/>
  <c r="E151" i="38"/>
  <c r="D56" i="60"/>
  <c r="D152" i="38"/>
  <c r="G152" i="38"/>
  <c r="E152" i="38"/>
  <c r="F152" i="38"/>
  <c r="G51" i="38"/>
  <c r="H142" i="38"/>
  <c r="D51" i="38"/>
  <c r="E51" i="38"/>
  <c r="G53" i="38" s="1"/>
  <c r="G54" i="38" s="1"/>
  <c r="G123" i="38" s="1"/>
  <c r="G125" i="38" s="1"/>
  <c r="H138" i="38"/>
  <c r="D53" i="38" l="1"/>
  <c r="D54" i="38" s="1"/>
  <c r="D123" i="38" s="1"/>
  <c r="D125" i="38" s="1"/>
  <c r="C153" i="38"/>
  <c r="C151" i="38"/>
  <c r="C152" i="38"/>
  <c r="F53" i="38"/>
  <c r="F54" i="38" s="1"/>
  <c r="F123" i="38" s="1"/>
  <c r="F125" i="38" s="1"/>
  <c r="F174" i="38" s="1"/>
  <c r="D54" i="60"/>
  <c r="F150" i="38"/>
  <c r="D150" i="38"/>
  <c r="G150" i="38"/>
  <c r="E150" i="38"/>
  <c r="D58" i="60"/>
  <c r="D70" i="60" s="1"/>
  <c r="F154" i="38"/>
  <c r="E154" i="38"/>
  <c r="G154" i="38"/>
  <c r="D154" i="38"/>
  <c r="D149" i="38"/>
  <c r="D53" i="60"/>
  <c r="E53" i="38"/>
  <c r="E54" i="38" s="1"/>
  <c r="E123" i="38" s="1"/>
  <c r="E125" i="38" s="1"/>
  <c r="E126" i="38" s="1"/>
  <c r="F149" i="38"/>
  <c r="E149" i="38"/>
  <c r="G149" i="38"/>
  <c r="G128" i="38"/>
  <c r="G174" i="38"/>
  <c r="G177" i="38" s="1"/>
  <c r="M176" i="15" s="1"/>
  <c r="K132" i="60" s="1"/>
  <c r="G126" i="38"/>
  <c r="G173" i="38"/>
  <c r="G176" i="38" s="1"/>
  <c r="M172" i="15" s="1"/>
  <c r="K128" i="60" s="1"/>
  <c r="D163" i="38" l="1"/>
  <c r="D178" i="38" s="1"/>
  <c r="G180" i="15" s="1"/>
  <c r="E163" i="38"/>
  <c r="E178" i="38" s="1"/>
  <c r="I180" i="15" s="1"/>
  <c r="F128" i="38"/>
  <c r="F185" i="38" s="1"/>
  <c r="F126" i="38"/>
  <c r="F173" i="38"/>
  <c r="F176" i="38" s="1"/>
  <c r="K172" i="15" s="1"/>
  <c r="D71" i="60"/>
  <c r="D72" i="60"/>
  <c r="D69" i="60"/>
  <c r="D64" i="60"/>
  <c r="C150" i="38"/>
  <c r="C154" i="38"/>
  <c r="D170" i="38"/>
  <c r="D168" i="38"/>
  <c r="E170" i="38"/>
  <c r="E169" i="38" s="1"/>
  <c r="E168" i="38"/>
  <c r="F170" i="38"/>
  <c r="F169" i="38" s="1"/>
  <c r="F168" i="38"/>
  <c r="G170" i="38"/>
  <c r="G169" i="38" s="1"/>
  <c r="G168" i="38"/>
  <c r="D63" i="60"/>
  <c r="D66" i="60"/>
  <c r="D65" i="60"/>
  <c r="F163" i="38"/>
  <c r="F178" i="38" s="1"/>
  <c r="K180" i="15" s="1"/>
  <c r="J136" i="60" s="1"/>
  <c r="G163" i="38"/>
  <c r="G178" i="38" s="1"/>
  <c r="E128" i="38"/>
  <c r="E129" i="38" s="1"/>
  <c r="E130" i="38" s="1"/>
  <c r="E174" i="38"/>
  <c r="E177" i="38" s="1"/>
  <c r="I176" i="15" s="1"/>
  <c r="I132" i="60" s="1"/>
  <c r="I134" i="60" s="1"/>
  <c r="E173" i="38"/>
  <c r="E176" i="38" s="1"/>
  <c r="I172" i="15" s="1"/>
  <c r="I128" i="60" s="1"/>
  <c r="I130" i="60" s="1"/>
  <c r="D173" i="38"/>
  <c r="D176" i="38" s="1"/>
  <c r="G172" i="15" s="1"/>
  <c r="D126" i="38"/>
  <c r="D174" i="38"/>
  <c r="D177" i="38" s="1"/>
  <c r="G176" i="15" s="1"/>
  <c r="H132" i="60" s="1"/>
  <c r="F32" i="60" s="1"/>
  <c r="D128" i="38"/>
  <c r="D129" i="38" s="1"/>
  <c r="D130" i="38" s="1"/>
  <c r="C149" i="38"/>
  <c r="K134" i="60"/>
  <c r="F35" i="60"/>
  <c r="K130" i="60"/>
  <c r="F31" i="60"/>
  <c r="G185" i="38"/>
  <c r="G186" i="38" s="1"/>
  <c r="G129" i="38"/>
  <c r="G130" i="38" s="1"/>
  <c r="F177" i="38"/>
  <c r="E167" i="38" l="1"/>
  <c r="E180" i="38" s="1"/>
  <c r="I182" i="15" s="1"/>
  <c r="I144" i="60" s="1"/>
  <c r="I146" i="60" s="1"/>
  <c r="I35" i="60"/>
  <c r="F180" i="60"/>
  <c r="H180" i="60" s="1" a="1"/>
  <c r="H180" i="60" s="1"/>
  <c r="I32" i="60"/>
  <c r="F177" i="60"/>
  <c r="H177" i="60" s="1" a="1"/>
  <c r="H177" i="60" s="1"/>
  <c r="I31" i="60"/>
  <c r="F176" i="60"/>
  <c r="H176" i="60" s="1" a="1"/>
  <c r="H176" i="60" s="1"/>
  <c r="F167" i="38"/>
  <c r="F180" i="38" s="1"/>
  <c r="K182" i="15" s="1"/>
  <c r="J144" i="60" s="1"/>
  <c r="J146" i="60" s="1"/>
  <c r="H134" i="60"/>
  <c r="F129" i="38"/>
  <c r="F130" i="38" s="1"/>
  <c r="G167" i="38"/>
  <c r="G180" i="38" s="1"/>
  <c r="M182" i="15" s="1"/>
  <c r="K144" i="60" s="1"/>
  <c r="K146" i="60" s="1"/>
  <c r="M180" i="15"/>
  <c r="K136" i="60" s="1"/>
  <c r="K138" i="60" s="1"/>
  <c r="I136" i="60"/>
  <c r="I138" i="60" s="1"/>
  <c r="C168" i="38"/>
  <c r="D169" i="38"/>
  <c r="D167" i="38" s="1"/>
  <c r="D180" i="38" s="1"/>
  <c r="C170" i="38"/>
  <c r="C169" i="38" s="1"/>
  <c r="E185" i="38"/>
  <c r="E186" i="38" s="1"/>
  <c r="C163" i="38"/>
  <c r="C178" i="38"/>
  <c r="F33" i="60"/>
  <c r="E181" i="38"/>
  <c r="F29" i="60"/>
  <c r="J138" i="60"/>
  <c r="C173" i="38"/>
  <c r="C174" i="38"/>
  <c r="D185" i="38"/>
  <c r="D186" i="38" s="1"/>
  <c r="H128" i="60"/>
  <c r="H130" i="60" s="1"/>
  <c r="J128" i="60"/>
  <c r="C176" i="38"/>
  <c r="K176" i="15"/>
  <c r="C177" i="38"/>
  <c r="F186" i="38"/>
  <c r="I176" i="60" l="1"/>
  <c r="I177" i="60"/>
  <c r="I180" i="60"/>
  <c r="I29" i="60"/>
  <c r="F174" i="60"/>
  <c r="H174" i="60" s="1" a="1"/>
  <c r="H174" i="60" s="1"/>
  <c r="I33" i="60"/>
  <c r="F178" i="60"/>
  <c r="H178" i="60" s="1" a="1"/>
  <c r="H178" i="60" s="1"/>
  <c r="F181" i="38"/>
  <c r="F188" i="38" s="1"/>
  <c r="G181" i="38"/>
  <c r="G188" i="38" s="1"/>
  <c r="C167" i="38"/>
  <c r="M183" i="15"/>
  <c r="I183" i="15"/>
  <c r="D181" i="38"/>
  <c r="D188" i="38" s="1"/>
  <c r="G182" i="15"/>
  <c r="G183" i="15" s="1"/>
  <c r="C180" i="38"/>
  <c r="C181" i="38" s="1"/>
  <c r="E188" i="38"/>
  <c r="D73" i="60"/>
  <c r="C185" i="38"/>
  <c r="C186" i="38" s="1"/>
  <c r="O172" i="15"/>
  <c r="F28" i="60"/>
  <c r="H136" i="60"/>
  <c r="O180" i="15"/>
  <c r="F30" i="60"/>
  <c r="J130" i="60"/>
  <c r="O128" i="60" s="1" a="1"/>
  <c r="O128" i="60" s="1"/>
  <c r="M128" i="60"/>
  <c r="J132" i="60"/>
  <c r="O176" i="15"/>
  <c r="K183" i="15"/>
  <c r="I174" i="60" l="1"/>
  <c r="I178" i="60"/>
  <c r="I30" i="60"/>
  <c r="F175" i="60"/>
  <c r="H175" i="60" s="1" a="1"/>
  <c r="H175" i="60" s="1"/>
  <c r="I28" i="60"/>
  <c r="F173" i="60"/>
  <c r="H173" i="60" s="1" a="1"/>
  <c r="H173" i="60" s="1"/>
  <c r="H144" i="60"/>
  <c r="O182" i="15"/>
  <c r="E64" i="60"/>
  <c r="E65" i="60"/>
  <c r="E66" i="60"/>
  <c r="E63" i="60"/>
  <c r="C188" i="38"/>
  <c r="C3" i="38" s="1"/>
  <c r="O185" i="15"/>
  <c r="H138" i="60"/>
  <c r="O136" i="60" s="1" a="1"/>
  <c r="O136" i="60" s="1"/>
  <c r="M136" i="60"/>
  <c r="F34" i="60"/>
  <c r="J134" i="60"/>
  <c r="O132" i="60" s="1" a="1"/>
  <c r="O132" i="60" s="1"/>
  <c r="M132" i="60"/>
  <c r="I173" i="60" l="1"/>
  <c r="I175" i="60"/>
  <c r="I34" i="60"/>
  <c r="F179" i="60"/>
  <c r="H179" i="60" s="1" a="1"/>
  <c r="H179" i="60" s="1"/>
  <c r="E69" i="60"/>
  <c r="F47" i="60" s="1"/>
  <c r="F45" i="60" s="1"/>
  <c r="E72" i="60"/>
  <c r="E71" i="60"/>
  <c r="E70" i="60"/>
  <c r="H146" i="60"/>
  <c r="O144" i="60" s="1" a="1"/>
  <c r="O144" i="60" s="1"/>
  <c r="H8" i="60" s="1" a="1"/>
  <c r="H8" i="60" s="1"/>
  <c r="M144" i="60"/>
  <c r="E67" i="60"/>
  <c r="D67" i="60"/>
  <c r="I179" i="60" l="1"/>
  <c r="F44" i="60"/>
  <c r="F189" i="60" s="1"/>
  <c r="H189" i="60" s="1" a="1"/>
  <c r="H189" i="60" s="1"/>
  <c r="I45" i="60"/>
  <c r="F190" i="60"/>
  <c r="H190" i="60" s="1" a="1"/>
  <c r="H190" i="60" s="1"/>
  <c r="F38" i="60"/>
  <c r="F183" i="60" s="1"/>
  <c r="H183" i="60" s="1" a="1"/>
  <c r="H183" i="60" s="1"/>
  <c r="F41" i="60"/>
  <c r="F186" i="60" s="1"/>
  <c r="H186" i="60" s="1" a="1"/>
  <c r="H186" i="60" s="1"/>
  <c r="H45" i="60"/>
  <c r="G190" i="60" s="1"/>
  <c r="E73" i="60"/>
  <c r="I186" i="60" l="1"/>
  <c r="I189" i="60"/>
  <c r="I183" i="60"/>
  <c r="F42" i="60"/>
  <c r="F187" i="60" s="1"/>
  <c r="H187" i="60" s="1" a="1"/>
  <c r="H187" i="60" s="1"/>
  <c r="I190" i="60"/>
  <c r="F39" i="60"/>
  <c r="F184" i="60" s="1"/>
  <c r="H184" i="60" s="1" a="1"/>
  <c r="H184" i="60" s="1"/>
  <c r="F36" i="60"/>
  <c r="F181" i="60" l="1"/>
  <c r="H181" i="60" s="1" a="1"/>
  <c r="H181" i="60" s="1"/>
  <c r="F48" i="60"/>
  <c r="I42" i="60"/>
  <c r="H42" i="60"/>
  <c r="G187" i="60" s="1"/>
  <c r="I187" i="60" s="1"/>
  <c r="H36" i="60"/>
  <c r="I36" i="60"/>
  <c r="H39" i="60"/>
  <c r="G184" i="60" s="1"/>
  <c r="I184" i="60" s="1"/>
  <c r="I39" i="60"/>
  <c r="I48" i="60" l="1"/>
  <c r="G181" i="60"/>
  <c r="I181" i="60" s="1"/>
  <c r="H4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Prévot Blanche</author>
  </authors>
  <commentList>
    <comment ref="F13" authorId="0" shapeId="0" xr:uid="{EC830710-E723-47D2-96B8-0A5A716464C3}">
      <text>
        <r>
          <rPr>
            <b/>
            <sz val="9"/>
            <color indexed="81"/>
            <rFont val="Tahoma"/>
            <family val="2"/>
          </rPr>
          <t>Eppner Fanny:</t>
        </r>
        <r>
          <rPr>
            <sz val="9"/>
            <color indexed="81"/>
            <rFont val="Tahoma"/>
            <family val="2"/>
          </rPr>
          <t xml:space="preserve">
Une chaudière est considérée comme neuve si &lt;3ans</t>
        </r>
      </text>
    </comment>
    <comment ref="J20" authorId="0" shapeId="0" xr:uid="{A9493E29-9884-4E3B-972B-EA93DEB18C07}">
      <text>
        <r>
          <rPr>
            <b/>
            <sz val="9"/>
            <color indexed="81"/>
            <rFont val="Tahoma"/>
            <family val="2"/>
          </rPr>
          <t>Eppner Fanny:</t>
        </r>
        <r>
          <rPr>
            <sz val="9"/>
            <color indexed="81"/>
            <rFont val="Tahoma"/>
            <family val="2"/>
          </rPr>
          <t xml:space="preserve">
Une chaudière est considérée comme neuve si &lt;3ans</t>
        </r>
      </text>
    </comment>
    <comment ref="H79" authorId="1" shapeId="0" xr:uid="{7DE49C37-D76A-4EC7-8C1E-345240F77BEF}">
      <text>
        <r>
          <rPr>
            <b/>
            <sz val="9"/>
            <color indexed="81"/>
            <rFont val="Tahoma"/>
            <family val="2"/>
          </rPr>
          <t>Prévot Blanche:</t>
        </r>
        <r>
          <rPr>
            <sz val="9"/>
            <color indexed="81"/>
            <rFont val="Tahoma"/>
            <family val="2"/>
          </rPr>
          <t xml:space="preserve">
Valeur différente pour la micromodulation suite à un cas de dossier à économies négatives.
Recommandation du CTGN : faire une vérification pour la micromodulation si l'eff thermique avant mesure dépasse 84% (eff combustion = eff thermique - perte par radiation / convection = 84% - pertes)</t>
        </r>
      </text>
    </comment>
    <comment ref="F88"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93"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94"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6" authorId="0" shapeId="0" xr:uid="{4395FC0B-CB0B-4092-8F16-E604A7838E0D}">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 ref="F97" authorId="0" shapeId="0" xr:uid="{095FE39E-86F6-4928-B7FB-E32461EA5BF9}">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tc={036FCD2C-834B-46D5-9E3B-D7BD65163AF8}</author>
  </authors>
  <commentList>
    <comment ref="C41" authorId="0" shapeId="0" xr:uid="{036FCD2C-834B-46D5-9E3B-D7BD65163AF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C205" authorId="0" shapeId="0" xr:uid="{35EF0CA6-D47D-4260-AD77-E6D7751DA54B}">
      <text>
        <r>
          <rPr>
            <b/>
            <sz val="9"/>
            <color indexed="81"/>
            <rFont val="Tahoma"/>
            <family val="2"/>
          </rPr>
          <t>Eppner Fanny:</t>
        </r>
        <r>
          <rPr>
            <sz val="9"/>
            <color indexed="81"/>
            <rFont val="Tahoma"/>
            <family val="2"/>
          </rPr>
          <t xml:space="preserve">
Latent heat of
vaporization
Energie libérée pour transformer 1kg de vapeur en eau à 121C</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tc={14D4C585-A98D-4C2F-BDFC-CDD133EB1DFB}</author>
  </authors>
  <commentList>
    <comment ref="C52" authorId="0" shapeId="0" xr:uid="{14D4C585-A98D-4C2F-BDFC-CDD133EB1DF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Formule de Spirax Sarco (ref rapport projet CTGN n°146913, section 5.1.10)</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66" authorId="0" shapeId="0" xr:uid="{4FC4BB11-51AB-4724-8F7D-FE80ED24CEA6}">
      <text>
        <r>
          <rPr>
            <b/>
            <sz val="9"/>
            <color indexed="81"/>
            <rFont val="Tahoma"/>
            <family val="2"/>
          </rPr>
          <t>Montant maximal</t>
        </r>
        <r>
          <rPr>
            <sz val="9"/>
            <color indexed="81"/>
            <rFont val="Tahoma"/>
            <family val="2"/>
          </rPr>
          <t xml:space="preserve">
Maximum de 100 000$ par année</t>
        </r>
      </text>
    </comment>
    <comment ref="G66" authorId="0" shapeId="0" xr:uid="{E76CC110-52D7-4F66-A5CA-FCEE2FFDEAF2}">
      <text>
        <r>
          <rPr>
            <b/>
            <sz val="9"/>
            <color indexed="81"/>
            <rFont val="Tahoma"/>
            <family val="2"/>
          </rPr>
          <t>Montant maximal</t>
        </r>
        <r>
          <rPr>
            <sz val="9"/>
            <color indexed="81"/>
            <rFont val="Tahoma"/>
            <family val="2"/>
          </rPr>
          <t xml:space="preserve">
Maximum 150 000$ pour un économiseur intégré à la chaudière et 300 000$ pour un économiseur non intégré (installé sur la cheminée)</t>
        </r>
      </text>
    </comment>
    <comment ref="C92" authorId="0" shapeId="0" xr:uid="{AC1A0518-2D54-4BDA-B91A-D09D7B2756D4}">
      <text>
        <r>
          <rPr>
            <sz val="9"/>
            <color indexed="81"/>
            <rFont val="Tahoma"/>
            <family val="2"/>
          </rPr>
          <t>Le montant octroyé ne pourra être plus élevé que 75 % des dépenses admissibles avant taxes, incluant le matériel et l'installation.</t>
        </r>
      </text>
    </comment>
    <comment ref="C94" authorId="0" shapeId="0" xr:uid="{771E329C-A5C3-4200-AE50-A89D63009745}">
      <text>
        <r>
          <rPr>
            <sz val="9"/>
            <color rgb="FF000000"/>
            <rFont val="Tahoma"/>
            <family val="2"/>
          </rPr>
          <t>La portion payable par le client doit représenter au minimum 25 % des coûts relatifs au projet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tc={7724B788-6486-48C9-B771-BCE94EFAA39B}</author>
    <author>Eppner Fanny</author>
  </authors>
  <commentList>
    <comment ref="N7" authorId="0" shapeId="0" xr:uid="{7724B788-6486-48C9-B771-BCE94EFAA39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
      </text>
    </comment>
    <comment ref="L20" authorId="1" shapeId="0" xr:uid="{FCFB42FA-B78B-4C8F-A8C4-94245F6BD213}">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tc={45803A9C-3243-4027-8105-36577310010D}</author>
    <author>tc={653FBE9A-8ACE-49B1-BDB9-9DECE8B7C07F}</author>
    <author>tc={EF22D831-52B7-4A27-AE23-27629B00F34C}</author>
    <author>tc={1B3D1917-937B-413C-B6B8-8CC588056A66}</author>
    <author>tc={6FF0E1CC-6167-4AE1-8AD8-278A9F3D771E}</author>
  </authors>
  <commentList>
    <comment ref="D41" authorId="0" shapeId="0" xr:uid="{45803A9C-3243-4027-8105-36577310010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https://fr.slideshare.net/lcmartinelli1/spirax-sarco-thesteamandcondensateloopblock114
Réponse :
    p.413/1268
3.21.7
</t>
      </text>
    </comment>
    <comment ref="C43" authorId="1" shapeId="0" xr:uid="{653FBE9A-8ACE-49B1-BDB9-9DECE8B7C07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Donc avant l’économiseur (si présent)</t>
      </text>
    </comment>
    <comment ref="E103" authorId="2"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107" authorId="3"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246" authorId="4"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90" authorId="0" shapeId="0" xr:uid="{95CB554A-FF23-41E6-BB7B-6BB18EA030CC}">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<sst xmlns="http://schemas.openxmlformats.org/spreadsheetml/2006/main" count="8237" uniqueCount="2040">
  <si>
    <r>
      <t xml:space="preserve">Volet </t>
    </r>
    <r>
      <rPr>
        <b/>
        <i/>
        <sz val="14"/>
        <color rgb="FF002060"/>
        <rFont val="Arial"/>
        <family val="2"/>
      </rPr>
      <t>Optimisation des chaufferies</t>
    </r>
  </si>
  <si>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</si>
  <si>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</si>
  <si>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</si>
  <si>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</si>
  <si>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</si>
  <si>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</si>
  <si>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</si>
  <si>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</si>
  <si>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</si>
  <si>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</si>
  <si>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h/an</t>
  </si>
  <si>
    <t>Efficacité globale de de combustion*:</t>
  </si>
  <si>
    <t>* inclus les pertes par les fumées de combustion et les pertes par radiation et convection, mais exclus les pertes par les purges et les pertes par l'évent du dégazeur</t>
  </si>
  <si>
    <t>Oui</t>
  </si>
  <si>
    <t>&lt; sélectionner &gt;</t>
  </si>
  <si>
    <t>°C</t>
  </si>
  <si>
    <t>Micromodulation</t>
  </si>
  <si>
    <t xml:space="preserve"> °C</t>
  </si>
  <si>
    <t>%</t>
  </si>
  <si>
    <t>Type d'équipement</t>
  </si>
  <si>
    <t>Nombre d'heures d'opération annuelles</t>
  </si>
  <si>
    <t>Total:</t>
  </si>
  <si>
    <t>Identification du réservoir</t>
  </si>
  <si>
    <t>Mesure</t>
  </si>
  <si>
    <t>Économiseur standard</t>
  </si>
  <si>
    <t>$</t>
  </si>
  <si>
    <t>Économiseur à condensation</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</si>
  <si>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</si>
  <si>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</si>
  <si>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</si>
  <si>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</si>
  <si>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</si>
  <si>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</si>
  <si>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</si>
  <si>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</si>
  <si>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</si>
  <si>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</si>
  <si>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</si>
  <si>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</si>
  <si>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</si>
  <si>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 Pertes par l'évent (% de la vapeur alimentée):</t>
  </si>
  <si>
    <t>Degré de surchauffe</t>
  </si>
  <si>
    <t>Économiseur:</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</si>
  <si>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</si>
  <si>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</si>
  <si>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</si>
  <si>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</si>
  <si>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</si>
  <si>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Condensat:</t>
  </si>
  <si>
    <t>hypothèse</t>
  </si>
  <si>
    <t>Chaleur massique de l'eau:</t>
  </si>
  <si>
    <t>kJ/kg°C</t>
  </si>
  <si>
    <t>Enthalpie du condensat:</t>
  </si>
  <si>
    <t>kJ/kg</t>
  </si>
  <si>
    <t>Eau alimentée à la chaudière:</t>
  </si>
  <si>
    <t>Température de l'eau alimenté à la chaudière:</t>
  </si>
  <si>
    <t>Enthalpie de l'eau alimentée à la chaudière:</t>
  </si>
  <si>
    <t>Quantité d'eau alimentée:</t>
  </si>
  <si>
    <t>kg/h</t>
  </si>
  <si>
    <t>Calcul Quantité d'eau alimentée:</t>
  </si>
  <si>
    <t>lb/h</t>
  </si>
  <si>
    <r>
      <t>Q vapeur produite = mvap*</t>
    </r>
    <r>
      <rPr>
        <sz val="10"/>
        <color rgb="FFBFBFBF"/>
        <rFont val="Symbol"/>
        <family val="1"/>
        <charset val="2"/>
      </rPr>
      <t>D</t>
    </r>
    <r>
      <rPr>
        <sz val="10"/>
        <color rgb="FFBFBFBF"/>
        <rFont val="Calibri"/>
        <family val="2"/>
      </rPr>
      <t xml:space="preserve">hvap + mpurge * </t>
    </r>
    <r>
      <rPr>
        <sz val="10"/>
        <color rgb="FFBFBFBF"/>
        <rFont val="Symbol"/>
        <family val="1"/>
        <charset val="2"/>
      </rPr>
      <t>D</t>
    </r>
    <r>
      <rPr>
        <sz val="10"/>
        <color rgb="FFBFBFBF"/>
        <rFont val="Calibri"/>
        <family val="2"/>
      </rPr>
      <t>H purge</t>
    </r>
  </si>
  <si>
    <r>
      <t>Énergie dans l'eau alimentée -  Q</t>
    </r>
    <r>
      <rPr>
        <vertAlign val="subscript"/>
        <sz val="11"/>
        <color theme="1"/>
        <rFont val="Calibri"/>
        <family val="2"/>
        <scheme val="minor"/>
      </rPr>
      <t>eau alimentée</t>
    </r>
    <r>
      <rPr>
        <sz val="11"/>
        <color theme="1"/>
        <rFont val="Calibri"/>
        <family val="2"/>
        <scheme val="minor"/>
      </rPr>
      <t>:</t>
    </r>
  </si>
  <si>
    <t>Q vapeur produite = m_eau_alimenté *(1 - %Purge) * (hV,sat - hL)  + m_eau_alimenté * %Purge * (hL,sat - hL)</t>
  </si>
  <si>
    <t>&lt;=&gt; m_eau_alimenté = Q vapeur produite / [(1-%Purge)*(hV,sat - hL) + %Purge *(hL,sat - hL)]</t>
  </si>
  <si>
    <t>Eau d'appoint:</t>
  </si>
  <si>
    <t>Enthalpie de l'eau d'appoint:</t>
  </si>
  <si>
    <t>Purge:</t>
  </si>
  <si>
    <t xml:space="preserve">hypothèse </t>
  </si>
  <si>
    <t>Enthalpie de l'eau saturée (purge) (kJ/kg)</t>
  </si>
  <si>
    <t>Quantité d'eau:</t>
  </si>
  <si>
    <r>
      <t>Énergie perdue dans la purge -  Q</t>
    </r>
    <r>
      <rPr>
        <vertAlign val="subscript"/>
        <sz val="11"/>
        <color theme="1"/>
        <rFont val="Calibri"/>
        <family val="2"/>
        <scheme val="minor"/>
      </rPr>
      <t>purges</t>
    </r>
    <r>
      <rPr>
        <sz val="11"/>
        <color theme="1"/>
        <rFont val="Calibri"/>
        <family val="2"/>
        <scheme val="minor"/>
      </rPr>
      <t>:</t>
    </r>
  </si>
  <si>
    <t>Dégazeur de la centrale:</t>
  </si>
  <si>
    <t>Un dégazeur est un dispositif destiné à éliminer l'oxygène ou d'autres gaz dissous dans l'eau remplissant les circuits des chaudières</t>
  </si>
  <si>
    <t>Apport total en vapeur de la chaudière :</t>
  </si>
  <si>
    <t>Moyenne des données de l'USDOE</t>
  </si>
  <si>
    <t xml:space="preserve">Perte de vapeur par l'évent pour la chaudière: </t>
  </si>
  <si>
    <r>
      <t>Énergie contenue dans l'évent du dégazeur pour la chaudière - Q</t>
    </r>
    <r>
      <rPr>
        <vertAlign val="subscript"/>
        <sz val="11"/>
        <color theme="1"/>
        <rFont val="Calibri"/>
        <family val="2"/>
        <scheme val="minor"/>
      </rPr>
      <t>évent</t>
    </r>
    <r>
      <rPr>
        <sz val="11"/>
        <color theme="1"/>
        <rFont val="Calibri"/>
        <family val="2"/>
        <scheme val="minor"/>
      </rPr>
      <t>:</t>
    </r>
  </si>
  <si>
    <t>Vapeur utile:</t>
  </si>
  <si>
    <t>Quantité produite - incluant évent dégazeur:</t>
  </si>
  <si>
    <t>Quantité disponible pour les utilisateurs:</t>
  </si>
  <si>
    <r>
      <t>Énergie dans la vapeur utile - Q</t>
    </r>
    <r>
      <rPr>
        <vertAlign val="subscript"/>
        <sz val="11"/>
        <color theme="1"/>
        <rFont val="Calibri"/>
        <family val="2"/>
        <scheme val="minor"/>
      </rPr>
      <t>utilisateur</t>
    </r>
    <r>
      <rPr>
        <sz val="11"/>
        <color theme="1"/>
        <rFont val="Calibri"/>
        <family val="2"/>
        <scheme val="minor"/>
      </rPr>
      <t>:</t>
    </r>
  </si>
  <si>
    <t>Enthalpie:</t>
  </si>
  <si>
    <t>Pression manométrique (kPa)</t>
  </si>
  <si>
    <t>hypothèse 100 psi</t>
  </si>
  <si>
    <t>Enthalpie de la vapeur saturée/surchauffée (kJ/kg)</t>
  </si>
  <si>
    <t>Enthalpie de vaporisation (kJ/kg)</t>
  </si>
  <si>
    <t>Interpolation de l'enthalpie - pression manométrique</t>
  </si>
  <si>
    <t>Pression (kPa)</t>
  </si>
  <si>
    <t>Liquide saturé (kJ/kg)</t>
  </si>
  <si>
    <t>Enthalpie de vaporisation  (kJ/kg)</t>
  </si>
  <si>
    <t>Vapeur saturée (kJ/kg)</t>
  </si>
  <si>
    <t>Pression en dessous de la valeur entrée par l'utilisateur</t>
  </si>
  <si>
    <t>Pression au dessus de la valeur entrée par l'utilisateur</t>
  </si>
  <si>
    <t>Valeur pour interpolation</t>
  </si>
  <si>
    <t>Interpolation de l'enthalpie - vapeur surchauffée</t>
  </si>
  <si>
    <t>Pression (kPa) Données saturées</t>
  </si>
  <si>
    <t>Vapeur surchauffée (kJ/kg)</t>
  </si>
  <si>
    <t>Interpolation de l'enthalpie - pression d'opération du dégazeur</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</si>
  <si>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</si>
  <si>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</si>
  <si>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perdue par les purges - Q</t>
    </r>
    <r>
      <rPr>
        <vertAlign val="subscript"/>
        <sz val="11"/>
        <color theme="1"/>
        <rFont val="Calibri"/>
        <family val="2"/>
        <scheme val="minor"/>
      </rPr>
      <t>purges</t>
    </r>
    <r>
      <rPr>
        <sz val="11"/>
        <color theme="1"/>
        <rFont val="Calibri"/>
        <family val="2"/>
        <scheme val="minor"/>
      </rPr>
      <t>:</t>
    </r>
  </si>
  <si>
    <r>
      <t>Énergie perdue par l'évent du dégazeur - Q</t>
    </r>
    <r>
      <rPr>
        <vertAlign val="subscript"/>
        <sz val="11"/>
        <color theme="1"/>
        <rFont val="Calibri"/>
        <family val="2"/>
        <scheme val="minor"/>
      </rPr>
      <t>évent</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</si>
  <si>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</si>
  <si>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</si>
  <si>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</si>
  <si>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</si>
  <si>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</si>
  <si>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</si>
  <si>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t>Qéconomiseur = Qeau</t>
  </si>
  <si>
    <r>
      <t>Énergie contenue dans l'évent du dégazeur pour la chaudière 1 - Q</t>
    </r>
    <r>
      <rPr>
        <vertAlign val="subscript"/>
        <sz val="11"/>
        <color theme="1"/>
        <rFont val="Calibri"/>
        <family val="2"/>
        <scheme val="minor"/>
      </rPr>
      <t>évent</t>
    </r>
    <r>
      <rPr>
        <sz val="11"/>
        <color theme="1"/>
        <rFont val="Calibri"/>
        <family val="2"/>
        <scheme val="minor"/>
      </rPr>
      <t>:</t>
    </r>
  </si>
  <si>
    <r>
      <t xml:space="preserve">Quantité disponible pour les utilisateurs: </t>
    </r>
    <r>
      <rPr>
        <sz val="11"/>
        <color rgb="FFFF0000"/>
        <rFont val="Calibri"/>
        <family val="2"/>
        <scheme val="minor"/>
      </rPr>
      <t>(fixe même avec MEE)</t>
    </r>
  </si>
  <si>
    <t>mol/h</t>
  </si>
  <si>
    <t>PV=nRT =&gt; n=PV/RT</t>
  </si>
  <si>
    <r>
      <t>Chaudière n</t>
    </r>
    <r>
      <rPr>
        <b/>
        <sz val="11"/>
        <color theme="0"/>
        <rFont val="Calibri"/>
        <family val="2"/>
      </rPr>
      <t>°1</t>
    </r>
  </si>
  <si>
    <t>Quantité de fumées humides et sèches produites - non condensant</t>
  </si>
  <si>
    <t>Masse molaire (g/mol)</t>
  </si>
  <si>
    <t>mol</t>
  </si>
  <si>
    <t>Masse(lb/h)</t>
  </si>
  <si>
    <t>Masse (kg/h)</t>
  </si>
  <si>
    <r>
      <t>CO</t>
    </r>
    <r>
      <rPr>
        <vertAlign val="subscript"/>
        <sz val="11"/>
        <color theme="1"/>
        <rFont val="Calibri"/>
        <family val="2"/>
        <scheme val="minor"/>
      </rPr>
      <t>2</t>
    </r>
  </si>
  <si>
    <r>
      <t>H</t>
    </r>
    <r>
      <rPr>
        <vertAlign val="subscript"/>
        <sz val="11"/>
        <color theme="1"/>
        <rFont val="Calibri"/>
        <family val="2"/>
        <scheme val="minor"/>
      </rPr>
      <t>2</t>
    </r>
    <r>
      <rPr>
        <sz val="11"/>
        <color theme="1"/>
        <rFont val="Calibri"/>
        <family val="2"/>
        <scheme val="minor"/>
      </rPr>
      <t>O</t>
    </r>
  </si>
  <si>
    <r>
      <t>O</t>
    </r>
    <r>
      <rPr>
        <vertAlign val="subscript"/>
        <sz val="11"/>
        <color theme="1"/>
        <rFont val="Calibri"/>
        <family val="2"/>
        <scheme val="minor"/>
      </rPr>
      <t>2</t>
    </r>
  </si>
  <si>
    <r>
      <t>N</t>
    </r>
    <r>
      <rPr>
        <vertAlign val="subscript"/>
        <sz val="11"/>
        <color theme="1"/>
        <rFont val="Calibri"/>
        <family val="2"/>
        <scheme val="minor"/>
      </rPr>
      <t>2</t>
    </r>
  </si>
  <si>
    <t>Total (humide)</t>
  </si>
  <si>
    <t>Total (sec)</t>
  </si>
  <si>
    <r>
      <t>Chaudière n</t>
    </r>
    <r>
      <rPr>
        <b/>
        <sz val="11"/>
        <color theme="0"/>
        <rFont val="Calibri"/>
        <family val="2"/>
      </rPr>
      <t>°2</t>
    </r>
  </si>
  <si>
    <r>
      <t>Chaudière n</t>
    </r>
    <r>
      <rPr>
        <b/>
        <sz val="11"/>
        <color theme="0"/>
        <rFont val="Calibri"/>
        <family val="2"/>
      </rPr>
      <t>°3</t>
    </r>
  </si>
  <si>
    <r>
      <t>Chaudière n</t>
    </r>
    <r>
      <rPr>
        <b/>
        <sz val="11"/>
        <color theme="0"/>
        <rFont val="Calibri"/>
        <family val="2"/>
      </rPr>
      <t>°4</t>
    </r>
  </si>
  <si>
    <t>Débit massique des fumées sèches à la sortie de la chaudière:</t>
  </si>
  <si>
    <t>Débit massique fumées humides à la sortie de la chaudière:</t>
  </si>
  <si>
    <t>Débit massique vapeur d'eau à la sortie de la chaudière:</t>
  </si>
  <si>
    <t>Chaleur spécifique de l'air Cpa:</t>
  </si>
  <si>
    <r>
      <t xml:space="preserve">kj/kg </t>
    </r>
    <r>
      <rPr>
        <sz val="11"/>
        <color theme="1"/>
        <rFont val="Calibri"/>
        <family val="2"/>
      </rPr>
      <t>°</t>
    </r>
    <r>
      <rPr>
        <sz val="11"/>
        <color theme="1"/>
        <rFont val="Calibri"/>
        <family val="2"/>
        <scheme val="minor"/>
      </rPr>
      <t>C</t>
    </r>
  </si>
  <si>
    <t>Chaleur spécifique de la vapeur d'eau Cpw:</t>
  </si>
  <si>
    <r>
      <t>Chaleur d'évaporation de l'eau à 0</t>
    </r>
    <r>
      <rPr>
        <sz val="11"/>
        <color theme="1"/>
        <rFont val="Calibri"/>
        <family val="2"/>
      </rPr>
      <t>°</t>
    </r>
    <r>
      <rPr>
        <sz val="11"/>
        <color theme="1"/>
        <rFont val="Calibri"/>
        <family val="2"/>
        <scheme val="minor"/>
      </rPr>
      <t>C:</t>
    </r>
  </si>
  <si>
    <t>Ratio vapeur d'eau/air sec - fumées:</t>
  </si>
  <si>
    <t>kg/kg</t>
  </si>
  <si>
    <t>Ratio vapeur d'eau/air sec - fumées asséchées après condensation</t>
  </si>
  <si>
    <t>Ce tableau permet d'interpoler les valeurs des tableaux de l'onglet "Tables vapeur" pour la température fournie par le participant:</t>
  </si>
  <si>
    <t>Données Onglet Tables vapeur - Interpolation</t>
  </si>
  <si>
    <t>T (°C)</t>
  </si>
  <si>
    <t>Chaleur sensible liquide (kJ/kg)</t>
  </si>
  <si>
    <t>Chaleur latente de vaporistion (kJ/kg)</t>
  </si>
  <si>
    <t>Enthlapie vapeur saturée (kJ/kg)</t>
  </si>
  <si>
    <t>Température en-dessous de la température fournie par l'utilisteur</t>
  </si>
  <si>
    <t>Température en-dessus la température fournie par l'utilisteur</t>
  </si>
  <si>
    <t>Valeur pour l'interpolation</t>
  </si>
  <si>
    <t>h1: enthalpie air humide à la température de sortie de la chaudière</t>
  </si>
  <si>
    <t>Enthalpie spécifique air sec:</t>
  </si>
  <si>
    <t>Enthalpie spécifique de la vapeur d'eau:</t>
  </si>
  <si>
    <t>Enthalpie spécifique de l'air humide:</t>
  </si>
  <si>
    <t>h2: enthalpie air humide à la température de sortie de l'économiseur</t>
  </si>
  <si>
    <t xml:space="preserve">Économiseur non-condensant: récupération de chaleur  (m•Δh) </t>
  </si>
  <si>
    <t>Température de condensation des fumées:</t>
  </si>
  <si>
    <t>Débit massique de la vapeur d'eau après la condensation:</t>
  </si>
  <si>
    <t>Débit massique de l'air humide après la condensation:</t>
  </si>
  <si>
    <r>
      <t>h2: enthalpie air humide à 121</t>
    </r>
    <r>
      <rPr>
        <b/>
        <sz val="11"/>
        <color theme="1"/>
        <rFont val="Calibri"/>
        <family val="2"/>
      </rPr>
      <t>°</t>
    </r>
    <r>
      <rPr>
        <b/>
        <sz val="11"/>
        <color theme="1"/>
        <rFont val="Calibri"/>
        <family val="2"/>
        <scheme val="minor"/>
      </rPr>
      <t xml:space="preserve">C </t>
    </r>
  </si>
  <si>
    <r>
      <t>h3: enthalpie air humide (mais asséché par la condensation) à 121</t>
    </r>
    <r>
      <rPr>
        <b/>
        <sz val="11"/>
        <color theme="1"/>
        <rFont val="Calibri"/>
        <family val="2"/>
      </rPr>
      <t>°</t>
    </r>
    <r>
      <rPr>
        <b/>
        <sz val="11"/>
        <color theme="1"/>
        <rFont val="Calibri"/>
        <family val="2"/>
        <scheme val="minor"/>
      </rPr>
      <t>C</t>
    </r>
  </si>
  <si>
    <t>h4: enthalpie air humide (mais asséché par la condensation) à la sortie de l'économiseur</t>
  </si>
  <si>
    <r>
      <t>Enthalpie (chaleur latente) de vaporisation à 121</t>
    </r>
    <r>
      <rPr>
        <b/>
        <sz val="11"/>
        <color theme="1"/>
        <rFont val="Calibri"/>
        <family val="2"/>
      </rPr>
      <t>°</t>
    </r>
    <r>
      <rPr>
        <b/>
        <sz val="11"/>
        <color theme="1"/>
        <rFont val="Calibri"/>
        <family val="2"/>
        <scheme val="minor"/>
      </rPr>
      <t>C:</t>
    </r>
  </si>
  <si>
    <t>Chaleur totale (m2•Δhcondensation)</t>
  </si>
  <si>
    <t>Chaleur totale (m3•Δh2)</t>
  </si>
  <si>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</si>
  <si>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</si>
  <si>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</si>
  <si>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</si>
  <si>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</si>
  <si>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</si>
  <si>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</si>
  <si>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</si>
  <si>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</si>
  <si>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</si>
  <si>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</si>
  <si>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</si>
  <si>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</si>
  <si>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</si>
  <si>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</si>
  <si>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</si>
  <si>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</si>
  <si>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</si>
  <si>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</si>
  <si>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</si>
  <si>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</si>
  <si>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</si>
  <si>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</si>
  <si>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</si>
  <si>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</si>
  <si>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</si>
  <si>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</si>
  <si>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</si>
  <si>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</si>
  <si>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</si>
  <si>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</si>
  <si>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</si>
  <si>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</si>
  <si>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</si>
  <si>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</si>
  <si>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</si>
  <si>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</si>
  <si>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</si>
  <si>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</si>
  <si>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</si>
  <si>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</si>
  <si>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</si>
  <si>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</si>
  <si>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</si>
  <si>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</si>
  <si>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</si>
  <si>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</si>
  <si>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</si>
  <si>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</si>
  <si>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</si>
  <si>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</si>
  <si>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</si>
  <si>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</si>
  <si>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</si>
  <si>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</si>
  <si>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</si>
  <si>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</si>
  <si>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</si>
  <si>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</si>
  <si>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</si>
  <si>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</si>
  <si>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</si>
  <si>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</si>
  <si>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</si>
  <si>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</si>
  <si>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</si>
  <si>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</si>
  <si>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</si>
  <si>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</si>
  <si>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</si>
  <si>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</si>
  <si>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</si>
  <si>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</si>
  <si>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</si>
  <si>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</si>
  <si>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</si>
  <si>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</si>
  <si>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</si>
  <si>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</si>
  <si>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</si>
  <si>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</si>
  <si>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</si>
  <si>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</si>
  <si>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</si>
  <si>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</si>
  <si>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</si>
  <si>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</si>
  <si>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</si>
  <si>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</si>
  <si>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</si>
  <si>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</si>
  <si>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</si>
  <si>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</si>
  <si>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</si>
  <si>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</si>
  <si>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</si>
  <si>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</si>
  <si>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</si>
  <si>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</si>
  <si>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</si>
  <si>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</si>
  <si>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</si>
  <si>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</si>
  <si>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</si>
  <si>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</si>
  <si>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</si>
  <si>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</si>
  <si>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</si>
  <si>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</si>
  <si>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</si>
  <si>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</si>
  <si>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</si>
  <si>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</si>
  <si>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</si>
  <si>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</si>
  <si>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</si>
  <si>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</si>
  <si>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</si>
  <si>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</si>
  <si>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</si>
  <si>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</si>
  <si>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</si>
  <si>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</si>
  <si>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</si>
  <si>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</si>
  <si>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</si>
  <si>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</si>
  <si>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</si>
  <si>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</si>
  <si>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</si>
  <si>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</si>
  <si>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</si>
  <si>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</si>
  <si>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</si>
  <si>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</si>
  <si>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</si>
  <si>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</si>
  <si>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</si>
  <si>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</si>
  <si>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</si>
  <si>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</si>
  <si>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</si>
  <si>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</si>
  <si>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</si>
  <si>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</si>
  <si>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</si>
  <si>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</si>
  <si>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</si>
  <si>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</si>
  <si>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</si>
  <si>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</si>
  <si>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</si>
  <si>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</si>
  <si>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</si>
  <si>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</si>
  <si>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</si>
  <si>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</si>
  <si>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</si>
  <si>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</si>
  <si>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</si>
  <si>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</si>
  <si>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</si>
  <si>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</si>
  <si>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</si>
  <si>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</si>
  <si>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</si>
  <si>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</si>
  <si>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</si>
  <si>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</si>
  <si>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</si>
  <si>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</si>
  <si>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</si>
  <si>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</si>
  <si>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</si>
  <si>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</si>
  <si>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</si>
  <si>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Enthalpie de l'eau alimentée à la chaudière (</t>
    </r>
    <r>
      <rPr>
        <b/>
        <sz val="11"/>
        <color theme="1"/>
        <rFont val="Calibri"/>
        <family val="2"/>
        <scheme val="minor"/>
      </rPr>
      <t>après</t>
    </r>
    <r>
      <rPr>
        <sz val="11"/>
        <color theme="1"/>
        <rFont val="Calibri"/>
        <family val="2"/>
        <scheme val="minor"/>
      </rPr>
      <t xml:space="preserve"> l'ajout d'un économiseur):</t>
    </r>
  </si>
  <si>
    <r>
      <t>Quantité d'eau (</t>
    </r>
    <r>
      <rPr>
        <b/>
        <sz val="11"/>
        <color theme="1"/>
        <rFont val="Calibri"/>
        <family val="2"/>
        <scheme val="minor"/>
      </rPr>
      <t>après</t>
    </r>
    <r>
      <rPr>
        <sz val="11"/>
        <color theme="1"/>
        <rFont val="Calibri"/>
        <family val="2"/>
        <scheme val="minor"/>
      </rPr>
      <t xml:space="preserve"> l'ajout d'un économiseur):</t>
    </r>
  </si>
  <si>
    <r>
      <t>Apport total en vapeur de la chaudière 1 (</t>
    </r>
    <r>
      <rPr>
        <b/>
        <sz val="11"/>
        <color theme="1"/>
        <rFont val="Calibri"/>
        <family val="2"/>
        <scheme val="minor"/>
      </rPr>
      <t>après</t>
    </r>
    <r>
      <rPr>
        <sz val="11"/>
        <color theme="1"/>
        <rFont val="Calibri"/>
        <family val="2"/>
        <scheme val="minor"/>
      </rPr>
      <t xml:space="preserve"> l'ajout d'un économiseur): </t>
    </r>
  </si>
  <si>
    <r>
      <t>Perte de vapeur par l'évent pour la chaudière (</t>
    </r>
    <r>
      <rPr>
        <b/>
        <sz val="11"/>
        <color theme="1"/>
        <rFont val="Calibri"/>
        <family val="2"/>
        <scheme val="minor"/>
      </rPr>
      <t>après</t>
    </r>
    <r>
      <rPr>
        <sz val="11"/>
        <color theme="1"/>
        <rFont val="Calibri"/>
        <family val="2"/>
        <scheme val="minor"/>
      </rPr>
      <t xml:space="preserve"> l'ajout de l'économiseur): </t>
    </r>
  </si>
  <si>
    <r>
      <t>=Q</t>
    </r>
    <r>
      <rPr>
        <vertAlign val="subscript"/>
        <sz val="10"/>
        <color theme="6"/>
        <rFont val="Arial"/>
        <family val="2"/>
      </rPr>
      <t>produit</t>
    </r>
    <r>
      <rPr>
        <sz val="10"/>
        <color theme="6"/>
        <rFont val="Arial"/>
        <family val="2"/>
      </rPr>
      <t>=Qdispo utilisateur+Qpurges+Qévent-Qeau alimentée</t>
    </r>
  </si>
  <si>
    <r>
      <t xml:space="preserve">Puissance moyenne totale de production de vapeur de la </t>
    </r>
    <r>
      <rPr>
        <b/>
        <sz val="11"/>
        <color theme="1"/>
        <rFont val="Calibri"/>
        <family val="2"/>
        <scheme val="minor"/>
      </rPr>
      <t>chaufferie</t>
    </r>
  </si>
  <si>
    <t>Proportion:</t>
  </si>
  <si>
    <t>Hypothèse: 1 dégazeur pour la chaufferie. L'apport en vapeur des chaudières et réparti équitablement selon leur % de production</t>
  </si>
  <si>
    <t>vérification:</t>
  </si>
  <si>
    <t>Type de vapeur</t>
  </si>
  <si>
    <t>Vapeur</t>
  </si>
  <si>
    <t>Eau chaude</t>
  </si>
  <si>
    <t>inclus les pertes par les fumées seulement</t>
  </si>
  <si>
    <t>Perte par radiation et convection:</t>
  </si>
  <si>
    <t>Efficacité globale de combustion:</t>
  </si>
  <si>
    <t>Efficacité thermique (%):</t>
  </si>
  <si>
    <t>ref: Projet CTGN n°146913, rapport 7 juillet 2014, section 5.1.5</t>
  </si>
  <si>
    <t>Puissance maximale  de production de vapeur (kW)</t>
  </si>
  <si>
    <t>Pertes par convection et radiation à 100% de la charge</t>
  </si>
  <si>
    <t>Perte par convection et radiation:</t>
  </si>
  <si>
    <t>x</t>
  </si>
  <si>
    <t>Interpolation des pertes par radiation et convection</t>
  </si>
  <si>
    <t>Capacité max. de production de vapeur en dessous de la vapeur entrée par l'utilisateur</t>
  </si>
  <si>
    <t>Capacité max. de production de vapeur au dessus de la vapeur entrée par l'utilisateur</t>
  </si>
  <si>
    <t>Capacité max. production vapeur (kW)</t>
  </si>
  <si>
    <t>Perte à 100% charge (%)</t>
  </si>
  <si>
    <t>Perte à op. moy. (%)</t>
  </si>
  <si>
    <t>="average loading"</t>
  </si>
  <si>
    <t>Répartition par chaudière</t>
  </si>
  <si>
    <t>Hypothèse</t>
  </si>
  <si>
    <t>Résumé de la mesure installée</t>
  </si>
  <si>
    <t>Aucun</t>
  </si>
  <si>
    <t>Résultat</t>
  </si>
  <si>
    <t>Quantité d'eau d'alimentation préchauffée par chaque économiseur</t>
  </si>
  <si>
    <t>Énergie récupérée par chaque économiseur</t>
  </si>
  <si>
    <t># Économiseur non condensant</t>
  </si>
  <si>
    <t>Consommation de gaz naturel (avant ajout économiseur)</t>
  </si>
  <si>
    <t>Température des fumées - Sortie de la chaudière</t>
  </si>
  <si>
    <t>Température des fumées - Sortie de l'économiseur</t>
  </si>
  <si>
    <t>Données réparties par économmiseur</t>
  </si>
  <si>
    <t>DÉTAIL DU CALCUL DE L'ÉNERGIE RÉCUPÉRÉ PAR LES ÉCONOMISEURS NON-CONDENSANTS</t>
  </si>
  <si>
    <t>1. Estimation des quantités de fumées sèches et humides produites (avant l'ajout de l'économiseur)</t>
  </si>
  <si>
    <t>2. Résumé des données pour le calcul des économies:</t>
  </si>
  <si>
    <t>3. Calcul des économies d'énergie - Ajout économiseur non-condensant</t>
  </si>
  <si>
    <t>Hypothèse: 1 dégazeur pour la chaufferie</t>
  </si>
  <si>
    <t>Calculs - Économiseur Condensant</t>
  </si>
  <si>
    <r>
      <t xml:space="preserve">Nombre d'économiseur </t>
    </r>
    <r>
      <rPr>
        <b/>
        <sz val="11"/>
        <color theme="1"/>
        <rFont val="Calibri"/>
        <family val="2"/>
        <scheme val="minor"/>
      </rPr>
      <t>condensants</t>
    </r>
    <r>
      <rPr>
        <sz val="11"/>
        <color theme="1"/>
        <rFont val="Calibri"/>
        <family val="2"/>
        <scheme val="minor"/>
      </rPr>
      <t xml:space="preserve"> installés</t>
    </r>
  </si>
  <si>
    <r>
      <t xml:space="preserve">Nombre d'économiseurs </t>
    </r>
    <r>
      <rPr>
        <b/>
        <sz val="11"/>
        <color theme="1"/>
        <rFont val="Calibri"/>
        <family val="2"/>
        <scheme val="minor"/>
      </rPr>
      <t>standards</t>
    </r>
    <r>
      <rPr>
        <sz val="11"/>
        <color theme="1"/>
        <rFont val="Calibri"/>
        <family val="2"/>
        <scheme val="minor"/>
      </rPr>
      <t xml:space="preserve"> installés</t>
    </r>
  </si>
  <si>
    <t># économiseur / par chaudière</t>
  </si>
  <si>
    <t># économiseur / eau alim.</t>
  </si>
  <si>
    <t>hypo: meme débit d'eau d'appoint avant et après économiseur, mais température de l'eau différente.</t>
  </si>
  <si>
    <t>Quantité d'eau alimentée :</t>
  </si>
  <si>
    <t>Enthalpie du condensat (avant ajout d'un économiseur):</t>
  </si>
  <si>
    <t xml:space="preserve">Température du retour de condensat </t>
  </si>
  <si>
    <t>DÉTAIL DU CALCUL DE L'ÉNERGIE RÉCUPÉRÉ PAR LES ÉCONOMISEURS CONDENSANTS</t>
  </si>
  <si>
    <t xml:space="preserve"> T_appoint_nouveau = Qéconomiseur /(m_eau*Cp_eau) + T_appoint_ancien</t>
  </si>
  <si>
    <t>% de vapeur qui ne condense pas dans l'économiseur</t>
  </si>
  <si>
    <t>Dans un économiseur 65% de la vapeur d'eau reste sous forme de vapeur et ne condense pas</t>
  </si>
  <si>
    <t>Source du calcul: Rapport projet CTGN n°149814</t>
  </si>
  <si>
    <t>Enthalipe vapeur saturée à 121°C</t>
  </si>
  <si>
    <t>Bilan d'énergie - sans mesure d'EE</t>
  </si>
  <si>
    <t>Bilan d'énergie - après TOUTES les mesures d'EE</t>
  </si>
  <si>
    <t>Résumé des mesure installée</t>
  </si>
  <si>
    <t>condensant</t>
  </si>
  <si>
    <t>Isolation</t>
  </si>
  <si>
    <t>Température de l'eau d'appoint (avant ajout d'un économiseur c):</t>
  </si>
  <si>
    <t>Enthalpie de l'eau d'appoint (avant ajout d'un économiseur c):</t>
  </si>
  <si>
    <t>Quantité d'eau d'appoint (avant ajout d'un économiseur c)</t>
  </si>
  <si>
    <t>Quantité d'eau d'appoint (après ajout d'un économiseur c)</t>
  </si>
  <si>
    <t>voir onglet "Économiseur condensant"</t>
  </si>
  <si>
    <t>voir onglet "Économiseur non-condensant"</t>
  </si>
  <si>
    <t xml:space="preserve"># économiseurs </t>
  </si>
  <si>
    <r>
      <t># économiseurs non-condensant qui préchauffe l'</t>
    </r>
    <r>
      <rPr>
        <b/>
        <sz val="11"/>
        <color theme="1"/>
        <rFont val="Calibri"/>
        <family val="2"/>
        <scheme val="minor"/>
      </rPr>
      <t>eau d'alim</t>
    </r>
    <r>
      <rPr>
        <sz val="11"/>
        <color theme="1"/>
        <rFont val="Calibri"/>
        <family val="2"/>
        <scheme val="minor"/>
      </rPr>
      <t xml:space="preserve"> de la chaudière</t>
    </r>
  </si>
  <si>
    <t>Température de l'eau d'appoint (avec MEE - économiseur condensant):</t>
  </si>
  <si>
    <t># économiseurs installé</t>
  </si>
  <si>
    <t>standard</t>
  </si>
  <si>
    <t>Eau d'appoint</t>
  </si>
  <si>
    <t>Eau condensat</t>
  </si>
  <si>
    <t>Température de l'eau d'alimentation :</t>
  </si>
  <si>
    <t>Température de l'eau d'appoint (pour les calculs):</t>
  </si>
  <si>
    <t>Température de l'eau alimenté à la chaudière (avant l'ajout d'une récupération de chaleur)</t>
  </si>
  <si>
    <t>Résumé: (après ajout des mesures d'EE)</t>
  </si>
  <si>
    <t>Enthalpie de l'eau d'appoint (pour les calculs):</t>
  </si>
  <si>
    <t>Température de l'eau d'appoint (pour le calcul d'énergie récupérée dans l'écono standard):</t>
  </si>
  <si>
    <t xml:space="preserve">1. Estimation des quantités de fumées sèches et humides produites </t>
  </si>
  <si>
    <t xml:space="preserve">Consommation de gaz naturel </t>
  </si>
  <si>
    <t>s</t>
  </si>
  <si>
    <t>Type d'économiseur</t>
  </si>
  <si>
    <t xml:space="preserve">Économiseur condensant: récupération de chaleur  (m•Δh) </t>
  </si>
  <si>
    <t>Type de condenseur pour validation de la température des fumées à la sortie du condenseur:</t>
  </si>
  <si>
    <t>nbr de choix</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</si>
  <si>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</si>
  <si>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</si>
  <si>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</si>
  <si>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</si>
  <si>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</si>
  <si>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</si>
  <si>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</si>
  <si>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</si>
  <si>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</si>
  <si>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</si>
  <si>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</si>
  <si>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</si>
  <si>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</si>
  <si>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</si>
  <si>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</si>
  <si>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</si>
  <si>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</si>
  <si>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</si>
  <si>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</si>
  <si>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</si>
  <si>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</si>
  <si>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</si>
  <si>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</si>
  <si>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</si>
  <si>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</si>
  <si>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</si>
  <si>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</si>
  <si>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</si>
  <si>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</si>
  <si>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</si>
  <si>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</si>
  <si>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</si>
  <si>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</si>
  <si>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</si>
  <si>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</si>
  <si>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</si>
  <si>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</si>
  <si>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</si>
  <si>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</si>
  <si>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</si>
  <si>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</si>
  <si>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</si>
  <si>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</si>
  <si>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</si>
  <si>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</si>
  <si>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</si>
  <si>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</si>
  <si>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</si>
  <si>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</si>
  <si>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</si>
  <si>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</si>
  <si>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</si>
  <si>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</si>
  <si>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</si>
  <si>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</si>
  <si>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</si>
  <si>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</si>
  <si>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</si>
  <si>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</si>
  <si>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</si>
  <si>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</si>
  <si>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</si>
  <si>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</si>
  <si>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</si>
  <si>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</si>
  <si>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</si>
  <si>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</si>
  <si>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</si>
  <si>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</si>
  <si>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</si>
  <si>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</si>
  <si>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</si>
  <si>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</si>
  <si>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</si>
  <si>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</si>
  <si>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</si>
  <si>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</si>
  <si>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</si>
  <si>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</si>
  <si>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</si>
  <si>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</si>
  <si>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</si>
  <si>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</si>
  <si>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</si>
  <si>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</si>
  <si>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</si>
  <si>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</si>
  <si>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</si>
  <si>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</si>
  <si>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 xml:space="preserve">Éco. standard </t>
  </si>
  <si>
    <t>Calculs micro-modulation et sonde de O2</t>
  </si>
  <si>
    <t>Taux de modulation du brûleur</t>
  </si>
  <si>
    <t>Âge du brûleur</t>
  </si>
  <si>
    <t>Potentiel gain en efficacité</t>
  </si>
  <si>
    <t>Gain</t>
  </si>
  <si>
    <t>Age (an)</t>
  </si>
  <si>
    <t>&gt;10</t>
  </si>
  <si>
    <t>[5;10]</t>
  </si>
  <si>
    <t>&lt;5</t>
  </si>
  <si>
    <t>Gain en efficacité selon l'âge du brûleur:</t>
  </si>
  <si>
    <t>à puissance 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</si>
  <si>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</si>
  <si>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</si>
  <si>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</si>
  <si>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</si>
  <si>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</si>
  <si>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</si>
  <si>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</si>
  <si>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</si>
  <si>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</si>
  <si>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</si>
  <si>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</si>
  <si>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</si>
  <si>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</si>
  <si>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r>
      <t>Sonde de O</t>
    </r>
    <r>
      <rPr>
        <vertAlign val="subscript"/>
        <sz val="11"/>
        <color theme="1"/>
        <rFont val="Calibri"/>
        <family val="2"/>
        <scheme val="minor"/>
      </rPr>
      <t>2</t>
    </r>
  </si>
  <si>
    <r>
      <t>Micro-modulation + Sonde de O</t>
    </r>
    <r>
      <rPr>
        <vertAlign val="subscript"/>
        <sz val="11"/>
        <color theme="1"/>
        <rFont val="Calibri"/>
        <family val="2"/>
        <scheme val="minor"/>
      </rPr>
      <t>2</t>
    </r>
  </si>
  <si>
    <t>Sonde de O2</t>
  </si>
  <si>
    <t>O2</t>
  </si>
  <si>
    <r>
      <t>Micro-modulation + Sonde de O</t>
    </r>
    <r>
      <rPr>
        <vertAlign val="subscript"/>
        <sz val="11"/>
        <color theme="0" tint="-0.34998626667073579"/>
        <rFont val="Calibri"/>
        <family val="2"/>
        <scheme val="minor"/>
      </rPr>
      <t>2</t>
    </r>
  </si>
  <si>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</si>
  <si>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</si>
  <si>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</si>
  <si>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</si>
  <si>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</si>
  <si>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</si>
  <si>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</si>
  <si>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</si>
  <si>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</si>
  <si>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</si>
  <si>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</si>
  <si>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Procédé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</si>
  <si>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</si>
  <si>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</si>
  <si>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</si>
  <si>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</si>
  <si>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</si>
  <si>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</si>
  <si>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</si>
  <si>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</si>
  <si>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</si>
  <si>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</si>
  <si>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</si>
  <si>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</si>
  <si>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</si>
  <si>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</si>
  <si>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</si>
  <si>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</si>
  <si>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</si>
  <si>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</si>
  <si>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</si>
  <si>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</si>
  <si>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</si>
  <si>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</si>
  <si>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</si>
  <si>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</si>
  <si>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</si>
  <si>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Enthalpie de l'eau d'appoint :</t>
  </si>
  <si>
    <t>Enthalpie de l'eau alimentée à la chaudière :</t>
  </si>
  <si>
    <t>Température de l'eau alimenté à la chaudière :</t>
  </si>
  <si>
    <t>Apport total en vapeur de la chaudière 1:</t>
  </si>
  <si>
    <t xml:space="preserve">Perte de vapeur par l'évent pour la chaudière : </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</si>
  <si>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</si>
  <si>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</si>
  <si>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</si>
  <si>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</si>
  <si>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</si>
  <si>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</si>
  <si>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</si>
  <si>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</si>
  <si>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</si>
  <si>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</si>
  <si>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 récupération d'E</t>
  </si>
  <si>
    <t>-</t>
  </si>
  <si>
    <t>Micro-modulation / sonde O2</t>
  </si>
  <si>
    <t>RÉSUMÉ DES ÉCONOMIES D'ÉNERGIE</t>
  </si>
  <si>
    <t>Après</t>
  </si>
  <si>
    <t>Économies d'énergie AVEC effets croisés</t>
  </si>
  <si>
    <t>Économiseur standard (sur la chaudière se faisant préchauffer l'eau d'alim.)</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</si>
  <si>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</si>
  <si>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</si>
  <si>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</si>
  <si>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</si>
  <si>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</si>
  <si>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</si>
  <si>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</si>
  <si>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</si>
  <si>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</si>
  <si>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</si>
  <si>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</si>
  <si>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</si>
  <si>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</si>
  <si>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</si>
  <si>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</si>
  <si>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</si>
  <si>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</si>
  <si>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</si>
  <si>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</si>
  <si>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</si>
  <si>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</si>
  <si>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</si>
  <si>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</si>
  <si>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</si>
  <si>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</si>
  <si>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</si>
  <si>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1. Projet du CTGN n°149814 "Chaufferie vapeur: Validation du calculateur et nouveaux calculateur d'économie d'énergie". Novembre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</si>
  <si>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</si>
  <si>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</si>
  <si>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</si>
  <si>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</si>
  <si>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</si>
  <si>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</si>
  <si>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</si>
  <si>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</si>
  <si>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</si>
  <si>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</si>
  <si>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</si>
  <si>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</si>
  <si>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</si>
  <si>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</si>
  <si>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</si>
  <si>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</si>
  <si>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</si>
  <si>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</si>
  <si>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</si>
  <si>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</si>
  <si>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</si>
  <si>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</si>
  <si>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</si>
  <si>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</si>
  <si>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</si>
  <si>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</si>
  <si>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</si>
  <si>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</si>
  <si>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</si>
  <si>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</si>
  <si>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</si>
  <si>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</si>
  <si>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</si>
  <si>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</si>
  <si>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</si>
  <si>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</si>
  <si>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</si>
  <si>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</si>
  <si>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</si>
  <si>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</si>
  <si>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</si>
  <si>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</si>
  <si>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</si>
  <si>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</si>
  <si>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</si>
  <si>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</si>
  <si>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</si>
  <si>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</si>
  <si>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</si>
  <si>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</si>
  <si>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</si>
  <si>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</si>
  <si>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</si>
  <si>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</si>
  <si>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</si>
  <si>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</si>
  <si>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</si>
  <si>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</si>
  <si>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</si>
  <si>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</si>
  <si>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</si>
  <si>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</si>
  <si>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</si>
  <si>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</si>
  <si>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</si>
  <si>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</si>
  <si>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</si>
  <si>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</si>
  <si>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</si>
  <si>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</si>
  <si>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</si>
  <si>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</si>
  <si>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</si>
  <si>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</si>
  <si>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</si>
  <si>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</si>
  <si>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</si>
  <si>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</si>
  <si>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</si>
  <si>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</si>
  <si>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</si>
  <si>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</si>
  <si>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</si>
  <si>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</si>
  <si>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</si>
  <si>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</si>
  <si>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</si>
  <si>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</si>
  <si>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</si>
  <si>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</si>
  <si>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</si>
  <si>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</si>
  <si>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</si>
  <si>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</si>
  <si>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</si>
  <si>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</si>
  <si>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</si>
  <si>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</si>
  <si>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</si>
  <si>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</si>
  <si>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</si>
  <si>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</si>
  <si>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</si>
  <si>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</si>
  <si>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</si>
  <si>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</si>
  <si>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</si>
  <si>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</si>
  <si>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</si>
  <si>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</si>
  <si>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</si>
  <si>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</si>
  <si>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</si>
  <si>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</si>
  <si>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</si>
  <si>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</si>
  <si>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</si>
  <si>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</si>
  <si>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</si>
  <si>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</si>
  <si>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</si>
  <si>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</si>
  <si>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</si>
  <si>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</si>
  <si>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</si>
  <si>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</si>
  <si>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</si>
  <si>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</si>
  <si>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</si>
  <si>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</si>
  <si>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</si>
  <si>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</si>
  <si>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</si>
  <si>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</si>
  <si>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</si>
  <si>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</si>
  <si>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</si>
  <si>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</si>
  <si>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</si>
  <si>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</si>
  <si>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</si>
  <si>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</si>
  <si>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</si>
  <si>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</si>
  <si>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</si>
  <si>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</si>
  <si>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</si>
  <si>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</si>
  <si>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</si>
  <si>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</si>
  <si>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</si>
  <si>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</si>
  <si>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</si>
  <si>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</si>
  <si>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</si>
  <si>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</si>
  <si>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</si>
  <si>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</si>
  <si>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</si>
  <si>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</si>
  <si>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</si>
  <si>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</si>
  <si>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</si>
  <si>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</si>
  <si>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</si>
  <si>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</si>
  <si>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</si>
  <si>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</si>
  <si>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</si>
  <si>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</si>
  <si>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</si>
  <si>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</si>
  <si>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</si>
  <si>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</si>
  <si>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</si>
  <si>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</si>
  <si>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</si>
  <si>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</si>
  <si>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</si>
  <si>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</si>
  <si>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</si>
  <si>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</si>
  <si>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</si>
  <si>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</si>
  <si>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</si>
  <si>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</si>
  <si>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</si>
  <si>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</si>
  <si>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</si>
  <si>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</si>
  <si>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</si>
  <si>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</si>
  <si>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</si>
  <si>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</si>
  <si>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</si>
  <si>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</si>
  <si>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</si>
  <si>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</si>
  <si>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</si>
  <si>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</si>
  <si>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</si>
  <si>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</si>
  <si>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</si>
  <si>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</si>
  <si>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</si>
  <si>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</si>
  <si>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</si>
  <si>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</si>
  <si>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</si>
  <si>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</si>
  <si>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</si>
  <si>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</si>
  <si>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</si>
  <si>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</si>
  <si>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</si>
  <si>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</si>
  <si>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</si>
  <si>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</si>
  <si>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</si>
  <si>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</si>
  <si>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</si>
  <si>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</si>
  <si>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</si>
  <si>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</si>
  <si>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</si>
  <si>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</si>
  <si>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</si>
  <si>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</si>
  <si>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</si>
  <si>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</si>
  <si>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</si>
  <si>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</si>
  <si>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</si>
  <si>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</si>
  <si>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</si>
  <si>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</si>
  <si>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</si>
  <si>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</si>
  <si>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</si>
  <si>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</si>
  <si>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</si>
  <si>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</si>
  <si>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</si>
  <si>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</si>
  <si>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</si>
  <si>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</si>
  <si>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</si>
  <si>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</si>
  <si>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</si>
  <si>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</si>
  <si>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</si>
  <si>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</si>
  <si>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</si>
  <si>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</si>
  <si>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</si>
  <si>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</si>
  <si>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</si>
  <si>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</si>
  <si>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</si>
  <si>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</si>
  <si>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</si>
  <si>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</si>
  <si>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</si>
  <si>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</si>
  <si>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</si>
  <si>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</si>
  <si>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</si>
  <si>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</si>
  <si>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</si>
  <si>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</si>
  <si>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Économiseur non condensant n°1</t>
  </si>
  <si>
    <t>Économiseur non condensant n°2</t>
  </si>
  <si>
    <t>Économiseur non condensant n°3</t>
  </si>
  <si>
    <t>Économiseur non condensant n°4</t>
  </si>
  <si>
    <t>Débit d'eau d'alimentation préchauffé (kg/h)</t>
  </si>
  <si>
    <t>Énergie récupéré par l'eau d'alimentation</t>
  </si>
  <si>
    <t>Économie d'énergie (kW)</t>
  </si>
  <si>
    <t>Q écono (kW)</t>
  </si>
  <si>
    <t>Non-condensant (standard)</t>
  </si>
  <si>
    <t>Apport en vapeur pour le dégazeur</t>
  </si>
  <si>
    <t>Validation</t>
  </si>
  <si>
    <t>* L'effet croisé du au préchauffe de l'eau d'appoint par l'économiseur condensant  + augmentation eff. combusion du à la micro-modulation/sonde d'O2 sont déjà inclus</t>
  </si>
  <si>
    <t>↑ température eau appoint</t>
  </si>
  <si>
    <t>↑ température eau d'alimentation</t>
  </si>
  <si>
    <t>Économies par mesure - énergie fournie au brûleur</t>
  </si>
  <si>
    <t>Économie des effets croisés - énergie fournie au brûleur</t>
  </si>
  <si>
    <t>Économies totales par mesure - consommation de gaz naturel</t>
  </si>
  <si>
    <t>*L'effet croisé du à l'augmentation de l'efficacité de combustion par la micro-modulation / sonde d'O2 est déjà inclus. L'énergie récupéré par l'économiseur à condensation est réparti via chaque chaudière selon le capacité de production.</t>
  </si>
  <si>
    <t>↓ récupération d'E**</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</si>
  <si>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</si>
  <si>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</si>
  <si>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</si>
  <si>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</si>
  <si>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</si>
  <si>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</si>
  <si>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</si>
  <si>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</si>
  <si>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</si>
  <si>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</si>
  <si>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</si>
  <si>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</si>
  <si>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t>Bilan d'énergie incluant la micro-modulation/sonde d'O2 (change l'efficacité de combustion et la température des fumées) et l'économiseur condensant (change la température de l'eau d'appoint)</t>
  </si>
  <si>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</si>
  <si>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</si>
  <si>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</si>
  <si>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</si>
  <si>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</si>
  <si>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t>Enthalpie de la vapeur saturée/surchauffée ou eau chaude (kJ/kg)</t>
  </si>
  <si>
    <t>Dégazeur de la centrale -  pour chaufferie vapeur seulement :</t>
  </si>
  <si>
    <t>Vapeur / eau chaude utile:</t>
  </si>
  <si>
    <r>
      <t>Énergie utile - Q</t>
    </r>
    <r>
      <rPr>
        <vertAlign val="subscript"/>
        <sz val="11"/>
        <color theme="1"/>
        <rFont val="Calibri"/>
        <family val="2"/>
        <scheme val="minor"/>
      </rPr>
      <t>utilisateur</t>
    </r>
    <r>
      <rPr>
        <sz val="11"/>
        <color theme="1"/>
        <rFont val="Calibri"/>
        <family val="2"/>
        <scheme val="minor"/>
      </rPr>
      <t>:</t>
    </r>
  </si>
  <si>
    <t>Dégazeur de la centrale pour chaufferie à vapeur seulement:</t>
  </si>
  <si>
    <t>Vapeur/eau chaude utile:</t>
  </si>
  <si>
    <r>
      <t>Énergie  utile - Q</t>
    </r>
    <r>
      <rPr>
        <vertAlign val="subscript"/>
        <sz val="11"/>
        <color theme="1"/>
        <rFont val="Calibri"/>
        <family val="2"/>
        <scheme val="minor"/>
      </rPr>
      <t>utilisateur</t>
    </r>
    <r>
      <rPr>
        <sz val="11"/>
        <color theme="1"/>
        <rFont val="Calibri"/>
        <family val="2"/>
        <scheme val="minor"/>
      </rPr>
      <t>:</t>
    </r>
  </si>
  <si>
    <t>Enthalpie de la vapeur saturée/surchaufféeou eau chaude (kJ/kg)</t>
  </si>
  <si>
    <t>Capacité max. de production  en dessous de la valeur entrée par l'utilisateur</t>
  </si>
  <si>
    <t>Capacité max. de production au dessus de la valeur entrée par l'utilisateur</t>
  </si>
  <si>
    <t>Capacité max. de production  en dessous de la valeurentrée par l'utilisateur</t>
  </si>
  <si>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</si>
  <si>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</si>
  <si>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</si>
  <si>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</si>
  <si>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</si>
  <si>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</si>
  <si>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</si>
  <si>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</si>
  <si>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↓consommation de gaz naturel**</t>
  </si>
  <si>
    <t>↓ récupération d'E*</t>
  </si>
  <si>
    <t>↓ la perte de vapeur à l'évent du dégazeur</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</si>
  <si>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</si>
  <si>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</si>
  <si>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</si>
  <si>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</si>
  <si>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</si>
  <si>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</si>
  <si>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</si>
  <si>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</si>
  <si>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t>Économiseur (standard et à condensation)</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</si>
  <si>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</si>
  <si>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</si>
  <si>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</si>
  <si>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</si>
  <si>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</si>
  <si>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</si>
  <si>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Température de condensation de l'eau dans les fumées</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</si>
  <si>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</si>
  <si>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</si>
  <si>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</si>
  <si>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</si>
  <si>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</si>
  <si>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</si>
  <si>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</si>
  <si>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</si>
  <si>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Neuve</t>
  </si>
  <si>
    <t>Existante</t>
  </si>
  <si>
    <t>Quelle est l'application de la chaufferie?</t>
  </si>
  <si>
    <t>Âge de la chaudière :</t>
  </si>
  <si>
    <t>Intégration</t>
  </si>
  <si>
    <t>Efficacité globale de combustion avant la mesure</t>
  </si>
  <si>
    <t>Efficacité globale de combustion après la mesure</t>
  </si>
  <si>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</si>
  <si>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</si>
  <si>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</si>
  <si>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</si>
  <si>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</si>
  <si>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</si>
  <si>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</si>
  <si>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</si>
  <si>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</si>
  <si>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</si>
  <si>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</si>
  <si>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</si>
  <si>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</si>
  <si>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</si>
  <si>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</si>
  <si>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</si>
  <si>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</si>
  <si>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</si>
  <si>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</si>
  <si>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</si>
  <si>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</si>
  <si>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</si>
  <si>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</si>
  <si>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</si>
  <si>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</si>
  <si>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</si>
  <si>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</si>
  <si>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</si>
  <si>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</si>
  <si>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</si>
  <si>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</si>
  <si>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</si>
  <si>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</si>
  <si>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</si>
  <si>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</si>
  <si>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</si>
  <si>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</si>
  <si>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</si>
  <si>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</si>
  <si>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</si>
  <si>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</si>
  <si>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</si>
  <si>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</si>
  <si>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</si>
  <si>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</si>
  <si>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</si>
  <si>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</si>
  <si>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</si>
  <si>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</si>
  <si>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</si>
  <si>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</si>
  <si>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</si>
  <si>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</si>
  <si>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</si>
  <si>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</si>
  <si>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</si>
  <si>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</si>
  <si>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</si>
  <si>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</si>
  <si>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</si>
  <si>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</si>
  <si>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</si>
  <si>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</si>
  <si>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</si>
  <si>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</si>
  <si>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</si>
  <si>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</si>
  <si>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</si>
  <si>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</si>
  <si>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</si>
  <si>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</si>
  <si>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</si>
  <si>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</si>
  <si>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</si>
  <si>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</si>
  <si>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</si>
  <si>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</si>
  <si>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</si>
  <si>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</si>
  <si>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</si>
  <si>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</si>
  <si>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</si>
  <si>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</si>
  <si>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</si>
  <si>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</si>
  <si>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</si>
  <si>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</si>
  <si>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</si>
  <si>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</si>
  <si>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</si>
  <si>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</si>
  <si>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</si>
  <si>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</si>
  <si>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</si>
  <si>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</si>
  <si>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</si>
  <si>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</si>
  <si>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</si>
  <si>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</si>
  <si>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</si>
  <si>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</si>
  <si>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</si>
  <si>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</si>
  <si>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</si>
  <si>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</si>
  <si>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</si>
  <si>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</si>
  <si>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</si>
  <si>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</si>
  <si>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</si>
  <si>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</si>
  <si>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</si>
  <si>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</si>
  <si>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</si>
  <si>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</si>
  <si>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</si>
  <si>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</si>
  <si>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</si>
  <si>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</si>
  <si>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</si>
  <si>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</si>
  <si>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</si>
  <si>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</si>
  <si>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</si>
  <si>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</si>
  <si>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</si>
  <si>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</si>
  <si>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</si>
  <si>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</si>
  <si>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</si>
  <si>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</si>
  <si>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</si>
  <si>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</si>
  <si>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</si>
  <si>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</si>
  <si>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</si>
  <si>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</si>
  <si>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</si>
  <si>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</si>
  <si>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</si>
  <si>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</si>
  <si>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</si>
  <si>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</si>
  <si>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</si>
  <si>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</si>
  <si>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</si>
  <si>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</si>
  <si>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</si>
  <si>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</si>
  <si>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</si>
  <si>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</si>
  <si>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</si>
  <si>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</si>
  <si>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</si>
  <si>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</si>
  <si>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</si>
  <si>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</si>
  <si>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</si>
  <si>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</si>
  <si>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</si>
  <si>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</si>
  <si>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</si>
  <si>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</si>
  <si>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</si>
  <si>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</si>
  <si>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</si>
  <si>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</si>
  <si>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</si>
  <si>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</si>
  <si>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</si>
  <si>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</si>
  <si>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</si>
  <si>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</si>
  <si>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</si>
  <si>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</si>
  <si>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</si>
  <si>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</si>
  <si>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</si>
  <si>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</si>
  <si>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</si>
  <si>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</si>
  <si>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</si>
  <si>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</si>
  <si>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</si>
  <si>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</si>
  <si>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</si>
  <si>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</si>
  <si>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</si>
  <si>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</si>
  <si>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</si>
  <si>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</si>
  <si>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</si>
  <si>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</si>
  <si>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</si>
  <si>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</si>
  <si>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</si>
  <si>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</si>
  <si>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</si>
  <si>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</si>
  <si>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</si>
  <si>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</si>
  <si>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</si>
  <si>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</si>
  <si>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</si>
  <si>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</si>
  <si>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</si>
  <si>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</si>
  <si>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</si>
  <si>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</si>
  <si>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</si>
  <si>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</si>
  <si>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</si>
  <si>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</si>
  <si>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</si>
  <si>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</si>
  <si>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</si>
  <si>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</si>
  <si>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</si>
  <si>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</si>
  <si>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</si>
  <si>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r>
      <t>Sonde de O</t>
    </r>
    <r>
      <rPr>
        <vertAlign val="subscript"/>
        <sz val="11"/>
        <color theme="0" tint="-0.499984740745262"/>
        <rFont val="Calibri"/>
        <family val="2"/>
        <scheme val="minor"/>
      </rPr>
      <t>2</t>
    </r>
  </si>
  <si>
    <r>
      <t>Micro-modulation + Sonde de O</t>
    </r>
    <r>
      <rPr>
        <vertAlign val="subscript"/>
        <sz val="11"/>
        <color theme="0" tint="-0.499984740745262"/>
        <rFont val="Calibri"/>
        <family val="2"/>
        <scheme val="minor"/>
      </rPr>
      <t>2</t>
    </r>
  </si>
  <si>
    <t>Identification de l'échangeur de chaleur</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</si>
  <si>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</si>
  <si>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</si>
  <si>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</si>
  <si>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</si>
  <si>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</si>
  <si>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</si>
  <si>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</si>
  <si>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</si>
  <si>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</si>
  <si>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</si>
  <si>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</si>
  <si>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</si>
  <si>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</si>
  <si>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</si>
  <si>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</si>
  <si>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</si>
  <si>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</si>
  <si>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</si>
  <si>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</si>
  <si>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</si>
  <si>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</si>
  <si>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</si>
  <si>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</si>
  <si>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</si>
  <si>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</si>
  <si>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</si>
  <si>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</si>
  <si>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</si>
  <si>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</si>
  <si>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</si>
  <si>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</si>
  <si>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</si>
  <si>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</si>
  <si>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</si>
  <si>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</si>
  <si>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</si>
  <si>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</si>
  <si>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</si>
  <si>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</si>
  <si>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</si>
  <si>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</si>
  <si>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</si>
  <si>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</si>
  <si>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</si>
  <si>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</si>
  <si>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</si>
  <si>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</si>
  <si>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</si>
  <si>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</si>
  <si>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</si>
  <si>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</si>
  <si>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</si>
  <si>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</si>
  <si>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</si>
  <si>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</si>
  <si>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</si>
  <si>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</si>
  <si>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</si>
  <si>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</si>
  <si>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</si>
  <si>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</si>
  <si>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</si>
  <si>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</si>
  <si>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</si>
  <si>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</si>
  <si>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</si>
  <si>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</si>
  <si>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</si>
  <si>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</si>
  <si>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</si>
  <si>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</si>
  <si>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</si>
  <si>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</si>
  <si>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</si>
  <si>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</si>
  <si>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</si>
  <si>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</si>
  <si>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</si>
  <si>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</si>
  <si>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</si>
  <si>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Stage écono condensant</t>
  </si>
  <si>
    <r>
      <rPr>
        <b/>
        <sz val="10"/>
        <color rgb="FF002060"/>
        <rFont val="Arial"/>
        <family val="2"/>
      </rPr>
      <t>L'eau d'alimentation</t>
    </r>
    <r>
      <rPr>
        <sz val="10"/>
        <color rgb="FF002060"/>
        <rFont val="Arial"/>
        <family val="2"/>
      </rPr>
      <t xml:space="preserve"> de quelle(s) chaudière(s) est préchauffée par quel(s) </t>
    </r>
    <r>
      <rPr>
        <u/>
        <sz val="10"/>
        <color rgb="FF002060"/>
        <rFont val="Arial"/>
        <family val="2"/>
      </rPr>
      <t>économiseur(s) standard(s)</t>
    </r>
    <r>
      <rPr>
        <sz val="10"/>
        <color rgb="FF002060"/>
        <rFont val="Arial"/>
        <family val="2"/>
      </rPr>
      <t xml:space="preserve"> ou </t>
    </r>
    <r>
      <rPr>
        <u/>
        <sz val="10"/>
        <color rgb="FF002060"/>
        <rFont val="Arial"/>
        <family val="2"/>
      </rPr>
      <t>économiseur(s) à condensation à 2 stages</t>
    </r>
    <r>
      <rPr>
        <sz val="10"/>
        <color rgb="FF002060"/>
        <rFont val="Arial"/>
        <family val="2"/>
      </rPr>
      <t>?</t>
    </r>
  </si>
  <si>
    <t>stage</t>
  </si>
  <si>
    <t># économiseurs non-condensant ou condensant 2 stages qui préchauffe l'eau d'alim de la chaudière</t>
  </si>
  <si>
    <t>Stage</t>
  </si>
  <si>
    <r>
      <t xml:space="preserve">Chaleur totale (m1•Δh1) </t>
    </r>
    <r>
      <rPr>
        <b/>
        <sz val="11"/>
        <color rgb="FFC00000"/>
        <rFont val="Calibri"/>
        <family val="2"/>
        <scheme val="minor"/>
      </rPr>
      <t>- à exclure pour les économiseurs à 2 stages</t>
    </r>
  </si>
  <si>
    <r>
      <t># économiseurs non-condensant ou condensant 2 stages qui préchauffe l'</t>
    </r>
    <r>
      <rPr>
        <b/>
        <sz val="11"/>
        <color theme="1"/>
        <rFont val="Calibri"/>
        <family val="2"/>
        <scheme val="minor"/>
      </rPr>
      <t>eau d'alim</t>
    </r>
    <r>
      <rPr>
        <sz val="11"/>
        <color theme="1"/>
        <rFont val="Calibri"/>
        <family val="2"/>
        <scheme val="minor"/>
      </rPr>
      <t xml:space="preserve"> de la chaudière</t>
    </r>
  </si>
  <si>
    <t>Estimation de l'énergie récupérée par l'économiseur c pour préchauffer eau appoint:</t>
  </si>
  <si>
    <t>Quantité d'eau alimentée  (après ajout économiseur n-c ou c 2 stages):</t>
  </si>
  <si>
    <t>Estimation de l'énergie récupérée par l'économiseur n-c ou c 2 stages:</t>
  </si>
  <si>
    <t>B</t>
  </si>
  <si>
    <t># Économiseur condensant 2 stages</t>
  </si>
  <si>
    <t>Non-condensant (standard) ou condensant 2 stages</t>
  </si>
  <si>
    <t>Débit d'eau d'alimentation préchauffé par les économiseurs non-condensants ou condensants 2 stages</t>
  </si>
  <si>
    <t>RÉSUMÉ DE L'ÉNERGIE RÉCUPÉRÉ PAR LES ÉCONOMISEURS NON-CONDENSANTS OU CONDENSANTS 2 STAGES SELON L'EAU D'ALIMENTATION PRÉCHAUFFÉE</t>
  </si>
  <si>
    <t>Économiseur  condensant n°1</t>
  </si>
  <si>
    <t>Économiseur  condensant n°2</t>
  </si>
  <si>
    <t>Économiseur  condensant n°3</t>
  </si>
  <si>
    <t>Économiseur  condensant n°4</t>
  </si>
  <si>
    <t>Bilan d'énergie incluant la micro-modulation/sonde d'O2 qui change l'efficacité de combustion (ligne 82) et la température des fumées</t>
  </si>
  <si>
    <t>Économiseur à condensation - 1 stage</t>
  </si>
  <si>
    <t>Économiseur à condensation - 2 stages</t>
  </si>
  <si>
    <r>
      <t>Q</t>
    </r>
    <r>
      <rPr>
        <vertAlign val="subscript"/>
        <sz val="11"/>
        <color theme="1"/>
        <rFont val="Calibri"/>
        <family val="2"/>
        <scheme val="minor"/>
      </rPr>
      <t>produite</t>
    </r>
    <r>
      <rPr>
        <sz val="11"/>
        <color theme="1"/>
        <rFont val="Calibri"/>
        <family val="2"/>
        <scheme val="minor"/>
      </rPr>
      <t>/efficacité de combustion:</t>
    </r>
  </si>
  <si>
    <t xml:space="preserve">*L'effet croisé du à l'augmentation de l'efficacité de combustion par la micro-modulation / sonde d'O2 est déjà inclus. L'énergie récupéré par le 2e stage est réparti via chaque chaudière selon le capacité de production. </t>
  </si>
  <si>
    <t># économiseurs non-condensant ou c 2 stages qui préchauffe l'eau d'alim de la chaudière:</t>
  </si>
  <si>
    <t>chaudière n°1</t>
  </si>
  <si>
    <t>chaudière n°2</t>
  </si>
  <si>
    <t>chaudière n°3</t>
  </si>
  <si>
    <t>chaudière n°4</t>
  </si>
  <si>
    <t>Économiseur à condensation (1 ou 2 stages)</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</si>
  <si>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</si>
  <si>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</si>
  <si>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</si>
  <si>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</si>
  <si>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</si>
  <si>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</si>
  <si>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</si>
  <si>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</si>
  <si>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</si>
  <si>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</si>
  <si>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</si>
  <si>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</si>
  <si>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</si>
  <si>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</si>
  <si>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intégré?</t>
  </si>
  <si>
    <t xml:space="preserve">capacité </t>
  </si>
  <si>
    <t>type</t>
  </si>
  <si>
    <t>ÉTIQUETTE - ÉCONOMISEURS</t>
  </si>
  <si>
    <t>Création des étiquettes pour les économiseurs</t>
  </si>
  <si>
    <t>Étiquettes pour les économiseurs</t>
  </si>
  <si>
    <r>
      <rPr>
        <sz val="11"/>
        <color rgb="FFC00000"/>
        <rFont val="Segoe UI Symbol"/>
        <family val="2"/>
      </rPr>
      <t>⚠</t>
    </r>
    <r>
      <rPr>
        <sz val="11"/>
        <color rgb="FFC00000"/>
        <rFont val="Calibri"/>
        <family val="2"/>
      </rPr>
      <t xml:space="preserve"> Il semble y avoir une erreur dans l'entrée de données qui peut fausser le calcul d'économie d'énergie</t>
    </r>
  </si>
  <si>
    <t>Ne pas supprimer cette ligne. Elle contient un message d'erreur au cas ou.</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</si>
  <si>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</si>
  <si>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</si>
  <si>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</si>
  <si>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</si>
  <si>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</si>
  <si>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</si>
  <si>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</si>
  <si>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</si>
  <si>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</si>
  <si>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</si>
  <si>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</si>
  <si>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</si>
  <si>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</si>
  <si>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</si>
  <si>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</si>
  <si>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</si>
  <si>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</si>
  <si>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</si>
  <si>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</si>
  <si>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</si>
  <si>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</si>
  <si>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</si>
  <si>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</si>
  <si>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</si>
  <si>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</si>
  <si>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</si>
  <si>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</si>
  <si>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</si>
  <si>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</si>
  <si>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</si>
  <si>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</si>
  <si>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</si>
  <si>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</si>
  <si>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</si>
  <si>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</si>
  <si>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</si>
  <si>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</si>
  <si>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</si>
  <si>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</si>
  <si>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</si>
  <si>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</si>
  <si>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</si>
  <si>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</si>
  <si>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</si>
  <si>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</si>
  <si>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</si>
  <si>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</si>
  <si>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</si>
  <si>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</si>
  <si>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</si>
  <si>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</si>
  <si>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</si>
  <si>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</si>
  <si>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</si>
  <si>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</si>
  <si>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</si>
  <si>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</si>
  <si>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</si>
  <si>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</si>
  <si>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Pourcentage</t>
  </si>
  <si>
    <t>Gaz naturel</t>
  </si>
  <si>
    <t>Si autre, veuillez préciser :</t>
  </si>
  <si>
    <t>ne pas effacer cette ligne. Il y a un message.</t>
  </si>
  <si>
    <t>ans</t>
  </si>
  <si>
    <t>Apport en vapeur de la chaudière pour le dégazeur :</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</si>
  <si>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</si>
  <si>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</si>
  <si>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</si>
  <si>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</si>
  <si>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</si>
  <si>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</si>
  <si>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</si>
  <si>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</si>
  <si>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</si>
  <si>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</si>
  <si>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</si>
  <si>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</si>
  <si>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</si>
  <si>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</si>
  <si>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</si>
  <si>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</si>
  <si>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</si>
  <si>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</si>
  <si>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</si>
  <si>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</si>
  <si>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</si>
  <si>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</si>
  <si>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</si>
  <si>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</si>
  <si>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</si>
  <si>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</si>
  <si>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</si>
  <si>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</si>
  <si>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</si>
  <si>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</si>
  <si>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</si>
  <si>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</si>
  <si>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</si>
  <si>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Standard:</t>
  </si>
  <si>
    <t xml:space="preserve">Sur la cheminée </t>
  </si>
  <si>
    <t>Intégré à la chaudière</t>
  </si>
  <si>
    <t>Température du gaz naturel (°C) :</t>
  </si>
  <si>
    <t>Température de l'air de combustion (°C) :</t>
  </si>
  <si>
    <t>% excès d'air :</t>
  </si>
  <si>
    <t>Nombre d'heures d'opération annuelles :</t>
  </si>
  <si>
    <t>Total par chaudière :</t>
  </si>
  <si>
    <t>Total :</t>
  </si>
  <si>
    <r>
      <t xml:space="preserve">Eau d'appoint </t>
    </r>
    <r>
      <rPr>
        <sz val="11"/>
        <color theme="1"/>
        <rFont val="Tahoma"/>
        <family val="2"/>
      </rPr>
      <t>�</t>
    </r>
  </si>
  <si>
    <r>
      <t xml:space="preserve">Indiquer où sont installés les </t>
    </r>
    <r>
      <rPr>
        <u/>
        <sz val="10"/>
        <color rgb="FF002060"/>
        <rFont val="Arial"/>
        <family val="2"/>
      </rPr>
      <t>économiseurs standards</t>
    </r>
    <r>
      <rPr>
        <sz val="10"/>
        <color rgb="FF002060"/>
        <rFont val="Arial"/>
        <family val="2"/>
      </rPr>
      <t xml:space="preserve"> : </t>
    </r>
  </si>
  <si>
    <t>valeur à utiliser:</t>
  </si>
  <si>
    <t>Type de chaufferie:</t>
  </si>
  <si>
    <t>Type chaufferie</t>
  </si>
  <si>
    <t>Application :</t>
  </si>
  <si>
    <t>Eau chaude sanitaire</t>
  </si>
  <si>
    <t>ECS</t>
  </si>
  <si>
    <t>CVAC et procédé</t>
  </si>
  <si>
    <t>procédé / ECS</t>
  </si>
  <si>
    <t>Procédé / ECS</t>
  </si>
  <si>
    <r>
      <t xml:space="preserve">S'agit-il d'un </t>
    </r>
    <r>
      <rPr>
        <u/>
        <sz val="10"/>
        <color rgb="FF002060"/>
        <rFont val="Arial"/>
        <family val="2"/>
      </rPr>
      <t>économiseur à condensation</t>
    </r>
    <r>
      <rPr>
        <sz val="10"/>
        <color rgb="FF002060"/>
        <rFont val="Arial"/>
        <family val="2"/>
      </rPr>
      <t xml:space="preserve"> à 1 ou 2 stages?</t>
    </r>
  </si>
  <si>
    <t>Ancienneté</t>
  </si>
  <si>
    <t>HP</t>
  </si>
  <si>
    <t>Subventions sans plafond</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</si>
  <si>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</si>
  <si>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</si>
  <si>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</si>
  <si>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</si>
  <si>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</si>
  <si>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</si>
  <si>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</si>
  <si>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</si>
  <si>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</si>
  <si>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</si>
  <si>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</si>
  <si>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</si>
  <si>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</si>
  <si>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</si>
  <si>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</si>
  <si>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</si>
  <si>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</si>
  <si>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</si>
  <si>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</si>
  <si>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</si>
  <si>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</si>
  <si>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</si>
  <si>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</si>
  <si>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</si>
  <si>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</si>
  <si>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</si>
  <si>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</si>
  <si>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Puissance installée du brûleur de la chaudière :</t>
  </si>
  <si>
    <r>
      <t>Si l</t>
    </r>
    <r>
      <rPr>
        <u/>
        <sz val="10"/>
        <color rgb="FF002060"/>
        <rFont val="Arial"/>
        <family val="2"/>
      </rPr>
      <t>'économiseur à condensation</t>
    </r>
    <r>
      <rPr>
        <sz val="10"/>
        <color rgb="FF002060"/>
        <rFont val="Arial"/>
        <family val="2"/>
      </rPr>
      <t xml:space="preserve"> n'est pas utilisé pour préchauffer l</t>
    </r>
    <r>
      <rPr>
        <b/>
        <sz val="10"/>
        <color rgb="FF002060"/>
        <rFont val="Arial"/>
        <family val="2"/>
      </rPr>
      <t xml:space="preserve">'eau d'appoint </t>
    </r>
    <r>
      <rPr>
        <sz val="10"/>
        <color rgb="FF002060"/>
        <rFont val="Arial"/>
        <family val="2"/>
      </rPr>
      <t xml:space="preserve">de la chaufferie, veuillez préciser ce qu'il préchauffe : </t>
    </r>
  </si>
  <si>
    <r>
      <t xml:space="preserve">Si </t>
    </r>
    <r>
      <rPr>
        <u/>
        <sz val="10"/>
        <color rgb="FF002060"/>
        <rFont val="Arial"/>
        <family val="2"/>
      </rPr>
      <t>l'économiseur standard</t>
    </r>
    <r>
      <rPr>
        <sz val="10"/>
        <color rgb="FF002060"/>
        <rFont val="Arial"/>
        <family val="2"/>
      </rPr>
      <t xml:space="preserve"> n'est pas utilisé pour préchauffer l'</t>
    </r>
    <r>
      <rPr>
        <b/>
        <sz val="10"/>
        <color rgb="FF002060"/>
        <rFont val="Arial"/>
        <family val="2"/>
      </rPr>
      <t xml:space="preserve">eau d'alimentation </t>
    </r>
    <r>
      <rPr>
        <sz val="10"/>
        <color rgb="FF002060"/>
        <rFont val="Arial"/>
        <family val="2"/>
      </rPr>
      <t xml:space="preserve">de la chaudière, veuillez préciser ce qu'il préchauffe : </t>
    </r>
  </si>
  <si>
    <r>
      <t>Surface extérieure de l'échangeur (pi</t>
    </r>
    <r>
      <rPr>
        <vertAlign val="superscript"/>
        <sz val="10"/>
        <color rgb="FF002060"/>
        <rFont val="Arial"/>
        <family val="2"/>
      </rPr>
      <t>2</t>
    </r>
    <r>
      <rPr>
        <sz val="10"/>
        <color rgb="FF002060"/>
        <rFont val="Arial"/>
        <family val="2"/>
      </rPr>
      <t>)</t>
    </r>
  </si>
  <si>
    <r>
      <t>Surface extérieure du réservoir (pi</t>
    </r>
    <r>
      <rPr>
        <vertAlign val="superscript"/>
        <sz val="10"/>
        <color rgb="FF002060"/>
        <rFont val="Arial"/>
        <family val="2"/>
      </rPr>
      <t>2</t>
    </r>
    <r>
      <rPr>
        <sz val="10"/>
        <color rgb="FF002060"/>
        <rFont val="Arial"/>
        <family val="2"/>
      </rPr>
      <t>)</t>
    </r>
  </si>
  <si>
    <t>(1)</t>
  </si>
  <si>
    <t>(2)</t>
  </si>
  <si>
    <t>(3)</t>
  </si>
  <si>
    <t>(4)</t>
  </si>
  <si>
    <t>selon les données de Prodimax</t>
  </si>
  <si>
    <t>POMPES</t>
  </si>
  <si>
    <t>Pompes</t>
  </si>
  <si>
    <r>
      <t>Surface extérieure de la pompe (pi</t>
    </r>
    <r>
      <rPr>
        <vertAlign val="superscript"/>
        <sz val="10"/>
        <color rgb="FF002060"/>
        <rFont val="Arial"/>
        <family val="2"/>
      </rPr>
      <t>2</t>
    </r>
    <r>
      <rPr>
        <sz val="10"/>
        <color rgb="FF002060"/>
        <rFont val="Arial"/>
        <family val="2"/>
      </rPr>
      <t>)</t>
    </r>
  </si>
  <si>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</si>
  <si>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</si>
  <si>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</si>
  <si>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</si>
  <si>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</si>
  <si>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</si>
  <si>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</si>
  <si>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r>
      <t>Surface extérieure de l'équipement (pi</t>
    </r>
    <r>
      <rPr>
        <vertAlign val="superscript"/>
        <sz val="10"/>
        <color rgb="FF002060"/>
        <rFont val="Arial"/>
        <family val="2"/>
      </rPr>
      <t>2</t>
    </r>
    <r>
      <rPr>
        <sz val="10"/>
        <color rgb="FF002060"/>
        <rFont val="Arial"/>
        <family val="2"/>
      </rPr>
      <t>)</t>
    </r>
  </si>
  <si>
    <t xml:space="preserve">AUTRES ÉQUIPEMENTS - Compilation des tableaux de résultats </t>
  </si>
  <si>
    <t>AUTRES ÉQUIPEMENTS</t>
  </si>
  <si>
    <t>Surface isolant (pi*D3*L)</t>
  </si>
  <si>
    <t>L</t>
  </si>
  <si>
    <t>epaisseur isolant</t>
  </si>
  <si>
    <t>Surface isolant (35% de +)</t>
  </si>
  <si>
    <t>Type chaufferie -</t>
  </si>
  <si>
    <t>Type chaufferie - ISOLATION</t>
  </si>
  <si>
    <t>Vapeu et eau chaude</t>
  </si>
  <si>
    <t>À condensation:</t>
  </si>
  <si>
    <t>Température des fumées à la sortie de l'économiseur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</si>
  <si>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</si>
  <si>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</si>
  <si>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</si>
  <si>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</si>
  <si>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</si>
  <si>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</si>
  <si>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</si>
  <si>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</si>
  <si>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</si>
  <si>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MEÉ4 - Économiseur standard:</t>
  </si>
  <si>
    <t>MEÉ4 - Économiseur à condensation (1 stage):</t>
  </si>
  <si>
    <t>MEÉ4 - Économiseur à condensation (2 stages):</t>
  </si>
  <si>
    <t>Vérification requise?</t>
  </si>
  <si>
    <t>Numéro de chaudière</t>
  </si>
  <si>
    <t>Puissance (BHP)</t>
  </si>
  <si>
    <t>Chaudière</t>
  </si>
  <si>
    <t>Numéro et type d'économiseur</t>
  </si>
  <si>
    <t>Intégré/Non-intégré</t>
  </si>
  <si>
    <t>Usage (économiseur préchauffe)</t>
  </si>
  <si>
    <t>Réseau vapeur</t>
  </si>
  <si>
    <t>Neuve/existante</t>
  </si>
  <si>
    <t>Tableau à masquer</t>
  </si>
  <si>
    <t>Ligne à masquer</t>
  </si>
  <si>
    <t>Mesure recommandée</t>
  </si>
  <si>
    <t>MEÉ11 - Isolation thermique</t>
  </si>
  <si>
    <t>MEÉ2 - Micromodulation - chaudière 1</t>
  </si>
  <si>
    <t>MEÉ2 - Micromodulation - chaudière 2</t>
  </si>
  <si>
    <t>MEÉ2 - Micromodulation - chaudière 3</t>
  </si>
  <si>
    <t>MEÉ2 - Micromodulation - chaudière 4</t>
  </si>
  <si>
    <t>Équation polynomiale 4e degré</t>
  </si>
  <si>
    <t>Mesures installées</t>
  </si>
  <si>
    <t>MEÉ1 - Isolation thermique</t>
  </si>
  <si>
    <t>MEÉ2 - Micromodulation</t>
  </si>
  <si>
    <r>
      <t>MEÉ3 - Sonde de O</t>
    </r>
    <r>
      <rPr>
        <b/>
        <vertAlign val="subscript"/>
        <sz val="11"/>
        <color theme="2"/>
        <rFont val="Calibri"/>
        <family val="2"/>
        <scheme val="minor"/>
      </rPr>
      <t>2</t>
    </r>
  </si>
  <si>
    <r>
      <t>MEÉ3 - Ajout sonde d'O</t>
    </r>
    <r>
      <rPr>
        <b/>
        <vertAlign val="subscript"/>
        <sz val="11"/>
        <color theme="0"/>
        <rFont val="Calibri"/>
        <family val="2"/>
        <scheme val="minor"/>
      </rPr>
      <t>2</t>
    </r>
  </si>
  <si>
    <t>MEÉ4 - Économiseur standard</t>
  </si>
  <si>
    <t>MEÉ4 - Économiseur à condensation - 1 stage</t>
  </si>
  <si>
    <r>
      <t>Économies de gaz naturel (m</t>
    </r>
    <r>
      <rPr>
        <b/>
        <vertAlign val="superscript"/>
        <sz val="10"/>
        <color theme="0"/>
        <rFont val="Arial"/>
        <family val="2"/>
      </rPr>
      <t>3</t>
    </r>
    <r>
      <rPr>
        <b/>
        <sz val="10"/>
        <color theme="0"/>
        <rFont val="Arial"/>
        <family val="2"/>
      </rPr>
      <t>/an)</t>
    </r>
  </si>
  <si>
    <t xml:space="preserve">Total </t>
  </si>
  <si>
    <t>MEÉ4 - Économiseur</t>
  </si>
  <si>
    <r>
      <t>MEÉ3 - Sonde O</t>
    </r>
    <r>
      <rPr>
        <b/>
        <vertAlign val="subscript"/>
        <sz val="11"/>
        <color theme="0"/>
        <rFont val="Calibri"/>
        <family val="2"/>
        <scheme val="minor"/>
      </rPr>
      <t>2</t>
    </r>
  </si>
  <si>
    <t>MEÉ4 - Économiseur à condensation - 2 stages</t>
  </si>
  <si>
    <t>Section 1 – Résumé des mesures implantées</t>
  </si>
  <si>
    <t>Section 2 – Estimation de l'aide financière avant plafond maximal</t>
  </si>
  <si>
    <t>EMI</t>
  </si>
  <si>
    <t>Mesure d'efficacité énergétique
 (MEÉ)</t>
  </si>
  <si>
    <r>
      <t xml:space="preserve">               Eau d'alimentation </t>
    </r>
    <r>
      <rPr>
        <sz val="11"/>
        <color theme="1"/>
        <rFont val="Tahoma"/>
        <family val="2"/>
      </rPr>
      <t>�</t>
    </r>
  </si>
  <si>
    <t>Application - vapeur</t>
  </si>
  <si>
    <t>Application - eau chaude</t>
  </si>
  <si>
    <t>eff globale</t>
  </si>
  <si>
    <t>1.    Les cellules encadrées en bleu sont à compléter :</t>
  </si>
  <si>
    <t>Ratio des gains</t>
  </si>
  <si>
    <t>Efficacité de combustion chaudière au gaz naturel:</t>
  </si>
  <si>
    <t>Efficacité chaudière électrique:</t>
  </si>
  <si>
    <t>Numéro de la mesure</t>
  </si>
  <si>
    <t>MEÉ4 - Économiseur standard intégré</t>
  </si>
  <si>
    <t>MEÉ4 - Économiseur standard non intégré</t>
  </si>
  <si>
    <t>MEÉ4 - Économiseur à condensation non intégré</t>
  </si>
  <si>
    <t>1) Section à compléter par les commis</t>
  </si>
  <si>
    <t>2) Résumé pour saisie dans Salesforce</t>
  </si>
  <si>
    <t>Guide d'utilisation du calculateur</t>
  </si>
  <si>
    <r>
      <t>MEÉ3 - Sonde d'O</t>
    </r>
    <r>
      <rPr>
        <vertAlign val="subscript"/>
        <sz val="11"/>
        <color rgb="FF002060"/>
        <rFont val="Arial"/>
        <family val="2"/>
      </rPr>
      <t>2</t>
    </r>
  </si>
  <si>
    <t>Identification de la pompe</t>
  </si>
  <si>
    <r>
      <t>Température du fluide</t>
    </r>
    <r>
      <rPr>
        <vertAlign val="superscript"/>
        <sz val="10"/>
        <color rgb="FF002060"/>
        <rFont val="Arial"/>
        <family val="2"/>
      </rPr>
      <t>2</t>
    </r>
    <r>
      <rPr>
        <sz val="10"/>
        <color rgb="FF002060"/>
        <rFont val="Arial"/>
        <family val="2"/>
      </rPr>
      <t xml:space="preserve"> (°C) </t>
    </r>
    <r>
      <rPr>
        <sz val="10"/>
        <color rgb="FF002060"/>
        <rFont val="Tahoma"/>
        <family val="2"/>
      </rPr>
      <t>�</t>
    </r>
  </si>
  <si>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</si>
  <si>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</si>
  <si>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</si>
  <si>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Nombre de mesure installée</t>
  </si>
  <si>
    <t>Économiseur standard (1 stage) intégré</t>
  </si>
  <si>
    <t>Économiseur standard (1 stage) non-intégré</t>
  </si>
  <si>
    <t>Économiseur à condensation (1 ou 2 stages) non-intégré</t>
  </si>
  <si>
    <t>$/unité isolée</t>
  </si>
  <si>
    <t>$/chaudière</t>
  </si>
  <si>
    <t>$/BHP</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</si>
  <si>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</si>
  <si>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</si>
  <si>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</si>
  <si>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</si>
  <si>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</si>
  <si>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</si>
  <si>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</si>
  <si>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r>
      <t>MEÉ3 - Sonde de O</t>
    </r>
    <r>
      <rPr>
        <b/>
        <vertAlign val="subscript"/>
        <sz val="10"/>
        <color theme="0"/>
        <rFont val="Arial"/>
        <family val="2"/>
      </rPr>
      <t>2</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</si>
  <si>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</si>
  <si>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</si>
  <si>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t>Veuillez entrer les données suivantes pour les chaudières impactées par une mesure d'efficacité énergétique</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</si>
  <si>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</si>
  <si>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</si>
  <si>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</si>
  <si>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</si>
  <si>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</si>
  <si>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</si>
  <si>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</si>
  <si>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Économies électriques (kWh/an)</t>
  </si>
  <si>
    <t>Si le % d'économie est supérieur à (par rapport à la consommation totale):</t>
  </si>
  <si>
    <r>
      <t>Le réseau de vapeur sur lequel les équipements ont été isolés est-il alimenté à 100% par du gaz naturel</t>
    </r>
    <r>
      <rPr>
        <vertAlign val="superscript"/>
        <sz val="10"/>
        <color rgb="FF002060"/>
        <rFont val="Arial"/>
        <family val="2"/>
      </rPr>
      <t>1</t>
    </r>
    <r>
      <rPr>
        <sz val="10"/>
        <color rgb="FF002060"/>
        <rFont val="Arial"/>
        <family val="2"/>
      </rPr>
      <t>?</t>
    </r>
  </si>
  <si>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</si>
  <si>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</si>
  <si>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</si>
  <si>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Les économies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</si>
  <si>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t>Économies pour la chaudière qui se fait préchauffer l'eau d'alimentation et non sur la chaudière sur laquelle est installé l'économiseur</t>
  </si>
  <si>
    <r>
      <t xml:space="preserve">iv) Remplir cette section </t>
    </r>
    <r>
      <rPr>
        <b/>
        <u/>
        <sz val="11"/>
        <color rgb="FF002060"/>
        <rFont val="Calibri"/>
        <family val="2"/>
        <scheme val="minor"/>
      </rPr>
      <t>uniquement</t>
    </r>
    <r>
      <rPr>
        <b/>
        <sz val="11"/>
        <color rgb="FF002060"/>
        <rFont val="Calibri"/>
        <family val="2"/>
        <scheme val="minor"/>
      </rPr>
      <t xml:space="preserve"> si vous installez un ou plusieurs économiseurs standards ou condensant à 2 stages</t>
    </r>
  </si>
  <si>
    <r>
      <t xml:space="preserve">Diamètre nominal du raccord de la composante sur la tuyauterie
(pouce) </t>
    </r>
    <r>
      <rPr>
        <sz val="10"/>
        <color rgb="FF002060"/>
        <rFont val="Tahoma"/>
        <family val="2"/>
      </rPr>
      <t>�</t>
    </r>
  </si>
  <si>
    <t>Type de vapeur produite:</t>
  </si>
  <si>
    <t xml:space="preserve">MEÉ4 - Économiseur à condensation </t>
  </si>
  <si>
    <t>Nombre d'heures d'opération annuelles 
(h)</t>
  </si>
  <si>
    <t>Chaufferie</t>
  </si>
  <si>
    <t>MEE1</t>
  </si>
  <si>
    <t>MEE2-3-4</t>
  </si>
  <si>
    <t>meme réseau</t>
  </si>
  <si>
    <t>mesure installée?</t>
  </si>
  <si>
    <t>Problème?</t>
  </si>
  <si>
    <t>Schéma de 2 réseaux de vapeur, chacun composé de 2 chaudières</t>
  </si>
  <si>
    <r>
      <t xml:space="preserve">Eau d'alimentation </t>
    </r>
    <r>
      <rPr>
        <sz val="11"/>
        <color theme="1"/>
        <rFont val="Tahoma"/>
        <family val="2"/>
      </rPr>
      <t>�</t>
    </r>
  </si>
  <si>
    <t>1. Demande d'admissibilité</t>
  </si>
  <si>
    <t>Optimisation des chaufferies</t>
  </si>
  <si>
    <t>* Champs obligatoires</t>
  </si>
  <si>
    <t>Section 1 - Identification du client</t>
  </si>
  <si>
    <t>Identification du client</t>
  </si>
  <si>
    <t>Adresse des installations visées par le projet</t>
  </si>
  <si>
    <t>Section 2 - Informations générales sur le projet</t>
  </si>
  <si>
    <t>*</t>
  </si>
  <si>
    <t>Avez-vous terminé les travaux ? �</t>
  </si>
  <si>
    <t>Le client déclare que les renseignements fournis dans tous les documents transmis sont exacts et complets. Le client accepte qu’Énergir fasse des validations auprès d’autres organismes susceptibles de participer financièrement à ce projet et partage l’information avec ces derniers. Le client reconnaît que toute fausse déclaration pourrait entraîner un remboursement intégral du montant de l’aide financière accordée par Énergir.</t>
  </si>
  <si>
    <t>jour / mois / année</t>
  </si>
  <si>
    <t>Énergir se réserve le droit de modifier le programme ou d’y mettre fin en tout temps, sans préavis. 
Énergir s’engage à traiter les demandes qui lui sont soumises dans des délais qu’elle juge raisonnables.</t>
  </si>
  <si>
    <r>
      <rPr>
        <sz val="10"/>
        <color rgb="FFED1D24"/>
        <rFont val="Arial"/>
        <family val="2"/>
      </rPr>
      <t xml:space="preserve">* </t>
    </r>
    <r>
      <rPr>
        <sz val="10"/>
        <color rgb="FF002D5B"/>
        <rFont val="Arial"/>
        <family val="2"/>
      </rPr>
      <t>Nom de l’entreprise :</t>
    </r>
  </si>
  <si>
    <r>
      <rPr>
        <sz val="10"/>
        <color rgb="FFED1D24"/>
        <rFont val="Arial"/>
        <family val="2"/>
      </rPr>
      <t xml:space="preserve">* </t>
    </r>
    <r>
      <rPr>
        <sz val="10"/>
        <color rgb="FF002D5B"/>
        <rFont val="Arial"/>
        <family val="2"/>
      </rPr>
      <t xml:space="preserve">Personne-ressource :                                                             </t>
    </r>
  </si>
  <si>
    <r>
      <rPr>
        <sz val="10"/>
        <color rgb="FFED1D24"/>
        <rFont val="Arial"/>
        <family val="2"/>
      </rPr>
      <t xml:space="preserve">* </t>
    </r>
    <r>
      <rPr>
        <sz val="10"/>
        <color rgb="FF002D5B"/>
        <rFont val="Arial"/>
        <family val="2"/>
      </rPr>
      <t xml:space="preserve">Titre de la personne-ressource :                                                             </t>
    </r>
  </si>
  <si>
    <r>
      <rPr>
        <sz val="10"/>
        <color rgb="FFED1D24"/>
        <rFont val="Arial"/>
        <family val="2"/>
      </rPr>
      <t xml:space="preserve">* </t>
    </r>
    <r>
      <rPr>
        <sz val="10"/>
        <color rgb="FF002D5B"/>
        <rFont val="Arial"/>
        <family val="2"/>
      </rPr>
      <t xml:space="preserve">Adresse de la personne-ressource :                                                      </t>
    </r>
  </si>
  <si>
    <r>
      <rPr>
        <sz val="10"/>
        <color rgb="FFED1D24"/>
        <rFont val="Arial"/>
        <family val="2"/>
      </rPr>
      <t xml:space="preserve">* </t>
    </r>
    <r>
      <rPr>
        <sz val="10"/>
        <color rgb="FF002D5B"/>
        <rFont val="Arial"/>
        <family val="2"/>
      </rPr>
      <t>Ville :</t>
    </r>
  </si>
  <si>
    <r>
      <rPr>
        <sz val="10"/>
        <color rgb="FFED1D24"/>
        <rFont val="Arial"/>
        <family val="2"/>
      </rPr>
      <t xml:space="preserve">* </t>
    </r>
    <r>
      <rPr>
        <sz val="10"/>
        <color rgb="FF002D5B"/>
        <rFont val="Arial"/>
        <family val="2"/>
      </rPr>
      <t xml:space="preserve">Code postal : </t>
    </r>
  </si>
  <si>
    <r>
      <rPr>
        <sz val="10"/>
        <color rgb="FFED1D24"/>
        <rFont val="Arial"/>
        <family val="2"/>
      </rPr>
      <t xml:space="preserve">* </t>
    </r>
    <r>
      <rPr>
        <sz val="10"/>
        <color rgb="FF002D5B"/>
        <rFont val="Arial"/>
        <family val="2"/>
      </rPr>
      <t xml:space="preserve">Téléphone bureau :                                                             </t>
    </r>
  </si>
  <si>
    <r>
      <rPr>
        <sz val="10"/>
        <color rgb="FFED1D24"/>
        <rFont val="Arial"/>
        <family val="2"/>
      </rPr>
      <t xml:space="preserve">  </t>
    </r>
    <r>
      <rPr>
        <sz val="10"/>
        <color rgb="FF002D5B"/>
        <rFont val="Arial"/>
        <family val="2"/>
      </rPr>
      <t xml:space="preserve">Téléphone cellulaire :                                                             </t>
    </r>
  </si>
  <si>
    <r>
      <rPr>
        <sz val="10"/>
        <color rgb="FFED1D24"/>
        <rFont val="Arial"/>
        <family val="2"/>
      </rPr>
      <t xml:space="preserve">* </t>
    </r>
    <r>
      <rPr>
        <sz val="10"/>
        <color rgb="FF002D5B"/>
        <rFont val="Arial"/>
        <family val="2"/>
      </rPr>
      <t>Courriel :</t>
    </r>
  </si>
  <si>
    <r>
      <rPr>
        <sz val="10"/>
        <color rgb="FFED1D24"/>
        <rFont val="Arial"/>
        <family val="2"/>
      </rPr>
      <t xml:space="preserve">* </t>
    </r>
    <r>
      <rPr>
        <sz val="10"/>
        <color rgb="FF002D5B"/>
        <rFont val="Arial"/>
        <family val="2"/>
      </rPr>
      <t>Numéro de compte Énergir du bâtiment</t>
    </r>
    <r>
      <rPr>
        <vertAlign val="superscript"/>
        <sz val="10"/>
        <color rgb="FF002D5B"/>
        <rFont val="Arial"/>
        <family val="2"/>
      </rPr>
      <t>1</t>
    </r>
    <r>
      <rPr>
        <sz val="10"/>
        <color rgb="FF002D5B"/>
        <rFont val="Arial"/>
        <family val="2"/>
      </rPr>
      <t xml:space="preserve"> :</t>
    </r>
  </si>
  <si>
    <r>
      <t xml:space="preserve">* </t>
    </r>
    <r>
      <rPr>
        <sz val="10"/>
        <color rgb="FF002060"/>
        <rFont val="Arial"/>
        <family val="2"/>
      </rPr>
      <t xml:space="preserve">Adresse du bâtiment visé par le projet :  </t>
    </r>
    <r>
      <rPr>
        <sz val="10"/>
        <color rgb="FFFF0000"/>
        <rFont val="Arial"/>
        <family val="2"/>
      </rPr>
      <t xml:space="preserve">                                                           </t>
    </r>
  </si>
  <si>
    <r>
      <rPr>
        <vertAlign val="superscript"/>
        <sz val="8"/>
        <color rgb="FF002060"/>
        <rFont val="Arial"/>
        <family val="2"/>
      </rPr>
      <t>1</t>
    </r>
    <r>
      <rPr>
        <sz val="8"/>
        <color rgb="FF002060"/>
        <rFont val="Arial"/>
        <family val="2"/>
      </rPr>
      <t>Si les installations ou les bâtiments comportent des numéros de compte Énergir différents, veuillez soumettre une demande d’aide financière distincte pour chaque numéro de compte Énergir.</t>
    </r>
  </si>
  <si>
    <r>
      <t xml:space="preserve">* </t>
    </r>
    <r>
      <rPr>
        <sz val="10"/>
        <color rgb="FF002060"/>
        <rFont val="Arial"/>
        <family val="2"/>
      </rPr>
      <t>Nom de l'entreprise cliente :</t>
    </r>
  </si>
  <si>
    <r>
      <rPr>
        <sz val="10"/>
        <color rgb="FFFF0000"/>
        <rFont val="Arial"/>
        <family val="2"/>
      </rPr>
      <t>*</t>
    </r>
    <r>
      <rPr>
        <sz val="10"/>
        <color rgb="FF002D5B"/>
        <rFont val="Arial"/>
        <family val="2"/>
      </rPr>
      <t xml:space="preserve"> Nom de la personne-ressource client :</t>
    </r>
  </si>
  <si>
    <r>
      <rPr>
        <sz val="10"/>
        <color rgb="FFFF0000"/>
        <rFont val="Arial"/>
        <family val="2"/>
      </rPr>
      <t>*</t>
    </r>
    <r>
      <rPr>
        <sz val="10"/>
        <color rgb="FF002D5B"/>
        <rFont val="Arial"/>
        <family val="2"/>
      </rPr>
      <t xml:space="preserve"> Titre :</t>
    </r>
  </si>
  <si>
    <r>
      <rPr>
        <sz val="10"/>
        <color rgb="FFFF0000"/>
        <rFont val="Arial"/>
        <family val="2"/>
      </rPr>
      <t>*</t>
    </r>
    <r>
      <rPr>
        <sz val="10"/>
        <color rgb="FF002D5B"/>
        <rFont val="Arial"/>
        <family val="2"/>
      </rPr>
      <t xml:space="preserve"> Date : </t>
    </r>
  </si>
  <si>
    <t>2. Rapport détaillé des coûts</t>
  </si>
  <si>
    <t>Suivi des coûts – APRÈS TRAVAUX</t>
  </si>
  <si>
    <t>Description de la mesure</t>
  </si>
  <si>
    <t>Coût de la mesure</t>
  </si>
  <si>
    <t>Facture</t>
  </si>
  <si>
    <t>Commentaire �</t>
  </si>
  <si>
    <t>Justification/Commentaire (DATECH)</t>
  </si>
  <si>
    <t>Type de coût</t>
  </si>
  <si>
    <t>Montant ($)</t>
  </si>
  <si>
    <t>N° facture</t>
  </si>
  <si>
    <t>Ligne d'exemple</t>
  </si>
  <si>
    <t>Sous-total</t>
  </si>
  <si>
    <t>Total des coûts du projet</t>
  </si>
  <si>
    <t>Onglet 2 Rapport détaillé des coûts</t>
  </si>
  <si>
    <t>Onglet 1 Informations générales</t>
  </si>
  <si>
    <t>Travaux terminés?</t>
  </si>
  <si>
    <r>
      <t>MEÉ3 - Sonde de O</t>
    </r>
    <r>
      <rPr>
        <vertAlign val="subscript"/>
        <sz val="11"/>
        <color theme="1"/>
        <rFont val="Calibri"/>
        <family val="2"/>
        <scheme val="minor"/>
      </rPr>
      <t>2</t>
    </r>
  </si>
  <si>
    <t xml:space="preserve">Dans un premier temps, remplissez les informations requises dans les onglets 3b et 3c (voir tableau ci-dessous). </t>
  </si>
  <si>
    <t>3a. Calculateur pour une chaufferie vapeur - Instructions</t>
  </si>
  <si>
    <t>Section à masquer</t>
  </si>
  <si>
    <t>Estimation de l'aide financière avant plafond maximal</t>
  </si>
  <si>
    <t>4. Demande de versement et attestation de mise en service</t>
  </si>
  <si>
    <t>Le client déclare ci-après les aides financières qu’il a reçues de la part d’autres organismes pour la réalisation des mesures (veuillez indiquer uniquement les montants reçus et non les montants à venir):</t>
  </si>
  <si>
    <t>Nom de l’organisme</t>
  </si>
  <si>
    <t>Nom du programme</t>
  </si>
  <si>
    <t>Montant reçu à ce jour ($)</t>
  </si>
  <si>
    <t>Le client accepte qu’Énergir puisse partager de l’information avec les organismes externes. De plus, le client accepte qu’Énergir révise le montant de l’aide financière afin de tenir compte de l’aide financière externe.</t>
  </si>
  <si>
    <t>Aide financière admissible</t>
  </si>
  <si>
    <t>Coûts admissibles</t>
  </si>
  <si>
    <t>Autres subventions reçues à ce jour ($)</t>
  </si>
  <si>
    <t>Aide financière totale:</t>
  </si>
  <si>
    <t>L’onglet 1 (Informations générales);</t>
  </si>
  <si>
    <t>L’onglet 2 (Rapport détaillé des coûts);</t>
  </si>
  <si>
    <t>L’onglet 4 (Demande de versement);</t>
  </si>
  <si>
    <t>Une copie des factures des travaux en lien 
avec la/les mesure(s) implantée(s), incluant :</t>
  </si>
  <si>
    <t>•  Les coordonnées du client et le numéro de compte d’Énergir;</t>
  </si>
  <si>
    <t>•  Les coordonnées du fournisseur du bien fourni ou du service rendu;</t>
  </si>
  <si>
    <t>Pour chaque mesure installée, les pièces justificatives suivantes:</t>
  </si>
  <si>
    <t xml:space="preserve">Micromodulation </t>
  </si>
  <si>
    <t>Un test de combustion avant installation</t>
  </si>
  <si>
    <t>Un test de combustion après installation</t>
  </si>
  <si>
    <r>
      <t xml:space="preserve">Conformément à l’étape 4 du </t>
    </r>
    <r>
      <rPr>
        <i/>
        <sz val="10"/>
        <color rgb="FF002D5B"/>
        <rFont val="Arial"/>
        <family val="2"/>
      </rPr>
      <t>Formulaire I – Conditions et déclaration d’intention</t>
    </r>
    <r>
      <rPr>
        <sz val="10"/>
        <color rgb="FF002D5B"/>
        <rFont val="Arial"/>
        <family val="2"/>
      </rPr>
      <t>, je joins à la présente :</t>
    </r>
  </si>
  <si>
    <r>
      <t>Sonde de O</t>
    </r>
    <r>
      <rPr>
        <b/>
        <vertAlign val="subscript"/>
        <sz val="10"/>
        <color theme="0"/>
        <rFont val="Arial"/>
        <family val="2"/>
      </rPr>
      <t>2</t>
    </r>
  </si>
  <si>
    <r>
      <t>Les caractéristiques de la chaudière</t>
    </r>
    <r>
      <rPr>
        <vertAlign val="superscript"/>
        <sz val="10"/>
        <color theme="1"/>
        <rFont val="Arial"/>
        <family val="2"/>
      </rPr>
      <t>1</t>
    </r>
    <r>
      <rPr>
        <sz val="10"/>
        <color theme="1"/>
        <rFont val="Arial"/>
        <family val="2"/>
      </rPr>
      <t xml:space="preserve"> </t>
    </r>
  </si>
  <si>
    <r>
      <t>Un test de combustion avant installation</t>
    </r>
    <r>
      <rPr>
        <vertAlign val="superscript"/>
        <sz val="10"/>
        <color theme="1"/>
        <rFont val="Arial"/>
        <family val="2"/>
      </rPr>
      <t>2</t>
    </r>
  </si>
  <si>
    <r>
      <rPr>
        <b/>
        <sz val="14"/>
        <color rgb="FF00B0F0"/>
        <rFont val="Arial"/>
        <family val="2"/>
      </rPr>
      <t xml:space="preserve">Faire parvenir ce formulaire en format Excel à : </t>
    </r>
    <r>
      <rPr>
        <b/>
        <u/>
        <sz val="14"/>
        <color rgb="FF00B0F0"/>
        <rFont val="Arial"/>
        <family val="2"/>
      </rPr>
      <t>efficaciteenergetique@energir.com</t>
    </r>
  </si>
  <si>
    <t xml:space="preserve">Les montants présentés ci-dessous n'incluent pas les plafonds maximums des aides financières définis par Énergir. </t>
  </si>
  <si>
    <t>Section 3 - Aide financière de source externe</t>
  </si>
  <si>
    <t>Colonnes à masquer</t>
  </si>
  <si>
    <t>Section 5 - Demande de versement</t>
  </si>
  <si>
    <t>jour/mois/année</t>
  </si>
  <si>
    <t>Section 4 - Estimation de l'aide financière incluant les plafonds maximums</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</si>
  <si>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</si>
  <si>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</si>
  <si>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</si>
  <si>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</si>
  <si>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</si>
  <si>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</si>
  <si>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</si>
  <si>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</si>
  <si>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Plafond maximal</t>
  </si>
  <si>
    <t>Aide financière admissible avant plafond</t>
  </si>
  <si>
    <t>Aide financière ajustée avec plafond</t>
  </si>
  <si>
    <t>Type d'économiseur (standard ou condensation)</t>
  </si>
  <si>
    <t>Type d'économiseur (intégré ou non-intégré)</t>
  </si>
  <si>
    <t>Nº Dossier Énergir PE242</t>
  </si>
  <si>
    <t>Nº Dossier Énergir PE242:</t>
  </si>
  <si>
    <t xml:space="preserve">En cochant cette case, vous confirmez que vous avez obtenu l'approbation d'Énergir quant à l'admissibilité de ces équipements à l'aide financière. </t>
  </si>
  <si>
    <t>Section 3 – Estimation des économies d'énergie</t>
  </si>
  <si>
    <r>
      <t>3c. Calculateur pour une chaufferie vapeur - MEÉ 2 (micromodulation), MEÉ 3 (sonde de O</t>
    </r>
    <r>
      <rPr>
        <b/>
        <vertAlign val="subscript"/>
        <sz val="16"/>
        <color rgb="FF002060"/>
        <rFont val="Arial"/>
        <family val="2"/>
      </rPr>
      <t>2</t>
    </r>
    <r>
      <rPr>
        <b/>
        <sz val="16"/>
        <color rgb="FF002060"/>
        <rFont val="Arial"/>
        <family val="2"/>
      </rPr>
      <t>) et MEÉ 4 (économiseur)</t>
    </r>
  </si>
  <si>
    <t>Si vapeur surchauffée, degré de surchauffe :</t>
  </si>
  <si>
    <t>Température des fumées à la sortie de la chaudière :</t>
  </si>
  <si>
    <t>Section 2 – Données sur les mesures implantées</t>
  </si>
  <si>
    <t>Veuillez compléter:</t>
  </si>
  <si>
    <r>
      <t>2b) Micromodulation et ajout d'une sonde d'O</t>
    </r>
    <r>
      <rPr>
        <b/>
        <vertAlign val="subscript"/>
        <sz val="10"/>
        <color theme="0"/>
        <rFont val="Arial"/>
        <family val="2"/>
      </rPr>
      <t>2</t>
    </r>
  </si>
  <si>
    <r>
      <rPr>
        <b/>
        <sz val="10"/>
        <color rgb="FF002060"/>
        <rFont val="Calibri"/>
        <family val="2"/>
      </rPr>
      <t>•</t>
    </r>
    <r>
      <rPr>
        <b/>
        <sz val="10"/>
        <color rgb="FF002060"/>
        <rFont val="Arial"/>
        <family val="2"/>
      </rPr>
      <t xml:space="preserve"> La section 2a) si vous avez installé un ou plusieurs économiseurs;</t>
    </r>
  </si>
  <si>
    <r>
      <rPr>
        <b/>
        <sz val="10"/>
        <color rgb="FF002060"/>
        <rFont val="Calibri"/>
        <family val="2"/>
      </rPr>
      <t>•</t>
    </r>
    <r>
      <rPr>
        <b/>
        <sz val="10"/>
        <color rgb="FF002060"/>
        <rFont val="Arial"/>
        <family val="2"/>
      </rPr>
      <t xml:space="preserve"> La section 2b) si vous avez installé la micromodulation et/ou une sonde de O</t>
    </r>
    <r>
      <rPr>
        <b/>
        <vertAlign val="subscript"/>
        <sz val="10"/>
        <color rgb="FF002060"/>
        <rFont val="Arial"/>
        <family val="2"/>
      </rPr>
      <t>2</t>
    </r>
    <r>
      <rPr>
        <b/>
        <sz val="10"/>
        <color rgb="FF002060"/>
        <rFont val="Arial"/>
        <family val="2"/>
      </rPr>
      <t xml:space="preserve"> sur une ou plusieurs chaudières.</t>
    </r>
  </si>
  <si>
    <t>Estimation de la consommation annuelle de gaz naturel de la chaufferie :</t>
  </si>
  <si>
    <t>Les valeurs présentées ci-dessous sont basées sur des hypothèses et dépendent des données entrées par l'utilisateur. Pour ces raisons, les résultats peuvent différer par rapport aux résultats d'autres calculs réalisés avec des outils différents. Le tableau ci-dessous est à titre informatif seulement.</t>
  </si>
  <si>
    <t>3b. Calculateur pour une chaufferie vapeur - MEÉ 1 (isolation thermique)</t>
  </si>
  <si>
    <t>Aide financière ajustée si &gt; 75% des coûts admissibles</t>
  </si>
  <si>
    <t>2.    Micromodulation sur une chaudière à vapeur;</t>
  </si>
  <si>
    <r>
      <t>3.    Sonde d'O</t>
    </r>
    <r>
      <rPr>
        <vertAlign val="subscript"/>
        <sz val="11"/>
        <color rgb="FF002060"/>
        <rFont val="Arial"/>
        <family val="2"/>
      </rPr>
      <t>2</t>
    </r>
    <r>
      <rPr>
        <sz val="11"/>
        <color rgb="FF002060"/>
        <rFont val="Arial"/>
        <family val="2"/>
      </rPr>
      <t xml:space="preserve"> sur une chaudière à vapeur;</t>
    </r>
  </si>
  <si>
    <t>4.    Économiseur sur une chaudière à vapeur.</t>
  </si>
  <si>
    <r>
      <t>Économies de gaz naturel
(m</t>
    </r>
    <r>
      <rPr>
        <b/>
        <vertAlign val="superscript"/>
        <sz val="10"/>
        <color theme="0"/>
        <rFont val="Arial"/>
        <family val="2"/>
      </rPr>
      <t>3</t>
    </r>
    <r>
      <rPr>
        <b/>
        <sz val="10"/>
        <color theme="0"/>
        <rFont val="Arial"/>
        <family val="2"/>
      </rPr>
      <t>/an)</t>
    </r>
  </si>
  <si>
    <t>Économies d'électricité (si applicable)
(GJ/an)</t>
  </si>
  <si>
    <t>TOTAl</t>
  </si>
  <si>
    <t>Les onglets 3b et/ou 3c (Calculateur);</t>
  </si>
  <si>
    <t>Détail des onglets</t>
  </si>
  <si>
    <t>1. Informations générales</t>
  </si>
  <si>
    <t>Formulaire d'information générale à compléter par le participant</t>
  </si>
  <si>
    <t>Formulaire de détails des coûts à compléter par le participant</t>
  </si>
  <si>
    <t>3a.Calculateur - Instructions</t>
  </si>
  <si>
    <t>Instructions, schéma et définitions</t>
  </si>
  <si>
    <t>3b. Calculateur - MEÉ 1</t>
  </si>
  <si>
    <t>4. Demande de versement</t>
  </si>
  <si>
    <t>Présente : résumé des mesures, montant subvention sans plafond puis avec plafond</t>
  </si>
  <si>
    <t>Détails des onglets</t>
  </si>
  <si>
    <t>Listes des onglets et leur fonctionalité</t>
  </si>
  <si>
    <t>3c. Calculateur MEÉ 2-3-4</t>
  </si>
  <si>
    <t>Liste de données à entrer par le participant pour les mesures sur la micromodulation et/ou l'ajout d'une sonde d'O2 et les économiseurs</t>
  </si>
  <si>
    <t>Section 1 – Données sur la chaufferie</t>
  </si>
  <si>
    <r>
      <t xml:space="preserve">Le calculateur peut inclure jusqu'à 4 chaudières à vapeur. Ces dernières doivent toutes alimenter </t>
    </r>
    <r>
      <rPr>
        <b/>
        <sz val="11"/>
        <color rgb="FF002060"/>
        <rFont val="Arial"/>
        <family val="2"/>
      </rPr>
      <t>le même réseau</t>
    </r>
    <r>
      <rPr>
        <sz val="11"/>
        <color rgb="FF002060"/>
        <rFont val="Arial"/>
        <family val="2"/>
      </rPr>
      <t xml:space="preserve"> de vapeur et donc être utilisées pour une même application. Le fonctionnement d'un réseau de vapeur est illustré plus bas. Si les mesures implantées se situent sur différents réseaux de vapeur, veuillez compléter un formulaire II distinct par réseau.</t>
    </r>
  </si>
  <si>
    <t>Dans un deuxième temps, complétez l'onglet "4. Demande de versement".</t>
  </si>
  <si>
    <r>
      <rPr>
        <u/>
        <sz val="10"/>
        <color rgb="FF002060"/>
        <rFont val="Arial"/>
        <family val="2"/>
      </rPr>
      <t>Si la vapeur n'est pas produite</t>
    </r>
    <r>
      <rPr>
        <sz val="10"/>
        <color rgb="FF002060"/>
        <rFont val="Arial"/>
        <family val="2"/>
      </rPr>
      <t xml:space="preserve"> à 100% par du gaz naturel, veuillez compléter le tableau ci-dessous en fonction du nombre de chaudières qui alimentent votre réseau de vapeur:</t>
    </r>
  </si>
  <si>
    <t>En cochant cette case, vous confirmez que toutes les chaudières alimentent le même réseau de vapeur. Si tel n'est pas le cas, veuillez compléter un formulaire II distinct par réseau de vapeur. Pour plus de détails sur la signification d'un réseau de vapeur, veuillez vous référer à l'onglet "3a. Calculateur - Instructions".</t>
  </si>
  <si>
    <t>2b) Pompe</t>
  </si>
  <si>
    <t>2c) Échangeur de chaleur</t>
  </si>
  <si>
    <t>2d) Réservoir</t>
  </si>
  <si>
    <t>2a) Vanne, régulateur de pression, séparateur et filtre</t>
  </si>
  <si>
    <r>
      <t>Identification de l'équipement (type d'équipement et n</t>
    </r>
    <r>
      <rPr>
        <sz val="10"/>
        <color rgb="FF002060"/>
        <rFont val="Calibri"/>
        <family val="2"/>
      </rPr>
      <t>°</t>
    </r>
    <r>
      <rPr>
        <sz val="10"/>
        <color rgb="FF002060"/>
        <rFont val="Arial"/>
        <family val="2"/>
      </rPr>
      <t xml:space="preserve"> d'identification)</t>
    </r>
  </si>
  <si>
    <t>Vanne, régulateur de pression, séparateur et filtre</t>
  </si>
  <si>
    <t>Section 1 – Données sur les chaudières à vapeur avant l’implantation des mesures</t>
  </si>
  <si>
    <t>Combien d'économiseurs ont été installés dans la chaufferie?</t>
  </si>
  <si>
    <t>2a) Économiseur</t>
  </si>
  <si>
    <r>
      <t xml:space="preserve">Sur quelle chaudière, chaque économiseur </t>
    </r>
    <r>
      <rPr>
        <u/>
        <sz val="10"/>
        <color rgb="FF002060"/>
        <rFont val="Arial"/>
        <family val="2"/>
      </rPr>
      <t>standard ou à condensation</t>
    </r>
    <r>
      <rPr>
        <sz val="10"/>
        <color rgb="FF002060"/>
        <rFont val="Arial"/>
        <family val="2"/>
      </rPr>
      <t xml:space="preserve"> a été installé? </t>
    </r>
  </si>
  <si>
    <t>i) Informations générales</t>
  </si>
  <si>
    <t>ii) Économiseur à condensation (ignorez ces questions si vous n'avez pas installé d'économiseur à condensation)</t>
  </si>
  <si>
    <t>iii) Économiseur standard (ignorez ces questions si vous n'avez pas installé d'économiseur standard)</t>
  </si>
  <si>
    <t>Sélectionnez la/les mesure(s) installée(s) :</t>
  </si>
  <si>
    <t>Onglet réservé à Énergir</t>
  </si>
  <si>
    <t>3) Section réservée à DATECH</t>
  </si>
  <si>
    <t>Si l'efficacité de combustion de la chaudière à vapeur (avant mesure) est inférieure à:</t>
  </si>
  <si>
    <t>Si l'efficacité de combustion de la chaudière à vapeur (avant mesure) est supérieure à:</t>
  </si>
  <si>
    <r>
      <t xml:space="preserve">Consommation annuelle </t>
    </r>
    <r>
      <rPr>
        <u/>
        <sz val="10"/>
        <color rgb="FF002060"/>
        <rFont val="Arial"/>
        <family val="2"/>
      </rPr>
      <t>totale</t>
    </r>
    <r>
      <rPr>
        <sz val="10"/>
        <color rgb="FF002060"/>
        <rFont val="Arial"/>
        <family val="2"/>
      </rPr>
      <t xml:space="preserve"> (12 derniers mois) de gaz naturel du client (valeur provenant des factures):</t>
    </r>
  </si>
  <si>
    <t>MEÉ4 -  Économiseur - chaudière 1</t>
  </si>
  <si>
    <t>MEÉ4 - Économiseur - chaudière 2</t>
  </si>
  <si>
    <t>MEÉ4 -  Économiseur - chaudière 3</t>
  </si>
  <si>
    <t>MEÉ4 -  Économiseur - chaudière 4</t>
  </si>
  <si>
    <r>
      <t>MEÉ3 - Sonde de O</t>
    </r>
    <r>
      <rPr>
        <vertAlign val="subscript"/>
        <sz val="10"/>
        <color rgb="FF002060"/>
        <rFont val="Arial"/>
        <family val="2"/>
      </rPr>
      <t>2</t>
    </r>
  </si>
  <si>
    <t>MEÉ4 - Économiseur à condensation (1 stage)</t>
  </si>
  <si>
    <t>MEÉ4 - Économiseur à condensation (2 stages)</t>
  </si>
  <si>
    <t>En cochant cette case, vous confirmez que vous respectez la condition mentionnant que les aides financières des volets « Optimisation des chaufferies » et « Implantation » ne peuvent pas être combinées pour la même mesure.</t>
  </si>
  <si>
    <t>Onglet à remplir en fonction de la mesure installée</t>
  </si>
  <si>
    <t>Intégré à la chaudière/Non-intégré (sur la cheminée)</t>
  </si>
  <si>
    <t>Est-ce qu'une vérification par DATECH est requise?</t>
  </si>
  <si>
    <t>Révision par DATECH requise si:</t>
  </si>
  <si>
    <t xml:space="preserve">a) Révision par DATECH requise pour les coûts? 
</t>
  </si>
  <si>
    <t>Ex.: Matériel</t>
  </si>
  <si>
    <t>Ex.: Frais d'installation</t>
  </si>
  <si>
    <t>Ex.: Autres dépenses (test de combustion, certification de la chaudière, etc.)</t>
  </si>
  <si>
    <r>
      <rPr>
        <vertAlign val="superscript"/>
        <sz val="8"/>
        <color rgb="FF002060"/>
        <rFont val="Arial"/>
        <family val="2"/>
      </rPr>
      <t>2</t>
    </r>
    <r>
      <rPr>
        <sz val="8"/>
        <color rgb="FF002060"/>
        <rFont val="Arial"/>
        <family val="2"/>
      </rPr>
      <t xml:space="preserve"> Si vous connaissez uniquement la pression du réseau de vapeur saturée et non sa température, veuillez vous référer aux tables de vapeur saturée pour convertir la pression en température (ex.: https://www.tlv.com/global/FR/calculator/steam-table-pressure.html).</t>
    </r>
  </si>
  <si>
    <t xml:space="preserve"> L'énergie récupérée par l'économiseur à condensation (1 stage) est répartie via chaque chaudière selon la capacité de production.</t>
  </si>
  <si>
    <t xml:space="preserve"> L'énergie récupérée par le 2e stage est répartie via chaque chaudière selon la capacité de production. L'énergie récupérée par le 1e stage est associée à la chaudière dont l'eau d'alimentation se fait préchauffer.</t>
  </si>
  <si>
    <t>Les montants présentés dans cette section sont à titre informatif seulement et sont calculés selon les informations fournies par le participant. Énergir confirmera le montant exact après l’analyse du dossier. Le participant pourra alors fournir une facture au nom d’Énergir et au montant d’aide financière à verser.</t>
  </si>
  <si>
    <t>Aide financière ajustée si &gt; 75% des coûts admissibles avec les autres subventions</t>
  </si>
  <si>
    <t>Le client déclare que les mesures d'efficacité présentées dans ce formulaire ont été implantées.</t>
  </si>
  <si>
    <t>Efficacité thermique</t>
  </si>
  <si>
    <t>Pertes par convection/radiation</t>
  </si>
  <si>
    <r>
      <t>Q</t>
    </r>
    <r>
      <rPr>
        <vertAlign val="subscript"/>
        <sz val="11"/>
        <color theme="1"/>
        <rFont val="Calibri"/>
        <family val="2"/>
        <scheme val="minor"/>
      </rPr>
      <t>produite</t>
    </r>
    <r>
      <rPr>
        <sz val="11"/>
        <color theme="1"/>
        <rFont val="Calibri"/>
        <family val="2"/>
        <scheme val="minor"/>
      </rPr>
      <t>/efficacité globale de combustion :</t>
    </r>
  </si>
  <si>
    <t>Numéro de la chaudière</t>
  </si>
  <si>
    <r>
      <t>N</t>
    </r>
    <r>
      <rPr>
        <sz val="11"/>
        <color theme="1"/>
        <rFont val="Calibri"/>
        <family val="2"/>
      </rPr>
      <t>° chaudière</t>
    </r>
  </si>
  <si>
    <t>Somme ($)</t>
  </si>
  <si>
    <t>Nom fusionné</t>
  </si>
  <si>
    <t>Colonne à masquer</t>
  </si>
  <si>
    <r>
      <t>Chaudière n</t>
    </r>
    <r>
      <rPr>
        <sz val="11"/>
        <color theme="1"/>
        <rFont val="Calibri"/>
        <family val="2"/>
      </rPr>
      <t>°</t>
    </r>
    <r>
      <rPr>
        <sz val="11"/>
        <color theme="1"/>
        <rFont val="Calibri"/>
        <family val="2"/>
        <scheme val="minor"/>
      </rPr>
      <t>1</t>
    </r>
  </si>
  <si>
    <r>
      <t>Chaudière n</t>
    </r>
    <r>
      <rPr>
        <sz val="11"/>
        <color theme="1"/>
        <rFont val="Calibri"/>
        <family val="2"/>
      </rPr>
      <t>°2</t>
    </r>
  </si>
  <si>
    <r>
      <t>Chaudière n</t>
    </r>
    <r>
      <rPr>
        <sz val="11"/>
        <color theme="1"/>
        <rFont val="Calibri"/>
        <family val="2"/>
      </rPr>
      <t>°3</t>
    </r>
    <r>
      <rPr>
        <sz val="11"/>
        <color theme="1"/>
        <rFont val="Calibri"/>
        <family val="2"/>
        <scheme val="minor"/>
      </rPr>
      <t/>
    </r>
  </si>
  <si>
    <r>
      <t>Chaudière n</t>
    </r>
    <r>
      <rPr>
        <sz val="11"/>
        <color theme="1"/>
        <rFont val="Calibri"/>
        <family val="2"/>
      </rPr>
      <t>°4</t>
    </r>
    <r>
      <rPr>
        <sz val="11"/>
        <color theme="1"/>
        <rFont val="Calibri"/>
        <family val="2"/>
        <scheme val="minor"/>
      </rPr>
      <t/>
    </r>
  </si>
  <si>
    <t>Si pour l'année en cours (1er janvier au 31 décembre) vous avez déjà reçu une aide financière du volet Optimisation des chaufferies pour la mesure MEÉ1 (isolation thermique), veuillez indiquer le montant :</t>
  </si>
  <si>
    <r>
      <rPr>
        <vertAlign val="superscript"/>
        <sz val="8"/>
        <color rgb="FF002060"/>
        <rFont val="Arial"/>
        <family val="2"/>
      </rPr>
      <t xml:space="preserve">2 </t>
    </r>
    <r>
      <rPr>
        <sz val="8"/>
        <color rgb="FF002060"/>
        <rFont val="Arial"/>
        <family val="2"/>
      </rPr>
      <t>Dans le cas d'une chaudière neuve intégrant un économiseur, seulement un test de combustion après l’installation est requis.</t>
    </r>
  </si>
  <si>
    <t>Water Temp (°F)</t>
  </si>
  <si>
    <t>Water Temp (°C)</t>
  </si>
  <si>
    <t>45</t>
  </si>
  <si>
    <t>41</t>
  </si>
  <si>
    <t>43</t>
  </si>
  <si>
    <t>39</t>
  </si>
  <si>
    <t>37</t>
  </si>
  <si>
    <t>36</t>
  </si>
  <si>
    <t>46</t>
  </si>
  <si>
    <t>48</t>
  </si>
  <si>
    <t>50</t>
  </si>
  <si>
    <t>52</t>
  </si>
  <si>
    <t>54</t>
  </si>
  <si>
    <t>55</t>
  </si>
  <si>
    <t>57</t>
  </si>
  <si>
    <t>59</t>
  </si>
  <si>
    <t>61</t>
  </si>
  <si>
    <t>63</t>
  </si>
  <si>
    <t>64</t>
  </si>
  <si>
    <t>66</t>
  </si>
  <si>
    <t>68</t>
  </si>
  <si>
    <t>70</t>
  </si>
  <si>
    <t xml:space="preserve">https://tidesandcurrents.noaa.gov/physocean.html?id=8510560). </t>
  </si>
  <si>
    <t>Température de l'eau d'appoint</t>
  </si>
  <si>
    <t>ref:</t>
  </si>
  <si>
    <t>mois</t>
  </si>
  <si>
    <t>Janvier</t>
  </si>
  <si>
    <t>Février</t>
  </si>
  <si>
    <t>Mars</t>
  </si>
  <si>
    <t>Avril</t>
  </si>
  <si>
    <t>Mai</t>
  </si>
  <si>
    <t>Juin</t>
  </si>
  <si>
    <t>Juillet</t>
  </si>
  <si>
    <t>Août</t>
  </si>
  <si>
    <t>Septembre</t>
  </si>
  <si>
    <t>Octobre</t>
  </si>
  <si>
    <t>Novembre</t>
  </si>
  <si>
    <t>Décembre</t>
  </si>
  <si>
    <t>Procédé/ECS</t>
  </si>
  <si>
    <t xml:space="preserve"> (nov. à mai)</t>
  </si>
  <si>
    <t xml:space="preserve"> (toute l'année)</t>
  </si>
  <si>
    <t>Mois</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</si>
  <si>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</si>
  <si>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Hypo: température de surface de l'eau à Montauk, NY</t>
  </si>
  <si>
    <t>Pourcentage de condensat retourné dans l'eau d'alimentation :</t>
  </si>
  <si>
    <t>Y a-t-il un contrôle automatique des purges ?</t>
  </si>
  <si>
    <t>Purges</t>
  </si>
  <si>
    <t>Contrôle automatique</t>
  </si>
  <si>
    <t>=7,5 psig (moyenne entre 5 et 10 psig)</t>
  </si>
  <si>
    <t>cond</t>
  </si>
  <si>
    <t>appoint</t>
  </si>
  <si>
    <t>alim</t>
  </si>
  <si>
    <t xml:space="preserve">                       </t>
  </si>
  <si>
    <t xml:space="preserve">             </t>
  </si>
  <si>
    <t xml:space="preserve">                     </t>
  </si>
  <si>
    <t xml:space="preserve">                                                                     </t>
  </si>
  <si>
    <t xml:space="preserve">                        </t>
  </si>
  <si>
    <r>
      <t>Interpolation de l'enthalpie - pression d'opération du</t>
    </r>
    <r>
      <rPr>
        <b/>
        <u/>
        <sz val="11"/>
        <color theme="0"/>
        <rFont val="Calibri"/>
        <family val="2"/>
        <scheme val="minor"/>
      </rPr>
      <t xml:space="preserve"> dégazeur</t>
    </r>
  </si>
  <si>
    <r>
      <t xml:space="preserve">Interpolation de l'enthalpie - pression manométrique de la </t>
    </r>
    <r>
      <rPr>
        <b/>
        <u/>
        <sz val="11"/>
        <color theme="0"/>
        <rFont val="Calibri"/>
        <family val="2"/>
        <scheme val="minor"/>
      </rPr>
      <t>vapeur produite</t>
    </r>
  </si>
  <si>
    <r>
      <t xml:space="preserve">Interpolation de l'enthalpie - vapeur surchauffée de la </t>
    </r>
    <r>
      <rPr>
        <b/>
        <u/>
        <sz val="11"/>
        <color theme="0"/>
        <rFont val="Calibri"/>
        <family val="2"/>
        <scheme val="minor"/>
      </rPr>
      <t>vapeur produite</t>
    </r>
  </si>
  <si>
    <t>Température eau saturée (°C)</t>
  </si>
  <si>
    <t xml:space="preserve">sans dégazeur : </t>
  </si>
  <si>
    <t>avec dégazeur</t>
  </si>
  <si>
    <t>avec dégazeur :</t>
  </si>
  <si>
    <t>C'est la température d'eau saturé à la pression d'opération du dégazeur</t>
  </si>
  <si>
    <t>C'est l'enthalpie d'eau saturé à la pression d'opération du dégazeur</t>
  </si>
  <si>
    <t>sans dégazeur</t>
  </si>
  <si>
    <t>Enthalpie de l'eau alimenté à la chaudière (avant l'ajout d'une récupération de chaleur)</t>
  </si>
  <si>
    <t>Enthalpie de l'eau d'alimentation préchauffée par chaque économiseur</t>
  </si>
  <si>
    <t>Qéconomiseur =m_eau*DH = m_eau * (H_après écono - H_avant écono)</t>
  </si>
  <si>
    <t>&lt;=&gt;H_aprés écono = Qéconomiseur/m_eau + H_avant écono</t>
  </si>
  <si>
    <t>Lorsqu'il y a un dégazeur, le préchauffage de l'eau d'appoint ne fait que diminuer les pertes par l'évent du dégazeur.</t>
  </si>
  <si>
    <t>** sur niveau1 (non condensant)</t>
  </si>
  <si>
    <t>** sur niveau 2 (condensant)</t>
  </si>
  <si>
    <t>T°eau</t>
  </si>
  <si>
    <t>Température de l'eau de la ville (eau d'appoint)</t>
  </si>
  <si>
    <t xml:space="preserve">Formule de Spirax Sarco (ref rapport projet CTGN n°146913, section 5.1.10)
=
Spirax Sarco. « The steam and condensate loop – Effective steam engineering for today ». 2e édition, Cheltenham. 
</t>
  </si>
  <si>
    <r>
      <t xml:space="preserve">L'age d'une chaudière existante                                                      </t>
    </r>
    <r>
      <rPr>
        <sz val="11"/>
        <rFont val="Calibri"/>
        <family val="2"/>
      </rPr>
      <t>≥</t>
    </r>
  </si>
  <si>
    <r>
      <t xml:space="preserve">Un économiseur est un échangeur conçu pour récupérer la chaleur contenue dans les fumées chaudes des chaudières. Pour une chaudière à vapeur, environ 20 % de l’énergie requise au brûleur se retrouve dans la cheminée, souvent à des températures élevées. Cette chaleur peut être récupérée pour préchauffer l’eau d’alimentation ou l'eau d'appoint de la chaudière. Les économiseurs peuvent être directement intégrés à la chaudière ou installés sur la cheminée. 
Les </t>
    </r>
    <r>
      <rPr>
        <b/>
        <sz val="11"/>
        <rFont val="Calibri"/>
        <family val="2"/>
        <scheme val="minor"/>
      </rPr>
      <t>économiseurs standards</t>
    </r>
    <r>
      <rPr>
        <sz val="11"/>
        <rFont val="Calibri"/>
        <family val="2"/>
        <scheme val="minor"/>
      </rPr>
      <t xml:space="preserve"> récupèrent la chaleur </t>
    </r>
    <r>
      <rPr>
        <u/>
        <sz val="11"/>
        <rFont val="Calibri"/>
        <family val="2"/>
        <scheme val="minor"/>
      </rPr>
      <t>sensible</t>
    </r>
    <r>
      <rPr>
        <sz val="11"/>
        <rFont val="Calibri"/>
        <family val="2"/>
        <scheme val="minor"/>
      </rPr>
      <t xml:space="preserve"> des gaz de combustion et permettent de </t>
    </r>
    <r>
      <rPr>
        <u/>
        <sz val="11"/>
        <rFont val="Calibri"/>
        <family val="2"/>
        <scheme val="minor"/>
      </rPr>
      <t>préchauffer l'eau d'alimentation</t>
    </r>
    <r>
      <rPr>
        <sz val="11"/>
        <rFont val="Calibri"/>
        <family val="2"/>
        <scheme val="minor"/>
      </rPr>
      <t xml:space="preserve"> d'une chaudière.
Les </t>
    </r>
    <r>
      <rPr>
        <b/>
        <sz val="11"/>
        <rFont val="Calibri"/>
        <family val="2"/>
        <scheme val="minor"/>
      </rPr>
      <t xml:space="preserve">économiseurs à condensation </t>
    </r>
    <r>
      <rPr>
        <sz val="11"/>
        <rFont val="Calibri"/>
        <family val="2"/>
        <scheme val="minor"/>
      </rPr>
      <t xml:space="preserve">récupèrent la chaleur </t>
    </r>
    <r>
      <rPr>
        <u/>
        <sz val="11"/>
        <rFont val="Calibri"/>
        <family val="2"/>
        <scheme val="minor"/>
      </rPr>
      <t>sensible et latente</t>
    </r>
    <r>
      <rPr>
        <sz val="11"/>
        <rFont val="Calibri"/>
        <family val="2"/>
        <scheme val="minor"/>
      </rPr>
      <t xml:space="preserve"> des gaz de combustion.  
     -  Un économiseur à condensation à </t>
    </r>
    <r>
      <rPr>
        <b/>
        <sz val="11"/>
        <rFont val="Calibri"/>
        <family val="2"/>
        <scheme val="minor"/>
      </rPr>
      <t>1 stage</t>
    </r>
    <r>
      <rPr>
        <sz val="11"/>
        <rFont val="Calibri"/>
        <family val="2"/>
        <scheme val="minor"/>
      </rPr>
      <t xml:space="preserve"> permet de préchauffer l'eau d'appoint de la chaufferie.
     -  Un économiseur à condensation à </t>
    </r>
    <r>
      <rPr>
        <b/>
        <sz val="11"/>
        <rFont val="Calibri"/>
        <family val="2"/>
        <scheme val="minor"/>
      </rPr>
      <t>2 stages</t>
    </r>
    <r>
      <rPr>
        <sz val="11"/>
        <rFont val="Calibri"/>
        <family val="2"/>
        <scheme val="minor"/>
      </rPr>
      <t xml:space="preserve"> permet de préchauffer l'eau d'appoint de la chaufferie (avec la chaleur latente récupérée) et de préchauffer l'eau d'alimentation d'une chaudière (avec la chaleur sensible récupérée). 
Soulignons que les débits d'eau d'alimentation et/ou d'appoint ne sont pas modifié suite à l'ajoute d'un économiseur. Seule la température de ces courants d'eau est augmentée.</t>
    </r>
  </si>
  <si>
    <r>
      <rPr>
        <u/>
        <sz val="11"/>
        <color theme="1"/>
        <rFont val="Calibri"/>
        <family val="2"/>
        <scheme val="minor"/>
      </rPr>
      <t>Impact du dégazeur sur l'économiseur condensant:</t>
    </r>
    <r>
      <rPr>
        <sz val="11"/>
        <color theme="1"/>
        <rFont val="Calibri"/>
        <family val="2"/>
        <scheme val="minor"/>
      </rPr>
      <t xml:space="preserve"> Si la chaufferie est dotée d'un dégazeur et qu'un économiseur condensant est installé, ce dernier n'a comme influence que de réduire les pertes par l'évent du dégazeur, soit un impact beaucoup moins important que lorsqu'un économiseur condensant est installé dans une chaufferie sans dégazeur.</t>
    </r>
  </si>
  <si>
    <t>N/A (ex.: mesure d'isolation)</t>
  </si>
  <si>
    <t>Les onglets 3b, 3c et 4 permettent d'estimer les économies d'énergie, ainsi que le montant d'aide financière associés à l'implantation des mesures d'efficacité énergétique suivantes :</t>
  </si>
  <si>
    <t>Les caractéristiques de l’isolant (via les spécifications 
techniques du manufacturier) incluant minimalement 
sa résistance thermique à la température du fluide (ou 
l’épaisseur de l’isolant si la résistance thermique n’est 
pas disponible) et le type de matériau isolant installé.</t>
  </si>
  <si>
    <r>
      <rPr>
        <vertAlign val="superscript"/>
        <sz val="8"/>
        <color rgb="FF002060"/>
        <rFont val="Arial"/>
        <family val="2"/>
      </rPr>
      <t xml:space="preserve">1 </t>
    </r>
    <r>
      <rPr>
        <sz val="8"/>
        <color rgb="FF002060"/>
        <rFont val="Arial"/>
        <family val="2"/>
      </rPr>
      <t>Via une photographie de sa plaque signalétique, permettant d’obtenir sa marque, son modèle, sa capacité, et toutes autres spécifications nominales de la chaudière. Si la plaque signalétique n’est plus à jour ou non lisible, veuillez fournir toutes pièces justificatives qui permettent de valider les informations demandées.</t>
    </r>
  </si>
  <si>
    <t>Les spécifications techniques de l'équipement</t>
  </si>
  <si>
    <t>Les spécifications techniques de l'économiseur</t>
  </si>
  <si>
    <t>Nombre de participants</t>
  </si>
  <si>
    <r>
      <rPr>
        <sz val="10"/>
        <color rgb="FFFF0000"/>
        <rFont val="Arial"/>
        <family val="2"/>
      </rPr>
      <t>*</t>
    </r>
    <r>
      <rPr>
        <sz val="10"/>
        <color rgb="FF002D5B"/>
        <rFont val="Arial"/>
        <family val="2"/>
      </rPr>
      <t xml:space="preserve"> Nº Dossier Énergir PE242:  �</t>
    </r>
  </si>
  <si>
    <t xml:space="preserve">Est-ce que la chaufferie possède un dégazeur? </t>
  </si>
  <si>
    <t>Aide financière ajustée en fonction du plafond maximal</t>
  </si>
  <si>
    <t>L’installation de la/des mesure(s) a été complétée en date du :</t>
  </si>
  <si>
    <t>Par la présente, le client s’engage à donner accès à Énergir au bâtiment faisant l’objet d’une aide financière versée par Énergir. Le représentant dûment autorisé pourra vérifier sur demande la réalisation des mesures, et ce, même si l’aide financière a déjà été versée.</t>
  </si>
  <si>
    <t xml:space="preserve">Le présent formulaire doit être envoyé par courriel à Énergir par le participant ou bien celui-ci doit être mis en copie conforme lors de l’envoi. </t>
  </si>
  <si>
    <t>Nombre d'accessoires identiques isolés (pour ce même diamètre, cette même température, cette même localisation et ce même nombre d'heures d'opération)</t>
  </si>
  <si>
    <t>Nombre de pompes identiques isolées (pour cette même superficie, cette même température, cette même localisation et ce même nombre d'heures d'opération)</t>
  </si>
  <si>
    <t>Nombre d'échangeurs identiques isolés (pour cette même superficie, cette même température, cette même localisation et ce même nombre d'heures d'opération)</t>
  </si>
  <si>
    <t>Nombre de réservoirs identiques isolés (pour cette même superficie, cette même température, cette même localisation et ce même nombre d'heures d'opération)</t>
  </si>
  <si>
    <t>Nombre d'équipements identiques isolés (pour cette même superficie, cette même température, cette même localisation et ce même nombre d'heures d'opération)</t>
  </si>
  <si>
    <t xml:space="preserve">Taux de modulation du brûleur avant l'implantation de la/les mesure(s) : </t>
  </si>
  <si>
    <t>Nom économiseur</t>
  </si>
  <si>
    <t>Économies de gaz naturel (m3/an)</t>
  </si>
  <si>
    <t>Économies de gaz naturel (M3/an)</t>
  </si>
  <si>
    <t>Condensant 2 stages</t>
  </si>
  <si>
    <t>Préchauffe eau de chaudière #</t>
  </si>
  <si>
    <t>Chaudière n°</t>
  </si>
  <si>
    <t>,</t>
  </si>
  <si>
    <t xml:space="preserve"> Récapitulatif des mesures implantées</t>
  </si>
  <si>
    <t>Les montants présentés ci-dessous n'incluent pas encore les plafonds maximums des aides financières définis par Énergir (voir section 4 pour obtenir le montant final incluant les plafonds) . Si une note apparaît en rouge dans le tableau ci-dessous, veuillez lire la légende correspondante en bas de cette section et apporter les correctifs nécessaires.</t>
  </si>
  <si>
    <t>Section 6 – Signature du client</t>
  </si>
  <si>
    <t>PE242-XXX</t>
  </si>
  <si>
    <t>3.    Tous les équipements et accessoires (visés par la demande de subvention) qui ont été isolés thermiquement sur un réseau vapeur doivent être indiqués dans l'onglet "3b. Calculateur - MEÉ 1", même s'ils alimentent un courant d'eau chaude (exemple: pompe de condensat, pompe d'eau d'appoint, pompe d'eau d'alimentation) .</t>
  </si>
  <si>
    <t>Économiseur installé ?</t>
  </si>
  <si>
    <t>BHP toutes les chaudières</t>
  </si>
  <si>
    <t>BHP des chaudières avec économsieur</t>
  </si>
  <si>
    <t>Admissible (par rapport au nombre d'heures d'opérations) :</t>
  </si>
  <si>
    <t>Prix du gaz naturel</t>
  </si>
  <si>
    <t>Moyenne des 12 derniers mois :</t>
  </si>
  <si>
    <t>A:</t>
  </si>
  <si>
    <r>
      <t>$/m</t>
    </r>
    <r>
      <rPr>
        <vertAlign val="superscript"/>
        <sz val="11"/>
        <color theme="1"/>
        <rFont val="Calibri"/>
        <family val="2"/>
        <scheme val="minor"/>
      </rPr>
      <t>3</t>
    </r>
  </si>
  <si>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</si>
  <si>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</si>
  <si>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</si>
  <si>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</si>
  <si>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</si>
  <si>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</si>
  <si>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r>
      <t>$/m</t>
    </r>
    <r>
      <rPr>
        <vertAlign val="superscript"/>
        <sz val="10"/>
        <color theme="1"/>
        <rFont val="Calibri"/>
        <family val="2"/>
        <scheme val="minor"/>
      </rPr>
      <t>3</t>
    </r>
  </si>
  <si>
    <t>Fourniture</t>
  </si>
  <si>
    <t>Prix réel payé</t>
  </si>
  <si>
    <t>Prix Énergir (affiché en ligne)</t>
  </si>
  <si>
    <t>SPEDE</t>
  </si>
  <si>
    <r>
      <t xml:space="preserve">Total </t>
    </r>
    <r>
      <rPr>
        <b/>
        <sz val="11"/>
        <color theme="1"/>
        <rFont val="Calibri"/>
        <family val="2"/>
        <scheme val="minor"/>
      </rPr>
      <t>B</t>
    </r>
  </si>
  <si>
    <r>
      <t xml:space="preserve">Total </t>
    </r>
    <r>
      <rPr>
        <b/>
        <sz val="11"/>
        <color theme="1"/>
        <rFont val="Calibri"/>
        <family val="2"/>
        <scheme val="minor"/>
      </rPr>
      <t>C</t>
    </r>
  </si>
  <si>
    <t>Pour les clients assujettis aux tarifs D1 ou D3 :</t>
  </si>
  <si>
    <t>PRI (années)</t>
  </si>
  <si>
    <t>Économies annuelles ($)
A, B ou C *D</t>
  </si>
  <si>
    <t>¹ Mesure non applicable car le nombre d'heures d'opération annuelles est moins de 2000 h/an. Les cas ne répondant pas à ce critère peuvent être soumis à Énergir pour discussion.</t>
  </si>
  <si>
    <r>
      <rPr>
        <vertAlign val="superscript"/>
        <sz val="9"/>
        <color rgb="FF002060"/>
        <rFont val="Calibri"/>
        <family val="2"/>
        <scheme val="minor"/>
      </rPr>
      <t>³</t>
    </r>
    <r>
      <rPr>
        <sz val="9"/>
        <color rgb="FF002060"/>
        <rFont val="Calibri"/>
        <family val="2"/>
        <scheme val="minor"/>
      </rPr>
      <t xml:space="preserve"> Mesure non applicable, car la chaudière est trop récente. L'âge de la chaudière doit être supérieur ou égal à 3 ans pour être admissible.</t>
    </r>
  </si>
  <si>
    <r>
      <rPr>
        <vertAlign val="superscript"/>
        <sz val="9"/>
        <color rgb="FF002060"/>
        <rFont val="Calibri"/>
        <family val="2"/>
        <scheme val="minor"/>
      </rPr>
      <t xml:space="preserve">4 </t>
    </r>
    <r>
      <rPr>
        <sz val="9"/>
        <color rgb="FF002060"/>
        <rFont val="Calibri"/>
        <family val="2"/>
        <scheme val="minor"/>
      </rPr>
      <t>Certains accessoires ne sont pas admissibles, car la température du réseau sur lequel ils sont installés est inférieure à 49°C.</t>
    </r>
  </si>
  <si>
    <t>²  Notez que le nombre d’heure d’utilisation annuel de la chaudière peut avoir un impact sur la rentabilité du projet. Si vous souaitez davantage d'information sur la rentabilité, veuillez contacter Énergir.</t>
  </si>
  <si>
    <t>Le détails des coûts de subvention se trouvent à l'onglet "Subventions A1"</t>
  </si>
  <si>
    <t>Interpolation T° vapeur produite</t>
  </si>
  <si>
    <r>
      <t>2.    Si vous avez des questions sur la signification de certains termes, consultez le schéma ci-dessous qui illustre une chaufferie vapeur. Des bulles d'information (</t>
    </r>
    <r>
      <rPr>
        <sz val="11"/>
        <color rgb="FF002060"/>
        <rFont val="Tahoma"/>
        <family val="2"/>
      </rPr>
      <t>�</t>
    </r>
    <r>
      <rPr>
        <sz val="11"/>
        <color rgb="FF002060"/>
        <rFont val="Arial"/>
        <family val="2"/>
      </rPr>
      <t>) fournissent également des précisions.</t>
    </r>
  </si>
  <si>
    <t>ref: Stéphane Brunet</t>
  </si>
  <si>
    <t>Température des fumées à la sortie de la chaudière (si inconnue):</t>
  </si>
  <si>
    <t>50 °F de plus que la température de sortie de la vapeur produite.</t>
  </si>
  <si>
    <t>T° vapeur produite :</t>
  </si>
  <si>
    <t>T° fumée sortie chaudière :</t>
  </si>
  <si>
    <r>
      <t xml:space="preserve"> </t>
    </r>
    <r>
      <rPr>
        <sz val="10"/>
        <color rgb="FF002060"/>
        <rFont val="Tahoma"/>
        <family val="2"/>
      </rPr>
      <t>�</t>
    </r>
  </si>
  <si>
    <t>La mesure n'est pas admissible si la PRI est supérieure à 20 ans</t>
  </si>
  <si>
    <t>5. Norme ASTM C1129-12</t>
  </si>
  <si>
    <t>1.    Isolation thermique des équipements, des accessoires et de la tuyauterie sur un réseau de vapeur (incluant le retour de condensat, l'eau d'alimentation et l'eau d'appoint);</t>
  </si>
  <si>
    <t>Section 2 – Données sur les équipements, les accessoires et la tuyauterie isolés</t>
  </si>
  <si>
    <t>2e) Tuyauterie</t>
  </si>
  <si>
    <t>Identification de la section de tuyauterie isolée</t>
  </si>
  <si>
    <t>Diamètre nominal de la tuyauterie (NPS)
(pouce)</t>
  </si>
  <si>
    <t>Longueur de la tuyauterie isolée (m)</t>
  </si>
  <si>
    <t>Tuyauterie</t>
  </si>
  <si>
    <t>Diamètre nominal de la tuyauterie</t>
  </si>
  <si>
    <r>
      <rPr>
        <b/>
        <sz val="11"/>
        <rFont val="Aptos Narrow"/>
        <family val="2"/>
      </rPr>
      <t>≤</t>
    </r>
    <r>
      <rPr>
        <b/>
        <sz val="11"/>
        <rFont val="Calibri"/>
        <family val="2"/>
      </rPr>
      <t>1 "</t>
    </r>
  </si>
  <si>
    <t>&gt;1 à 4"</t>
  </si>
  <si>
    <t>&gt;4"</t>
  </si>
  <si>
    <t>par pi d'isolant</t>
  </si>
  <si>
    <t>Subvention minimal</t>
  </si>
  <si>
    <t>t</t>
  </si>
  <si>
    <t>t_1</t>
  </si>
  <si>
    <t>t_1à4</t>
  </si>
  <si>
    <t>t_4</t>
  </si>
  <si>
    <t>Conversion NPS en diamètre externe -  voir tableau plus haut pour vanne</t>
  </si>
  <si>
    <t>ref 6</t>
  </si>
  <si>
    <t xml:space="preserve">NPS </t>
  </si>
  <si>
    <t>tuyauterie</t>
  </si>
  <si>
    <t xml:space="preserve">TUYAUTERIE - Compilation des tableaux de résultats </t>
  </si>
  <si>
    <t>TUYAUTERIE</t>
  </si>
  <si>
    <r>
      <t>Source d’énergie</t>
    </r>
    <r>
      <rPr>
        <sz val="9"/>
        <rFont val="Aptos"/>
        <family val="2"/>
      </rPr>
      <t> </t>
    </r>
  </si>
  <si>
    <t>Puissance (Btu/h) </t>
  </si>
  <si>
    <t>Heures d’opération annuelles </t>
  </si>
  <si>
    <r>
      <t>Électricité</t>
    </r>
    <r>
      <rPr>
        <sz val="9"/>
        <rFont val="Aptos"/>
        <family val="2"/>
      </rPr>
      <t> </t>
    </r>
  </si>
  <si>
    <r>
      <t>Huile</t>
    </r>
    <r>
      <rPr>
        <sz val="9"/>
        <rFont val="Aptos"/>
        <family val="2"/>
      </rPr>
      <t> </t>
    </r>
  </si>
  <si>
    <t>Total </t>
  </si>
  <si>
    <r>
      <rPr>
        <vertAlign val="superscript"/>
        <sz val="8"/>
        <color rgb="FF002060"/>
        <rFont val="Arial"/>
        <family val="2"/>
      </rPr>
      <t>1</t>
    </r>
    <r>
      <rPr>
        <sz val="8"/>
        <color rgb="FF002060"/>
        <rFont val="Arial"/>
        <family val="2"/>
      </rPr>
      <t xml:space="preserve">  La vapeur doit être majoritairement produite par du gaz naturel (&gt;50%). Les systèmes ne répondant pas à ce critère peuvent être soumis à Énergir pour discussion.</t>
    </r>
  </si>
  <si>
    <t>2f) Autre équipement</t>
  </si>
  <si>
    <r>
      <t>Autre</t>
    </r>
    <r>
      <rPr>
        <sz val="9"/>
        <color theme="0"/>
        <rFont val="Aptos"/>
        <family val="2"/>
      </rPr>
      <t> </t>
    </r>
    <r>
      <rPr>
        <b/>
        <sz val="9"/>
        <color theme="0"/>
        <rFont val="Aptos"/>
        <family val="2"/>
      </rPr>
      <t>(veuillez préciser ci-dessous)</t>
    </r>
  </si>
  <si>
    <t>Isolation thermique (tuyauterie)</t>
  </si>
  <si>
    <t>$/pi isolé</t>
  </si>
  <si>
    <t>Longueur de la tuyauterie isolée (pi)</t>
  </si>
  <si>
    <r>
      <t>version n</t>
    </r>
    <r>
      <rPr>
        <sz val="8"/>
        <color rgb="FF002060"/>
        <rFont val="Calibri"/>
        <family val="2"/>
      </rPr>
      <t>°4 2025-12</t>
    </r>
  </si>
  <si>
    <t>b) Vérification du % d'excès d'air</t>
  </si>
  <si>
    <t>c) Vérification de la consommation de gaz naturel calculée de la chaufferie en fonction de la consommation totale réelle du client</t>
  </si>
  <si>
    <t>d) Vérification du pourcentage d'économie par rapport à la consommation totale du client</t>
  </si>
  <si>
    <t>e) Vérification de l'efficacité calculée de la chaudière avant l'implantation des mesures</t>
  </si>
  <si>
    <t>f) PRI des mesures - Section réservée à DATECH dans le cas d'un nombre d'heures inférieur à 2000 par an</t>
  </si>
  <si>
    <t>Pour les MEÉ 2, 3 ou 4, le % d'excès d'air indiqué doit être en 25% et 60%</t>
  </si>
  <si>
    <t xml:space="preserve">Si le % d'excès d'air est inférieur à : </t>
  </si>
  <si>
    <t xml:space="preserve">Si le % d'excès d'air est supérieur à : </t>
  </si>
  <si>
    <t xml:space="preserve">Chaudière 2 </t>
  </si>
  <si>
    <t>% d'excès d'air indiqué</t>
  </si>
  <si>
    <t>c) Révision par DATECH requise pour la consommation calculée de la chaufferie vs la consommation totale réelle?</t>
  </si>
  <si>
    <t>d) Révision par DATECH requise pour le % d'économies?</t>
  </si>
  <si>
    <t>f) Révision par Datech pour analyse de rentabilité si nombre d'heure &lt;2000 h/an ?</t>
  </si>
  <si>
    <t>Vérification requise ?</t>
  </si>
  <si>
    <t>b) Révision par DATECH requise pour le % d'excès d'air ?</t>
  </si>
  <si>
    <r>
      <rPr>
        <b/>
        <sz val="10"/>
        <color theme="1"/>
        <rFont val="Arial"/>
        <family val="2"/>
      </rPr>
      <t>Isolation de la tuyauterie seulement</t>
    </r>
    <r>
      <rPr>
        <sz val="10"/>
        <color theme="1"/>
        <rFont val="Arial"/>
        <family val="2"/>
      </rPr>
      <t xml:space="preserve"> : photos avant et après l'installation de l'isolation</t>
    </r>
  </si>
  <si>
    <t>Preuve de certification de la chaudière après l'ajout de la micromodulation</t>
  </si>
  <si>
    <t xml:space="preserve">Nombre d'heures : </t>
  </si>
  <si>
    <t>e) Révision par DATECH requise pour l'efficacité de combustion de la chaudière avant l'implantation de la micromodulation ?</t>
  </si>
  <si>
    <t>Efficacité de combustion de la chaudière avant l'implantation des mesures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</si>
</sst>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234">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sz val="10"/>
      <color theme="0" tint="-0.249977111117893"/>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b/>
      <sz val="11"/>
      <color theme="0"/>
      <name val="Calibri"/>
      <family val="2"/>
    </font>
    <font>
      <u/>
      <sz val="11"/>
      <color theme="10"/>
      <name val="Calibri"/>
      <family val="2"/>
      <scheme val="minor"/>
    </font>
    <font>
      <b/>
      <sz val="16"/>
      <color rgb="FF002060"/>
      <name val="Arial"/>
      <family val="2"/>
    </font>
    <font>
      <b/>
      <sz val="14"/>
      <color rgb="FF002060"/>
      <name val="Arial"/>
      <family val="2"/>
    </font>
    <font>
      <b/>
      <i/>
      <sz val="14"/>
      <color rgb="FF002060"/>
      <name val="Arial"/>
      <family val="2"/>
    </font>
    <font>
      <sz val="10"/>
      <color rgb="FFFF0000"/>
      <name val="Calibri"/>
      <family val="2"/>
      <scheme val="minor"/>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b/>
      <vertAlign val="subscript"/>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8"/>
      <color rgb="FFFF0000"/>
      <name val="Calibri"/>
      <family val="2"/>
      <scheme val="minor"/>
    </font>
    <font>
      <sz val="11"/>
      <color rgb="FFC00000"/>
      <name val="Calibri"/>
      <family val="2"/>
    </font>
    <font>
      <sz val="11"/>
      <color rgb="FFC00000"/>
      <name val="Segoe UI Symbol"/>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bscript"/>
      <sz val="11"/>
      <color theme="0" tint="-0.499984740745262"/>
      <name val="Calibri"/>
      <family val="2"/>
      <scheme val="minor"/>
    </font>
    <font>
      <b/>
      <sz val="11"/>
      <color rgb="FFC00000"/>
      <name val="Calibri"/>
      <family val="2"/>
      <scheme val="minor"/>
    </font>
    <font>
      <i/>
      <sz val="11"/>
      <color rgb="FFFF0000"/>
      <name val="Calibri"/>
      <family val="2"/>
      <scheme val="minor"/>
    </font>
    <font>
      <i/>
      <sz val="11"/>
      <color theme="0" tint="-0.34998626667073579"/>
      <name val="Calibri"/>
      <family val="2"/>
      <scheme val="minor"/>
    </font>
    <font>
      <i/>
      <sz val="11"/>
      <color theme="0"/>
      <name val="Calibri"/>
      <family val="2"/>
      <scheme val="minor"/>
    </font>
    <font>
      <sz val="11"/>
      <color theme="1"/>
      <name val="Calibri Light"/>
      <family val="2"/>
      <scheme val="major"/>
    </font>
    <font>
      <vertAlign val="superscript"/>
      <sz val="8"/>
      <color rgb="FF002060"/>
      <name val="Arial"/>
      <family val="2"/>
    </font>
    <font>
      <sz val="11"/>
      <color theme="5"/>
      <name val="Calibri"/>
      <family val="2"/>
      <scheme val="minor"/>
    </font>
    <font>
      <sz val="10"/>
      <color rgb="FF002060"/>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i/>
      <sz val="10"/>
      <color theme="1"/>
      <name val="Arial"/>
      <family val="2"/>
    </font>
    <font>
      <b/>
      <sz val="9"/>
      <color rgb="FF002060"/>
      <name val="Arial"/>
      <family val="2"/>
    </font>
    <font>
      <i/>
      <sz val="11"/>
      <color rgb="FF002060"/>
      <name val="Calibri"/>
      <family val="2"/>
      <scheme val="minor"/>
    </font>
    <font>
      <u/>
      <sz val="10"/>
      <color theme="1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b/>
      <vertAlign val="subscript"/>
      <sz val="11"/>
      <color theme="2"/>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vertAlign val="subscript"/>
      <sz val="11"/>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b/>
      <u/>
      <sz val="11"/>
      <color rgb="FF002060"/>
      <name val="Calibri"/>
      <family val="2"/>
      <scheme val="minor"/>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b/>
      <vertAlign val="subscript"/>
      <sz val="16"/>
      <color rgb="FF002060"/>
      <name val="Arial"/>
      <family val="2"/>
    </font>
    <font>
      <sz val="9"/>
      <color rgb="FF002D5B"/>
      <name val="Arial"/>
      <family val="2"/>
    </font>
    <font>
      <sz val="9"/>
      <color rgb="FF000000"/>
      <name val="Tahoma"/>
      <family val="2"/>
    </font>
    <font>
      <sz val="8"/>
      <color rgb="FF002D5B"/>
      <name val="Arial"/>
      <family val="2"/>
    </font>
    <font>
      <i/>
      <sz val="10"/>
      <color rgb="FF002D5B"/>
      <name val="Arial"/>
      <family val="2"/>
    </font>
    <font>
      <vertAlign val="superscript"/>
      <sz val="10"/>
      <color theme="1"/>
      <name val="Arial"/>
      <family val="2"/>
    </font>
    <font>
      <b/>
      <u/>
      <sz val="14"/>
      <color rgb="FF00B0F0"/>
      <name val="Arial"/>
      <family val="2"/>
    </font>
    <font>
      <b/>
      <sz val="14"/>
      <color rgb="FF00B0F0"/>
      <name val="Arial"/>
      <family val="2"/>
    </font>
    <font>
      <b/>
      <sz val="10"/>
      <color rgb="FF002060"/>
      <name val="Calibri"/>
      <family val="2"/>
    </font>
    <font>
      <sz val="10"/>
      <color theme="0"/>
      <name val="Arial"/>
      <family val="2"/>
    </font>
    <font>
      <sz val="10"/>
      <color rgb="FFFFFFFF"/>
      <name val="Arial"/>
      <family val="2"/>
    </font>
    <font>
      <sz val="10"/>
      <color rgb="FF002060"/>
      <name val="Calibri"/>
      <family val="2"/>
    </font>
    <font>
      <sz val="8"/>
      <color rgb="FF002060"/>
      <name val="Calibri"/>
      <family val="2"/>
    </font>
    <font>
      <i/>
      <u/>
      <sz val="11"/>
      <color theme="10"/>
      <name val="Calibri"/>
      <family val="2"/>
      <scheme val="minor"/>
    </font>
    <font>
      <b/>
      <u/>
      <sz val="11"/>
      <color theme="0"/>
      <name val="Calibri"/>
      <family val="2"/>
      <scheme val="minor"/>
    </font>
    <font>
      <i/>
      <sz val="10"/>
      <color theme="0" tint="-0.499984740745262"/>
      <name val="Calibri"/>
      <family val="2"/>
      <scheme val="minor"/>
    </font>
    <font>
      <i/>
      <sz val="8"/>
      <color theme="6"/>
      <name val="Calibri"/>
      <family val="2"/>
      <scheme val="minor"/>
    </font>
    <font>
      <sz val="11"/>
      <name val="Calibri"/>
      <family val="2"/>
    </font>
    <font>
      <b/>
      <sz val="12"/>
      <color theme="0"/>
      <name val="Calibri"/>
      <family val="2"/>
      <scheme val="minor"/>
    </font>
    <font>
      <sz val="10"/>
      <color rgb="FFFA06E3"/>
      <name val="Calibri"/>
      <family val="2"/>
      <scheme val="minor"/>
    </font>
    <font>
      <sz val="5"/>
      <color theme="1"/>
      <name val="Calibri"/>
      <family val="2"/>
      <scheme val="minor"/>
    </font>
    <font>
      <vertAlign val="superscript"/>
      <sz val="10"/>
      <color theme="1"/>
      <name val="Calibri"/>
      <family val="2"/>
      <scheme val="minor"/>
    </font>
    <font>
      <sz val="11"/>
      <color rgb="FF002060"/>
      <name val="Tahoma"/>
      <family val="2"/>
    </font>
    <font>
      <sz val="11"/>
      <color rgb="FF00B050"/>
      <name val="Calibri"/>
      <family val="2"/>
      <scheme val="minor"/>
    </font>
    <font>
      <b/>
      <sz val="11"/>
      <name val="Aptos Narrow"/>
      <family val="2"/>
    </font>
    <font>
      <b/>
      <sz val="10"/>
      <color rgb="FFC00000"/>
      <name val="Arial"/>
      <family val="2"/>
    </font>
    <font>
      <sz val="9"/>
      <name val="Aptos"/>
      <family val="2"/>
    </font>
    <font>
      <b/>
      <sz val="10"/>
      <color rgb="FF747474"/>
      <name val="Arial"/>
      <family val="2"/>
    </font>
    <font>
      <sz val="9"/>
      <name val="Arial"/>
      <family val="2"/>
    </font>
    <font>
      <sz val="9"/>
      <color theme="0"/>
      <name val="Aptos"/>
      <family val="2"/>
    </font>
    <font>
      <b/>
      <sz val="9"/>
      <color theme="0"/>
      <name val="Aptos"/>
      <family val="2"/>
    </font>
    <font>
      <b/>
      <sz val="14"/>
      <color rgb="FF002060"/>
      <name val="Calibri"/>
      <family val="2"/>
      <scheme val="minor"/>
    </font>
  </fonts>
  <fills count="45">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rgb="FFFF0000"/>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4" tint="0.59999389629810485"/>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
      <patternFill patternType="solid">
        <fgColor theme="1"/>
        <bgColor indexed="64"/>
      </patternFill>
    </fill>
    <fill>
      <patternFill patternType="lightDown">
        <bgColor theme="8" tint="0.79998168889431442"/>
      </patternFill>
    </fill>
    <fill>
      <patternFill patternType="lightDown"/>
    </fill>
  </fills>
  <borders count="28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style="thin">
        <color theme="0" tint="-0.14999847407452621"/>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bottom/>
      <diagonal/>
    </border>
    <border>
      <left style="thin">
        <color indexed="64"/>
      </left>
      <right style="thick">
        <color indexed="64"/>
      </right>
      <top style="thin">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diagonalUp="1" diagonalDown="1">
      <left/>
      <right style="thin">
        <color indexed="64"/>
      </right>
      <top style="thin">
        <color indexed="64"/>
      </top>
      <bottom/>
      <diagonal style="thin">
        <color auto="1"/>
      </diagonal>
    </border>
    <border diagonalUp="1" diagonalDown="1">
      <left/>
      <right style="thin">
        <color indexed="64"/>
      </right>
      <top/>
      <bottom style="thin">
        <color indexed="64"/>
      </bottom>
      <diagonal style="thin">
        <color auto="1"/>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diagonalUp="1" diagonalDown="1">
      <left/>
      <right style="thin">
        <color indexed="64"/>
      </right>
      <top/>
      <bottom/>
      <diagonal style="thin">
        <color auto="1"/>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rgb="FF00B0F0"/>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right style="medium">
        <color theme="0"/>
      </right>
      <top/>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style="medium">
        <color theme="0" tint="-0.499984740745262"/>
      </bottom>
      <diagonal/>
    </border>
    <border>
      <left style="thin">
        <color indexed="64"/>
      </left>
      <right style="thin">
        <color indexed="64"/>
      </right>
      <top style="thin">
        <color indexed="64"/>
      </top>
      <bottom style="medium">
        <color theme="0" tint="-0.499984740745262"/>
      </bottom>
      <diagonal/>
    </border>
    <border>
      <left style="thin">
        <color indexed="64"/>
      </left>
      <right style="medium">
        <color theme="0" tint="-0.499984740745262"/>
      </right>
      <top style="thin">
        <color indexed="64"/>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style="thin">
        <color rgb="FF002060"/>
      </left>
      <right/>
      <top style="thin">
        <color rgb="FF002060"/>
      </top>
      <bottom style="thin">
        <color rgb="FF002060"/>
      </bottom>
      <diagonal/>
    </border>
    <border>
      <left/>
      <right/>
      <top/>
      <bottom style="thin">
        <color rgb="FF002060"/>
      </bottom>
      <diagonal/>
    </border>
    <border>
      <left/>
      <right/>
      <top style="thin">
        <color rgb="FF002060"/>
      </top>
      <bottom/>
      <diagonal/>
    </border>
    <border>
      <left style="medium">
        <color indexed="64"/>
      </left>
      <right style="medium">
        <color theme="0"/>
      </right>
      <top style="thin">
        <color rgb="FF002060"/>
      </top>
      <bottom style="thin">
        <color rgb="FF002060"/>
      </bottom>
      <diagonal/>
    </border>
    <border>
      <left style="medium">
        <color indexed="64"/>
      </left>
      <right style="thin">
        <color rgb="FF002060"/>
      </right>
      <top style="thin">
        <color rgb="FF002060"/>
      </top>
      <bottom style="thin">
        <color rgb="FF00206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2060"/>
      </left>
      <right/>
      <top style="thin">
        <color rgb="FF002060"/>
      </top>
      <bottom/>
      <diagonal/>
    </border>
    <border>
      <left style="thin">
        <color indexed="64"/>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medium">
        <color theme="8"/>
      </left>
      <right style="medium">
        <color theme="8"/>
      </right>
      <top style="medium">
        <color theme="8"/>
      </top>
      <bottom style="medium">
        <color theme="8"/>
      </bottom>
      <diagonal/>
    </border>
    <border>
      <left style="medium">
        <color theme="8"/>
      </left>
      <right style="medium">
        <color theme="8"/>
      </right>
      <top style="medium">
        <color theme="8"/>
      </top>
      <bottom style="thin">
        <color rgb="FF002060"/>
      </bottom>
      <diagonal/>
    </border>
    <border>
      <left style="medium">
        <color theme="8"/>
      </left>
      <right style="medium">
        <color theme="8"/>
      </right>
      <top style="thin">
        <color rgb="FF002060"/>
      </top>
      <bottom style="thin">
        <color rgb="FF002060"/>
      </bottom>
      <diagonal/>
    </border>
    <border>
      <left style="medium">
        <color theme="8"/>
      </left>
      <right style="medium">
        <color theme="8"/>
      </right>
      <top style="thin">
        <color rgb="FF002060"/>
      </top>
      <bottom style="medium">
        <color theme="8"/>
      </bottom>
      <diagonal/>
    </border>
    <border>
      <left style="medium">
        <color theme="8"/>
      </left>
      <right style="thin">
        <color rgb="FF002060"/>
      </right>
      <top style="medium">
        <color theme="8"/>
      </top>
      <bottom style="thin">
        <color rgb="FF002060"/>
      </bottom>
      <diagonal/>
    </border>
    <border>
      <left style="thin">
        <color rgb="FF002060"/>
      </left>
      <right style="medium">
        <color theme="8"/>
      </right>
      <top style="medium">
        <color theme="8"/>
      </top>
      <bottom style="thin">
        <color rgb="FF002060"/>
      </bottom>
      <diagonal/>
    </border>
    <border>
      <left style="medium">
        <color theme="8"/>
      </left>
      <right style="thin">
        <color rgb="FF002060"/>
      </right>
      <top style="thin">
        <color rgb="FF002060"/>
      </top>
      <bottom style="thin">
        <color rgb="FF002060"/>
      </bottom>
      <diagonal/>
    </border>
    <border>
      <left style="thin">
        <color rgb="FF002060"/>
      </left>
      <right style="medium">
        <color theme="8"/>
      </right>
      <top style="thin">
        <color rgb="FF002060"/>
      </top>
      <bottom style="thin">
        <color rgb="FF002060"/>
      </bottom>
      <diagonal/>
    </border>
    <border>
      <left style="medium">
        <color theme="8"/>
      </left>
      <right style="thin">
        <color rgb="FF002060"/>
      </right>
      <top style="thin">
        <color rgb="FF002060"/>
      </top>
      <bottom style="medium">
        <color theme="8"/>
      </bottom>
      <diagonal/>
    </border>
    <border>
      <left style="thin">
        <color rgb="FF002060"/>
      </left>
      <right style="medium">
        <color theme="8"/>
      </right>
      <top style="thin">
        <color rgb="FF002060"/>
      </top>
      <bottom style="medium">
        <color theme="8"/>
      </bottom>
      <diagonal/>
    </border>
    <border>
      <left style="thin">
        <color indexed="64"/>
      </left>
      <right style="thin">
        <color indexed="64"/>
      </right>
      <top style="thin">
        <color indexed="64"/>
      </top>
      <bottom style="medium">
        <color rgb="FF00AEEF"/>
      </bottom>
      <diagonal/>
    </border>
    <border>
      <left style="medium">
        <color rgb="FF00AEEF"/>
      </left>
      <right style="thin">
        <color indexed="64"/>
      </right>
      <top style="medium">
        <color rgb="FF00AEEF"/>
      </top>
      <bottom style="thin">
        <color indexed="64"/>
      </bottom>
      <diagonal/>
    </border>
    <border>
      <left style="thin">
        <color indexed="64"/>
      </left>
      <right style="thin">
        <color indexed="64"/>
      </right>
      <top style="medium">
        <color rgb="FF00AEEF"/>
      </top>
      <bottom style="thin">
        <color indexed="64"/>
      </bottom>
      <diagonal/>
    </border>
    <border>
      <left style="thin">
        <color indexed="64"/>
      </left>
      <right style="medium">
        <color rgb="FF00AEEF"/>
      </right>
      <top style="medium">
        <color rgb="FF00AEEF"/>
      </top>
      <bottom style="thin">
        <color indexed="64"/>
      </bottom>
      <diagonal/>
    </border>
    <border>
      <left style="medium">
        <color rgb="FF00AEEF"/>
      </left>
      <right style="thin">
        <color indexed="64"/>
      </right>
      <top style="thin">
        <color indexed="64"/>
      </top>
      <bottom style="medium">
        <color rgb="FF00AEEF"/>
      </bottom>
      <diagonal/>
    </border>
    <border>
      <left style="thin">
        <color indexed="64"/>
      </left>
      <right style="medium">
        <color rgb="FF00AEEF"/>
      </right>
      <top style="thin">
        <color indexed="64"/>
      </top>
      <bottom style="medium">
        <color rgb="FF00AEEF"/>
      </bottom>
      <diagonal/>
    </border>
    <border>
      <left style="medium">
        <color rgb="FF00B0F0"/>
      </left>
      <right style="thin">
        <color indexed="64"/>
      </right>
      <top/>
      <bottom style="thin">
        <color indexed="64"/>
      </bottom>
      <diagonal/>
    </border>
    <border>
      <left style="thin">
        <color theme="1"/>
      </left>
      <right/>
      <top/>
      <bottom/>
      <diagonal/>
    </border>
    <border>
      <left/>
      <right/>
      <top/>
      <bottom style="thin">
        <color theme="1"/>
      </bottom>
      <diagonal/>
    </border>
  </borders>
  <cellStyleXfs count="19">
    <xf numFmtId="0" fontId="0" fillId="0" borderId="0"/>
    <xf numFmtId="9" fontId="1" fillId="0" borderId="0" applyFont="0" applyFill="0" applyBorder="0" applyAlignment="0" applyProtection="0"/>
    <xf numFmtId="0" fontId="13" fillId="0" borderId="0"/>
    <xf numFmtId="9" fontId="13"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0" fontId="39" fillId="0" borderId="0" applyNumberFormat="0" applyFill="0" applyBorder="0" applyAlignment="0" applyProtection="0"/>
    <xf numFmtId="43" fontId="1" fillId="0" borderId="0" applyFont="0" applyFill="0" applyBorder="0" applyAlignment="0" applyProtection="0"/>
    <xf numFmtId="0" fontId="13" fillId="0" borderId="0"/>
    <xf numFmtId="44" fontId="1" fillId="0" borderId="0" applyFont="0" applyFill="0" applyBorder="0" applyAlignment="0" applyProtection="0"/>
    <xf numFmtId="44" fontId="1" fillId="0" borderId="0" applyFont="0" applyFill="0" applyBorder="0" applyAlignment="0" applyProtection="0"/>
    <xf numFmtId="183" fontId="13" fillId="0" borderId="0" applyFont="0" applyFill="0" applyBorder="0" applyAlignment="0" applyProtection="0"/>
    <xf numFmtId="0" fontId="18" fillId="0" borderId="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414">
    <xf numFmtId="0" fontId="0" fillId="0" borderId="0" xfId="0"/>
    <xf numFmtId="0" fontId="3" fillId="0" borderId="0" xfId="0" applyFont="1"/>
    <xf numFmtId="0" fontId="0" fillId="0" borderId="0" xfId="0" applyAlignment="1">
      <alignment horizontal="left" vertical="center"/>
    </xf>
    <xf numFmtId="0" fontId="0" fillId="0" borderId="0" xfId="0" applyAlignment="1">
      <alignment horizontal="righ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2" fillId="6" borderId="4" xfId="0" applyFont="1" applyFill="1" applyBorder="1"/>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center" vertical="center" wrapText="1"/>
    </xf>
    <xf numFmtId="0" fontId="8" fillId="2" borderId="1" xfId="0" applyFont="1" applyFill="1" applyBorder="1"/>
    <xf numFmtId="0" fontId="8" fillId="2" borderId="2" xfId="0" applyFont="1" applyFill="1" applyBorder="1"/>
    <xf numFmtId="0" fontId="8" fillId="2" borderId="3" xfId="0" applyFont="1" applyFill="1" applyBorder="1"/>
    <xf numFmtId="0" fontId="2" fillId="6" borderId="1" xfId="0" applyFont="1" applyFill="1" applyBorder="1" applyAlignment="1">
      <alignment horizontal="left"/>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0" fillId="0" borderId="0" xfId="0" applyAlignment="1">
      <alignment wrapText="1"/>
    </xf>
    <xf numFmtId="0" fontId="13" fillId="9" borderId="0" xfId="2" applyFill="1"/>
    <xf numFmtId="0" fontId="14" fillId="10" borderId="1" xfId="2" applyFont="1" applyFill="1" applyBorder="1"/>
    <xf numFmtId="0" fontId="14" fillId="10" borderId="2" xfId="2" applyFont="1" applyFill="1" applyBorder="1" applyAlignment="1">
      <alignment horizontal="center"/>
    </xf>
    <xf numFmtId="170" fontId="14" fillId="10" borderId="3" xfId="3" applyNumberFormat="1" applyFont="1" applyFill="1" applyBorder="1" applyAlignment="1">
      <alignment horizontal="center"/>
    </xf>
    <xf numFmtId="0" fontId="13" fillId="9" borderId="0" xfId="2" applyFill="1" applyAlignment="1">
      <alignment horizontal="center"/>
    </xf>
    <xf numFmtId="1" fontId="13" fillId="9" borderId="0" xfId="2" applyNumberFormat="1" applyFill="1" applyAlignment="1">
      <alignment horizontal="center"/>
    </xf>
    <xf numFmtId="1" fontId="13" fillId="9" borderId="0" xfId="2" applyNumberFormat="1" applyFill="1"/>
    <xf numFmtId="0" fontId="14" fillId="9" borderId="0" xfId="2" applyFont="1" applyFill="1"/>
    <xf numFmtId="0" fontId="14" fillId="9" borderId="9" xfId="2" applyFont="1" applyFill="1" applyBorder="1" applyAlignment="1">
      <alignment horizont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2" xfId="2" applyFont="1" applyFill="1" applyBorder="1" applyAlignment="1">
      <alignment horizontal="center"/>
    </xf>
    <xf numFmtId="0" fontId="14" fillId="7" borderId="2" xfId="2" applyFont="1" applyFill="1" applyBorder="1" applyAlignment="1">
      <alignment horizontal="center"/>
    </xf>
    <xf numFmtId="0" fontId="13" fillId="9" borderId="3" xfId="2" applyFill="1" applyBorder="1"/>
    <xf numFmtId="0" fontId="14" fillId="9" borderId="1" xfId="2" applyFont="1" applyFill="1" applyBorder="1" applyAlignment="1">
      <alignment horizontal="center"/>
    </xf>
    <xf numFmtId="1" fontId="14" fillId="7" borderId="2" xfId="2" applyNumberFormat="1" applyFont="1" applyFill="1" applyBorder="1" applyAlignment="1">
      <alignment horizontal="center"/>
    </xf>
    <xf numFmtId="0" fontId="14" fillId="9" borderId="11" xfId="2" applyFont="1" applyFill="1" applyBorder="1" applyAlignment="1">
      <alignment horizontal="center"/>
    </xf>
    <xf numFmtId="0" fontId="14" fillId="9" borderId="12" xfId="2" applyFont="1" applyFill="1" applyBorder="1" applyAlignment="1">
      <alignment horizontal="center"/>
    </xf>
    <xf numFmtId="0" fontId="14" fillId="9" borderId="0" xfId="2" applyFont="1" applyFill="1" applyAlignment="1">
      <alignment horizontal="center"/>
    </xf>
    <xf numFmtId="0" fontId="18" fillId="9" borderId="0" xfId="2" applyFont="1" applyFill="1"/>
    <xf numFmtId="0" fontId="14" fillId="9" borderId="13" xfId="2" applyFont="1" applyFill="1" applyBorder="1" applyAlignment="1">
      <alignment horizontal="center"/>
    </xf>
    <xf numFmtId="0" fontId="14" fillId="9" borderId="15" xfId="2" applyFont="1" applyFill="1" applyBorder="1" applyAlignment="1">
      <alignment horizontal="center"/>
    </xf>
    <xf numFmtId="0" fontId="19" fillId="9" borderId="13" xfId="2" applyFont="1" applyFill="1" applyBorder="1" applyAlignment="1">
      <alignment horizontal="center"/>
    </xf>
    <xf numFmtId="0" fontId="19" fillId="9" borderId="14" xfId="2" applyFont="1" applyFill="1" applyBorder="1" applyAlignment="1">
      <alignment horizontal="center"/>
    </xf>
    <xf numFmtId="0" fontId="19" fillId="9" borderId="15" xfId="2" applyFont="1" applyFill="1" applyBorder="1" applyAlignment="1">
      <alignment horizontal="center"/>
    </xf>
    <xf numFmtId="0" fontId="13" fillId="9" borderId="6" xfId="2" applyFill="1" applyBorder="1"/>
    <xf numFmtId="0" fontId="13" fillId="9" borderId="7" xfId="2" applyFill="1" applyBorder="1"/>
    <xf numFmtId="0" fontId="13" fillId="9" borderId="12" xfId="2" applyFill="1" applyBorder="1" applyAlignment="1">
      <alignment horizontal="center"/>
    </xf>
    <xf numFmtId="167" fontId="13" fillId="9" borderId="6" xfId="2" applyNumberFormat="1" applyFill="1" applyBorder="1" applyAlignment="1">
      <alignment horizontal="center"/>
    </xf>
    <xf numFmtId="167" fontId="13" fillId="9" borderId="7" xfId="2" applyNumberFormat="1" applyFill="1" applyBorder="1" applyAlignment="1">
      <alignment horizontal="center"/>
    </xf>
    <xf numFmtId="2" fontId="13" fillId="9" borderId="11" xfId="2" applyNumberFormat="1" applyFill="1" applyBorder="1" applyAlignment="1">
      <alignment horizontal="center"/>
    </xf>
    <xf numFmtId="167" fontId="13" fillId="9" borderId="0" xfId="2" applyNumberFormat="1" applyFill="1" applyAlignment="1">
      <alignment horizontal="center"/>
    </xf>
    <xf numFmtId="167" fontId="13" fillId="9" borderId="11" xfId="2" applyNumberFormat="1" applyFill="1" applyBorder="1" applyAlignment="1">
      <alignment horizontal="center"/>
    </xf>
    <xf numFmtId="1" fontId="13" fillId="9" borderId="12" xfId="2" applyNumberFormat="1" applyFill="1" applyBorder="1" applyAlignment="1">
      <alignment horizontal="center"/>
    </xf>
    <xf numFmtId="0" fontId="13" fillId="9" borderId="11" xfId="2" applyFill="1" applyBorder="1"/>
    <xf numFmtId="0" fontId="13" fillId="9" borderId="11" xfId="2" applyFill="1" applyBorder="1" applyAlignment="1">
      <alignment horizontal="center"/>
    </xf>
    <xf numFmtId="0" fontId="13" fillId="9" borderId="13" xfId="2" applyFill="1" applyBorder="1"/>
    <xf numFmtId="0" fontId="13" fillId="9" borderId="15" xfId="2" applyFill="1" applyBorder="1"/>
    <xf numFmtId="0" fontId="13" fillId="9" borderId="15" xfId="2" applyFill="1" applyBorder="1" applyAlignment="1">
      <alignment horizontal="center"/>
    </xf>
    <xf numFmtId="0" fontId="13" fillId="9" borderId="14" xfId="2" applyFill="1" applyBorder="1" applyAlignment="1">
      <alignment horizontal="center"/>
    </xf>
    <xf numFmtId="167" fontId="13" fillId="9" borderId="13" xfId="2" applyNumberFormat="1" applyFill="1" applyBorder="1" applyAlignment="1">
      <alignment horizontal="center"/>
    </xf>
    <xf numFmtId="167" fontId="13" fillId="9" borderId="15" xfId="2" applyNumberFormat="1" applyFill="1" applyBorder="1" applyAlignment="1">
      <alignment horizontal="center"/>
    </xf>
    <xf numFmtId="2" fontId="13" fillId="9" borderId="13" xfId="2" applyNumberFormat="1" applyFill="1" applyBorder="1" applyAlignment="1">
      <alignment horizontal="center"/>
    </xf>
    <xf numFmtId="0" fontId="13" fillId="9" borderId="13" xfId="2" applyFill="1" applyBorder="1" applyAlignment="1">
      <alignment horizontal="center"/>
    </xf>
    <xf numFmtId="167" fontId="13" fillId="10" borderId="15" xfId="2" applyNumberFormat="1" applyFill="1" applyBorder="1" applyAlignment="1">
      <alignment horizontal="center"/>
    </xf>
    <xf numFmtId="167" fontId="13" fillId="10" borderId="13" xfId="2" applyNumberFormat="1" applyFill="1" applyBorder="1" applyAlignment="1">
      <alignment horizontal="center"/>
    </xf>
    <xf numFmtId="0" fontId="18" fillId="9" borderId="0" xfId="2" applyFont="1" applyFill="1" applyAlignment="1">
      <alignment horizontal="center"/>
    </xf>
    <xf numFmtId="0" fontId="13" fillId="9" borderId="8" xfId="2" applyFill="1" applyBorder="1"/>
    <xf numFmtId="0" fontId="13" fillId="9" borderId="12" xfId="2" applyFill="1" applyBorder="1"/>
    <xf numFmtId="168" fontId="13" fillId="9" borderId="0" xfId="2" applyNumberFormat="1" applyFill="1" applyAlignment="1">
      <alignment horizontal="center"/>
    </xf>
    <xf numFmtId="1" fontId="13" fillId="9" borderId="15" xfId="2" applyNumberFormat="1" applyFill="1" applyBorder="1" applyAlignment="1">
      <alignment horizontal="center"/>
    </xf>
    <xf numFmtId="0" fontId="13" fillId="9" borderId="14" xfId="2" applyFill="1" applyBorder="1"/>
    <xf numFmtId="0" fontId="19" fillId="9" borderId="0" xfId="2" applyFont="1" applyFill="1" applyAlignment="1">
      <alignment horizontal="right"/>
    </xf>
    <xf numFmtId="0" fontId="19" fillId="9" borderId="0" xfId="2" applyFont="1" applyFill="1" applyAlignment="1">
      <alignment horizontal="center"/>
    </xf>
    <xf numFmtId="0" fontId="18" fillId="9" borderId="0" xfId="2" applyFont="1" applyFill="1" applyAlignment="1">
      <alignment horizontal="right"/>
    </xf>
    <xf numFmtId="1" fontId="18" fillId="9" borderId="0" xfId="2" applyNumberFormat="1" applyFont="1" applyFill="1" applyAlignment="1">
      <alignment horizontal="center"/>
    </xf>
    <xf numFmtId="0" fontId="23" fillId="9" borderId="0" xfId="2" applyFont="1" applyFill="1"/>
    <xf numFmtId="0" fontId="24" fillId="9" borderId="0" xfId="2" applyFont="1" applyFill="1"/>
    <xf numFmtId="0" fontId="14" fillId="9" borderId="19" xfId="2" applyFont="1" applyFill="1" applyBorder="1" applyAlignment="1">
      <alignment horizontal="center"/>
    </xf>
    <xf numFmtId="0" fontId="13" fillId="9" borderId="20" xfId="2" applyFill="1" applyBorder="1"/>
    <xf numFmtId="0" fontId="13" fillId="9" borderId="19" xfId="2" applyFill="1" applyBorder="1"/>
    <xf numFmtId="0" fontId="14" fillId="9" borderId="22" xfId="2" applyFont="1" applyFill="1" applyBorder="1" applyAlignment="1">
      <alignment horizontal="center"/>
    </xf>
    <xf numFmtId="0" fontId="14" fillId="9" borderId="19" xfId="2" applyFont="1" applyFill="1" applyBorder="1"/>
    <xf numFmtId="0" fontId="13" fillId="9" borderId="10" xfId="2" applyFill="1" applyBorder="1"/>
    <xf numFmtId="0" fontId="13" fillId="9" borderId="23" xfId="2" applyFill="1" applyBorder="1"/>
    <xf numFmtId="0" fontId="14" fillId="9" borderId="1" xfId="2" applyFont="1" applyFill="1" applyBorder="1" applyAlignment="1">
      <alignment horizontal="right"/>
    </xf>
    <xf numFmtId="167" fontId="14" fillId="9" borderId="4" xfId="2" applyNumberFormat="1" applyFont="1" applyFill="1" applyBorder="1" applyAlignment="1">
      <alignment horizontal="center"/>
    </xf>
    <xf numFmtId="166" fontId="14" fillId="9" borderId="1" xfId="2" applyNumberFormat="1" applyFont="1" applyFill="1" applyBorder="1" applyAlignment="1">
      <alignment horizontal="center"/>
    </xf>
    <xf numFmtId="166" fontId="14" fillId="9" borderId="2" xfId="2" applyNumberFormat="1" applyFont="1" applyFill="1" applyBorder="1" applyAlignment="1">
      <alignment horizontal="center"/>
    </xf>
    <xf numFmtId="166" fontId="14" fillId="9" borderId="3" xfId="2" applyNumberFormat="1" applyFont="1" applyFill="1" applyBorder="1" applyAlignment="1">
      <alignment horizontal="center"/>
    </xf>
    <xf numFmtId="166" fontId="14" fillId="9" borderId="24" xfId="2" applyNumberFormat="1" applyFont="1" applyFill="1" applyBorder="1" applyAlignment="1">
      <alignment horizontal="center"/>
    </xf>
    <xf numFmtId="166" fontId="13" fillId="9" borderId="0" xfId="2" applyNumberFormat="1" applyFill="1" applyAlignment="1">
      <alignment horizontal="center"/>
    </xf>
    <xf numFmtId="167" fontId="14" fillId="9" borderId="20" xfId="2" applyNumberFormat="1" applyFont="1" applyFill="1" applyBorder="1" applyAlignment="1">
      <alignment horizontal="center"/>
    </xf>
    <xf numFmtId="0" fontId="13" fillId="9" borderId="25" xfId="2" applyFill="1" applyBorder="1"/>
    <xf numFmtId="0" fontId="13" fillId="9" borderId="26" xfId="2" applyFill="1" applyBorder="1"/>
    <xf numFmtId="0" fontId="13" fillId="9" borderId="27" xfId="2" applyFill="1" applyBorder="1"/>
    <xf numFmtId="166" fontId="13" fillId="9" borderId="26" xfId="2" applyNumberFormat="1" applyFill="1" applyBorder="1" applyAlignment="1">
      <alignment horizontal="center"/>
    </xf>
    <xf numFmtId="167" fontId="13" fillId="9" borderId="26" xfId="2" applyNumberFormat="1" applyFill="1" applyBorder="1" applyAlignment="1">
      <alignment horizontal="center"/>
    </xf>
    <xf numFmtId="167" fontId="14" fillId="9" borderId="27" xfId="2" applyNumberFormat="1" applyFont="1" applyFill="1" applyBorder="1" applyAlignment="1">
      <alignment horizontal="center"/>
    </xf>
    <xf numFmtId="166" fontId="14" fillId="9" borderId="0" xfId="2" applyNumberFormat="1" applyFont="1" applyFill="1" applyAlignment="1">
      <alignment horizontal="center"/>
    </xf>
    <xf numFmtId="0" fontId="14" fillId="9" borderId="19" xfId="2" applyFont="1" applyFill="1" applyBorder="1" applyAlignment="1">
      <alignment horizontal="left"/>
    </xf>
    <xf numFmtId="166" fontId="14" fillId="9" borderId="21" xfId="2" applyNumberFormat="1" applyFont="1" applyFill="1" applyBorder="1" applyAlignment="1">
      <alignment horizontal="center"/>
    </xf>
    <xf numFmtId="166" fontId="14" fillId="9" borderId="23" xfId="2" applyNumberFormat="1" applyFont="1" applyFill="1" applyBorder="1" applyAlignment="1">
      <alignment horizontal="center"/>
    </xf>
    <xf numFmtId="0" fontId="14" fillId="9" borderId="29" xfId="2" applyFont="1" applyFill="1" applyBorder="1" applyAlignment="1">
      <alignment horizontal="center"/>
    </xf>
    <xf numFmtId="1" fontId="18" fillId="9" borderId="22" xfId="2" applyNumberFormat="1" applyFont="1" applyFill="1" applyBorder="1" applyAlignment="1">
      <alignment horizontal="center"/>
    </xf>
    <xf numFmtId="170" fontId="14" fillId="7" borderId="0" xfId="2" applyNumberFormat="1" applyFont="1" applyFill="1" applyAlignment="1">
      <alignment horizontal="center"/>
    </xf>
    <xf numFmtId="167" fontId="14" fillId="9" borderId="0" xfId="2" applyNumberFormat="1" applyFont="1" applyFill="1" applyAlignment="1">
      <alignment horizontal="center"/>
    </xf>
    <xf numFmtId="165" fontId="25" fillId="9" borderId="0" xfId="2" applyNumberFormat="1" applyFont="1" applyFill="1" applyAlignment="1">
      <alignment horizontal="center"/>
    </xf>
    <xf numFmtId="166" fontId="14" fillId="9" borderId="22" xfId="2" applyNumberFormat="1" applyFont="1" applyFill="1" applyBorder="1" applyAlignment="1">
      <alignment horizontal="center"/>
    </xf>
    <xf numFmtId="167" fontId="13" fillId="9" borderId="0" xfId="2" applyNumberFormat="1" applyFill="1"/>
    <xf numFmtId="2" fontId="14" fillId="9" borderId="22" xfId="2" applyNumberFormat="1" applyFont="1" applyFill="1" applyBorder="1" applyAlignment="1">
      <alignment horizontal="center"/>
    </xf>
    <xf numFmtId="0" fontId="13" fillId="9" borderId="30" xfId="2" applyFill="1" applyBorder="1"/>
    <xf numFmtId="0" fontId="13" fillId="9" borderId="2" xfId="2" applyFill="1" applyBorder="1"/>
    <xf numFmtId="167" fontId="13" fillId="9" borderId="2" xfId="2" applyNumberFormat="1" applyFill="1" applyBorder="1" applyAlignment="1">
      <alignment horizontal="center"/>
    </xf>
    <xf numFmtId="9" fontId="0" fillId="9" borderId="0" xfId="3" applyFont="1" applyFill="1"/>
    <xf numFmtId="2" fontId="13" fillId="9" borderId="22" xfId="2" applyNumberFormat="1" applyFill="1" applyBorder="1"/>
    <xf numFmtId="2" fontId="13" fillId="9" borderId="0" xfId="2" applyNumberFormat="1" applyFill="1" applyAlignment="1">
      <alignment horizontal="center"/>
    </xf>
    <xf numFmtId="0" fontId="24" fillId="9" borderId="0" xfId="2" applyFont="1" applyFill="1" applyAlignment="1">
      <alignment horizontal="center"/>
    </xf>
    <xf numFmtId="168" fontId="13" fillId="7" borderId="0" xfId="2" applyNumberFormat="1" applyFill="1" applyAlignment="1">
      <alignment horizontal="center"/>
    </xf>
    <xf numFmtId="0" fontId="25" fillId="9" borderId="20" xfId="2" applyFont="1" applyFill="1" applyBorder="1" applyAlignment="1">
      <alignment horizontal="center"/>
    </xf>
    <xf numFmtId="2" fontId="14" fillId="9" borderId="20" xfId="2" applyNumberFormat="1" applyFont="1" applyFill="1" applyBorder="1" applyAlignment="1">
      <alignment horizontal="center"/>
    </xf>
    <xf numFmtId="0" fontId="24" fillId="9" borderId="26" xfId="2" applyFont="1" applyFill="1" applyBorder="1" applyAlignment="1">
      <alignment horizontal="center"/>
    </xf>
    <xf numFmtId="2" fontId="14" fillId="9" borderId="27" xfId="2" applyNumberFormat="1" applyFont="1" applyFill="1" applyBorder="1" applyAlignment="1">
      <alignment horizontal="center"/>
    </xf>
    <xf numFmtId="2" fontId="14" fillId="9" borderId="0" xfId="2" applyNumberFormat="1" applyFont="1" applyFill="1" applyAlignment="1">
      <alignment horizontal="center"/>
    </xf>
    <xf numFmtId="0" fontId="14" fillId="9" borderId="15" xfId="2" applyFont="1" applyFill="1" applyBorder="1"/>
    <xf numFmtId="0" fontId="13" fillId="9" borderId="0" xfId="2" applyFill="1" applyAlignment="1">
      <alignment horizontal="left"/>
    </xf>
    <xf numFmtId="168" fontId="14" fillId="9" borderId="0" xfId="2" applyNumberFormat="1" applyFont="1" applyFill="1" applyAlignment="1">
      <alignment horizontal="center"/>
    </xf>
    <xf numFmtId="9" fontId="0" fillId="9" borderId="0" xfId="3" applyFont="1" applyFill="1" applyAlignment="1">
      <alignment horizontal="center"/>
    </xf>
    <xf numFmtId="0" fontId="5" fillId="0" borderId="0" xfId="0" applyFont="1" applyAlignment="1">
      <alignment wrapText="1"/>
    </xf>
    <xf numFmtId="0" fontId="0" fillId="0" borderId="4" xfId="0" applyBorder="1" applyAlignment="1">
      <alignment wrapText="1"/>
    </xf>
    <xf numFmtId="3" fontId="0" fillId="0" borderId="4" xfId="0" applyNumberFormat="1" applyBorder="1" applyAlignment="1">
      <alignment horizontal="center"/>
    </xf>
    <xf numFmtId="3" fontId="0" fillId="14" borderId="4" xfId="0" applyNumberFormat="1" applyFill="1" applyBorder="1" applyAlignment="1">
      <alignment horizontal="center"/>
    </xf>
    <xf numFmtId="10" fontId="0" fillId="0" borderId="0" xfId="1" applyNumberFormat="1" applyFont="1"/>
    <xf numFmtId="171" fontId="0" fillId="0" borderId="0" xfId="1" applyNumberFormat="1" applyFont="1"/>
    <xf numFmtId="0" fontId="0" fillId="13" borderId="0" xfId="0" applyFill="1"/>
    <xf numFmtId="0" fontId="0" fillId="0" borderId="0" xfId="0" applyAlignment="1">
      <alignment horizontal="center" vertical="center"/>
    </xf>
    <xf numFmtId="2" fontId="0" fillId="0" borderId="0" xfId="0" applyNumberFormat="1" applyAlignment="1">
      <alignment horizontal="center" vertical="center"/>
    </xf>
    <xf numFmtId="0" fontId="5" fillId="0" borderId="0" xfId="0" applyFont="1" applyAlignment="1">
      <alignment horizontal="center" vertical="center" wrapText="1"/>
    </xf>
    <xf numFmtId="0" fontId="0" fillId="4" borderId="0" xfId="0" applyFill="1" applyAlignment="1">
      <alignment horizontal="center" vertical="center"/>
    </xf>
    <xf numFmtId="0" fontId="8" fillId="2" borderId="2" xfId="0" applyFont="1" applyFill="1" applyBorder="1" applyAlignment="1">
      <alignment horizontal="center" vertical="center"/>
    </xf>
    <xf numFmtId="0" fontId="0" fillId="13" borderId="0" xfId="0" applyFill="1" applyAlignment="1">
      <alignment horizontal="center" vertical="center"/>
    </xf>
    <xf numFmtId="0" fontId="29" fillId="0" borderId="0" xfId="0" applyFont="1"/>
    <xf numFmtId="0" fontId="4" fillId="6" borderId="4" xfId="0" applyFont="1" applyFill="1" applyBorder="1" applyAlignment="1">
      <alignment horizontal="center"/>
    </xf>
    <xf numFmtId="0" fontId="2" fillId="6" borderId="4" xfId="0" applyFont="1" applyFill="1" applyBorder="1" applyAlignment="1">
      <alignment horizontal="left" vertical="center"/>
    </xf>
    <xf numFmtId="0" fontId="2" fillId="6" borderId="1" xfId="0" applyFont="1" applyFill="1" applyBorder="1" applyAlignment="1">
      <alignment horizontal="center" vertical="center"/>
    </xf>
    <xf numFmtId="0" fontId="4" fillId="0" borderId="4" xfId="0" applyFont="1" applyBorder="1" applyAlignment="1">
      <alignment horizontal="right" wrapText="1"/>
    </xf>
    <xf numFmtId="0" fontId="8" fillId="0" borderId="4" xfId="0" applyFont="1" applyBorder="1" applyAlignment="1">
      <alignment horizontal="center" vertical="center"/>
    </xf>
    <xf numFmtId="0" fontId="5" fillId="13" borderId="0" xfId="0" applyFont="1" applyFill="1"/>
    <xf numFmtId="0" fontId="31" fillId="0" borderId="1" xfId="0" applyFont="1" applyBorder="1" applyAlignment="1">
      <alignment horizontal="left" vertical="center"/>
    </xf>
    <xf numFmtId="2" fontId="5" fillId="0" borderId="4" xfId="0" applyNumberFormat="1" applyFont="1" applyBorder="1" applyAlignment="1">
      <alignment horizontal="center" vertical="center"/>
    </xf>
    <xf numFmtId="0" fontId="31" fillId="0" borderId="4" xfId="0" applyFont="1" applyBorder="1"/>
    <xf numFmtId="0" fontId="31"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6" fillId="17" borderId="0" xfId="0" applyFont="1" applyFill="1"/>
    <xf numFmtId="0" fontId="36" fillId="17" borderId="0" xfId="0" applyFont="1" applyFill="1" applyAlignment="1">
      <alignment horizontal="center" vertical="center"/>
    </xf>
    <xf numFmtId="0" fontId="2" fillId="17"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2" fontId="0" fillId="0" borderId="31" xfId="0" applyNumberFormat="1" applyBorder="1" applyAlignment="1">
      <alignment horizontal="center" vertical="center"/>
    </xf>
    <xf numFmtId="0" fontId="0" fillId="0" borderId="31" xfId="0" applyBorder="1" applyAlignment="1">
      <alignment horizontal="left" vertical="center" wrapText="1"/>
    </xf>
    <xf numFmtId="0" fontId="32" fillId="0" borderId="31" xfId="0" applyFont="1" applyBorder="1"/>
    <xf numFmtId="2" fontId="0" fillId="0" borderId="31" xfId="1" applyNumberFormat="1" applyFont="1" applyBorder="1" applyAlignment="1">
      <alignment horizontal="center" vertical="center"/>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2" fontId="0" fillId="14" borderId="31" xfId="0" applyNumberFormat="1" applyFill="1" applyBorder="1" applyAlignment="1">
      <alignment horizontal="center" vertical="center"/>
    </xf>
    <xf numFmtId="0" fontId="0" fillId="14" borderId="31" xfId="0" applyFill="1" applyBorder="1" applyAlignment="1">
      <alignment horizontal="center" vertical="center"/>
    </xf>
    <xf numFmtId="9" fontId="0" fillId="14" borderId="31" xfId="1" applyFont="1" applyFill="1" applyBorder="1" applyAlignment="1">
      <alignment horizontal="center" vertical="center"/>
    </xf>
    <xf numFmtId="170" fontId="0" fillId="14" borderId="31" xfId="1" applyNumberFormat="1" applyFont="1" applyFill="1" applyBorder="1" applyAlignment="1">
      <alignment horizontal="center" vertical="center"/>
    </xf>
    <xf numFmtId="1" fontId="0" fillId="0" borderId="31" xfId="0" applyNumberFormat="1" applyBorder="1" applyAlignment="1">
      <alignment horizontal="center" vertical="center"/>
    </xf>
    <xf numFmtId="2" fontId="0" fillId="14" borderId="31" xfId="1" applyNumberFormat="1" applyFont="1" applyFill="1" applyBorder="1" applyAlignment="1">
      <alignment horizontal="center" vertical="center"/>
    </xf>
    <xf numFmtId="2" fontId="1" fillId="14" borderId="31" xfId="1" applyNumberFormat="1" applyFont="1" applyFill="1" applyBorder="1" applyAlignment="1">
      <alignment horizontal="center" vertical="center"/>
    </xf>
    <xf numFmtId="0" fontId="0" fillId="0" borderId="31" xfId="0" applyBorder="1" applyAlignment="1">
      <alignment horizontal="left" vertical="center"/>
    </xf>
    <xf numFmtId="2" fontId="4" fillId="0" borderId="31" xfId="1" applyNumberFormat="1" applyFont="1" applyBorder="1" applyAlignment="1">
      <alignment horizontal="center" vertical="center"/>
    </xf>
    <xf numFmtId="0" fontId="4" fillId="0" borderId="0" xfId="0" applyFont="1" applyAlignment="1">
      <alignment horizontal="right" wrapText="1"/>
    </xf>
    <xf numFmtId="3" fontId="0" fillId="0" borderId="0" xfId="0" applyNumberFormat="1" applyAlignment="1">
      <alignment horizontal="center"/>
    </xf>
    <xf numFmtId="0" fontId="0" fillId="0" borderId="31" xfId="0" applyBorder="1" applyAlignment="1">
      <alignment horizontal="right" vertical="center"/>
    </xf>
    <xf numFmtId="3" fontId="5" fillId="0" borderId="31" xfId="0" applyNumberFormat="1" applyFont="1" applyBorder="1" applyAlignment="1">
      <alignment horizontal="center" vertical="center"/>
    </xf>
    <xf numFmtId="3" fontId="0" fillId="0" borderId="31" xfId="0" applyNumberFormat="1" applyBorder="1" applyAlignment="1">
      <alignment horizontal="center" vertical="center"/>
    </xf>
    <xf numFmtId="172" fontId="5" fillId="0" borderId="31" xfId="0" applyNumberFormat="1" applyFont="1" applyBorder="1" applyAlignment="1">
      <alignment horizontal="center" vertical="center"/>
    </xf>
    <xf numFmtId="0" fontId="0" fillId="13" borderId="0" xfId="0" applyFill="1" applyAlignment="1">
      <alignment horizontal="left" vertical="center"/>
    </xf>
    <xf numFmtId="0" fontId="0" fillId="0" borderId="32" xfId="0" applyBorder="1"/>
    <xf numFmtId="0" fontId="5" fillId="0" borderId="31" xfId="0" applyFont="1" applyBorder="1" applyAlignment="1">
      <alignment horizontal="center" vertical="center"/>
    </xf>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8" fillId="4" borderId="0" xfId="0" applyFont="1" applyFill="1" applyAlignment="1" applyProtection="1">
      <alignment wrapText="1"/>
      <protection hidden="1"/>
    </xf>
    <xf numFmtId="0" fontId="49" fillId="4" borderId="0" xfId="0" applyFont="1" applyFill="1" applyAlignment="1">
      <alignment horizontal="center" vertical="center"/>
    </xf>
    <xf numFmtId="0" fontId="49" fillId="4" borderId="0" xfId="0" applyFont="1" applyFill="1" applyAlignment="1" applyProtection="1">
      <alignment wrapText="1"/>
      <protection hidden="1"/>
    </xf>
    <xf numFmtId="0" fontId="49" fillId="4" borderId="0" xfId="0" applyFont="1" applyFill="1" applyAlignment="1" applyProtection="1">
      <alignment horizontal="left" wrapText="1"/>
      <protection hidden="1"/>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xf>
    <xf numFmtId="0" fontId="8" fillId="21" borderId="4" xfId="0" applyFont="1" applyFill="1" applyBorder="1" applyAlignment="1">
      <alignment horizontal="center" vertical="center"/>
    </xf>
    <xf numFmtId="0" fontId="8" fillId="21" borderId="9" xfId="0" applyFont="1" applyFill="1" applyBorder="1" applyAlignment="1">
      <alignment horizontal="center" vertical="center"/>
    </xf>
    <xf numFmtId="0" fontId="0" fillId="22" borderId="4" xfId="0" applyFill="1" applyBorder="1" applyAlignment="1">
      <alignment horizontal="center" vertical="center"/>
    </xf>
    <xf numFmtId="0" fontId="8" fillId="22" borderId="6" xfId="0" applyFont="1" applyFill="1" applyBorder="1" applyAlignment="1">
      <alignment horizontal="center" vertical="center"/>
    </xf>
    <xf numFmtId="0" fontId="57" fillId="21" borderId="4" xfId="0" applyFont="1" applyFill="1" applyBorder="1" applyAlignment="1">
      <alignment horizontal="center" vertical="center" wrapText="1"/>
    </xf>
    <xf numFmtId="0" fontId="57" fillId="21" borderId="4" xfId="0" applyFont="1" applyFill="1" applyBorder="1" applyAlignment="1">
      <alignment horizontal="center" vertical="center"/>
    </xf>
    <xf numFmtId="174" fontId="0" fillId="22"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60" fillId="0" borderId="0" xfId="0" applyFont="1"/>
    <xf numFmtId="0" fontId="62" fillId="0" borderId="0" xfId="0" applyFont="1"/>
    <xf numFmtId="0" fontId="0" fillId="7" borderId="0" xfId="0" applyFill="1"/>
    <xf numFmtId="0" fontId="0" fillId="0" borderId="0" xfId="0" quotePrefix="1"/>
    <xf numFmtId="0" fontId="63" fillId="0" borderId="0" xfId="0" applyFont="1"/>
    <xf numFmtId="0" fontId="64" fillId="0" borderId="0" xfId="0" applyFont="1"/>
    <xf numFmtId="0" fontId="65" fillId="0" borderId="31" xfId="0" applyFont="1" applyBorder="1"/>
    <xf numFmtId="0" fontId="0" fillId="0" borderId="0" xfId="0" applyAlignment="1">
      <alignment horizontal="right"/>
    </xf>
    <xf numFmtId="9" fontId="63" fillId="0" borderId="0" xfId="1" applyFont="1" applyAlignment="1">
      <alignment horizontal="center" vertical="center"/>
    </xf>
    <xf numFmtId="10" fontId="63" fillId="0" borderId="0" xfId="1" applyNumberFormat="1" applyFont="1" applyFill="1" applyAlignment="1">
      <alignment horizontal="left" vertical="center"/>
    </xf>
    <xf numFmtId="167" fontId="4" fillId="14" borderId="31" xfId="0" applyNumberFormat="1" applyFont="1" applyFill="1" applyBorder="1" applyAlignment="1">
      <alignment horizontal="center" vertical="center"/>
    </xf>
    <xf numFmtId="4"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vertical="center"/>
    </xf>
    <xf numFmtId="4" fontId="65" fillId="14" borderId="31" xfId="0" applyNumberFormat="1" applyFont="1" applyFill="1" applyBorder="1" applyAlignment="1">
      <alignment horizontal="center" vertical="center"/>
    </xf>
    <xf numFmtId="4" fontId="32" fillId="0" borderId="31" xfId="0" applyNumberFormat="1" applyFont="1" applyBorder="1"/>
    <xf numFmtId="4" fontId="65" fillId="14" borderId="31" xfId="1" applyNumberFormat="1" applyFont="1" applyFill="1" applyBorder="1" applyAlignment="1">
      <alignment horizontal="center" vertical="center"/>
    </xf>
    <xf numFmtId="4" fontId="4" fillId="14"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4"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4" borderId="31" xfId="1" applyFont="1" applyFill="1" applyBorder="1" applyAlignment="1">
      <alignment horizontal="center"/>
    </xf>
    <xf numFmtId="167" fontId="0" fillId="14" borderId="0" xfId="0" applyNumberFormat="1" applyFill="1" applyAlignment="1">
      <alignment horizontal="center" vertical="center"/>
    </xf>
    <xf numFmtId="167" fontId="0" fillId="14" borderId="31" xfId="0" applyNumberFormat="1" applyFill="1" applyBorder="1" applyAlignment="1">
      <alignment horizontal="center" vertical="center"/>
    </xf>
    <xf numFmtId="0" fontId="32" fillId="5" borderId="0" xfId="0" applyFont="1" applyFill="1"/>
    <xf numFmtId="0" fontId="0" fillId="0" borderId="33" xfId="0" applyBorder="1"/>
    <xf numFmtId="0" fontId="32" fillId="0" borderId="40" xfId="0" applyFont="1" applyBorder="1"/>
    <xf numFmtId="0" fontId="0" fillId="0" borderId="0" xfId="0" applyAlignment="1">
      <alignment horizontal="center"/>
    </xf>
    <xf numFmtId="0" fontId="69" fillId="0" borderId="0" xfId="0" applyFont="1"/>
    <xf numFmtId="164" fontId="0" fillId="0" borderId="0" xfId="0" applyNumberFormat="1"/>
    <xf numFmtId="2" fontId="69" fillId="14" borderId="31" xfId="0" applyNumberFormat="1" applyFont="1" applyFill="1" applyBorder="1" applyAlignment="1">
      <alignment horizontal="center" vertical="center"/>
    </xf>
    <xf numFmtId="0" fontId="69" fillId="0" borderId="31" xfId="0" applyFont="1" applyBorder="1"/>
    <xf numFmtId="2" fontId="69" fillId="14" borderId="31" xfId="1" applyNumberFormat="1" applyFont="1" applyFill="1" applyBorder="1" applyAlignment="1">
      <alignment horizontal="center" vertical="center"/>
    </xf>
    <xf numFmtId="10" fontId="5" fillId="0" borderId="4" xfId="1" applyNumberFormat="1" applyFont="1" applyBorder="1" applyAlignment="1">
      <alignment horizontal="center" vertical="center"/>
    </xf>
    <xf numFmtId="0" fontId="2" fillId="6" borderId="3" xfId="0" applyFont="1" applyFill="1" applyBorder="1" applyAlignment="1">
      <alignment horizontal="center" vertical="center" wrapText="1"/>
    </xf>
    <xf numFmtId="3" fontId="5" fillId="0" borderId="3" xfId="1" applyNumberFormat="1" applyFont="1" applyBorder="1" applyAlignment="1">
      <alignment horizontal="center" vertical="center"/>
    </xf>
    <xf numFmtId="10" fontId="5" fillId="14" borderId="4" xfId="1" applyNumberFormat="1" applyFont="1" applyFill="1" applyBorder="1" applyAlignment="1">
      <alignment horizontal="center" vertical="center"/>
    </xf>
    <xf numFmtId="0" fontId="2" fillId="6" borderId="41" xfId="0" applyFont="1" applyFill="1" applyBorder="1" applyAlignment="1">
      <alignment horizontal="center" vertical="center" wrapText="1"/>
    </xf>
    <xf numFmtId="10" fontId="5" fillId="0" borderId="41" xfId="1" applyNumberFormat="1" applyFont="1" applyBorder="1" applyAlignment="1">
      <alignment horizontal="center" vertical="center"/>
    </xf>
    <xf numFmtId="10" fontId="5" fillId="14" borderId="41" xfId="1" applyNumberFormat="1" applyFont="1" applyFill="1" applyBorder="1" applyAlignment="1">
      <alignment horizontal="center" vertical="center"/>
    </xf>
    <xf numFmtId="10" fontId="5" fillId="0" borderId="43" xfId="1" applyNumberFormat="1" applyFont="1" applyBorder="1" applyAlignment="1">
      <alignment horizontal="center" vertical="center"/>
    </xf>
    <xf numFmtId="10" fontId="5" fillId="14" borderId="44" xfId="1" applyNumberFormat="1" applyFont="1" applyFill="1" applyBorder="1" applyAlignment="1">
      <alignment horizontal="center" vertical="center"/>
    </xf>
    <xf numFmtId="3" fontId="5" fillId="0" borderId="45" xfId="1" applyNumberFormat="1" applyFont="1" applyBorder="1" applyAlignment="1">
      <alignment horizontal="center" vertical="center"/>
    </xf>
    <xf numFmtId="0" fontId="31" fillId="0" borderId="12" xfId="0" applyFont="1" applyBorder="1"/>
    <xf numFmtId="10" fontId="5" fillId="14" borderId="43" xfId="1" applyNumberFormat="1" applyFont="1" applyFill="1" applyBorder="1" applyAlignment="1">
      <alignment horizontal="center" vertical="center"/>
    </xf>
    <xf numFmtId="0" fontId="0" fillId="0" borderId="11" xfId="0" applyBorder="1"/>
    <xf numFmtId="9" fontId="4" fillId="14" borderId="31" xfId="1" applyFont="1" applyFill="1" applyBorder="1" applyAlignment="1">
      <alignment horizontal="center" vertical="center"/>
    </xf>
    <xf numFmtId="0" fontId="70" fillId="0" borderId="31" xfId="0" applyFont="1" applyBorder="1" applyAlignment="1">
      <alignment wrapText="1"/>
    </xf>
    <xf numFmtId="0" fontId="70" fillId="14" borderId="31" xfId="0" applyFont="1" applyFill="1" applyBorder="1" applyAlignment="1">
      <alignment horizontal="center" vertical="center"/>
    </xf>
    <xf numFmtId="4" fontId="70" fillId="14" borderId="31" xfId="0" applyNumberFormat="1" applyFont="1" applyFill="1" applyBorder="1" applyAlignment="1">
      <alignment horizontal="center" vertical="center"/>
    </xf>
    <xf numFmtId="0" fontId="70" fillId="0" borderId="31" xfId="0" applyFont="1" applyBorder="1"/>
    <xf numFmtId="2" fontId="70" fillId="14" borderId="31" xfId="0" applyNumberFormat="1" applyFont="1" applyFill="1" applyBorder="1" applyAlignment="1">
      <alignment horizontal="center" vertical="center"/>
    </xf>
    <xf numFmtId="10" fontId="0" fillId="14" borderId="31" xfId="1" applyNumberFormat="1" applyFont="1" applyFill="1" applyBorder="1" applyAlignment="1">
      <alignment horizontal="center" vertical="center"/>
    </xf>
    <xf numFmtId="0" fontId="0" fillId="0" borderId="34" xfId="0" applyBorder="1" applyAlignment="1">
      <alignment wrapText="1"/>
    </xf>
    <xf numFmtId="0" fontId="0" fillId="0" borderId="34" xfId="0" applyBorder="1" applyAlignment="1">
      <alignment horizontal="center" vertical="center"/>
    </xf>
    <xf numFmtId="4" fontId="65" fillId="5" borderId="34" xfId="0" applyNumberFormat="1" applyFont="1" applyFill="1" applyBorder="1" applyAlignment="1">
      <alignment horizontal="center" vertical="center"/>
    </xf>
    <xf numFmtId="0" fontId="65" fillId="0" borderId="34" xfId="0" applyFont="1" applyBorder="1"/>
    <xf numFmtId="0" fontId="65" fillId="0" borderId="46" xfId="0" applyFont="1" applyBorder="1"/>
    <xf numFmtId="4" fontId="65" fillId="5" borderId="4" xfId="0" applyNumberFormat="1" applyFont="1" applyFill="1" applyBorder="1" applyAlignment="1">
      <alignment horizontal="center" vertical="center"/>
    </xf>
    <xf numFmtId="0" fontId="2" fillId="6" borderId="3" xfId="0" applyFont="1" applyFill="1" applyBorder="1" applyAlignment="1">
      <alignment horizontal="center" vertical="center"/>
    </xf>
    <xf numFmtId="0" fontId="0" fillId="0" borderId="1" xfId="0" applyBorder="1" applyAlignment="1">
      <alignment wrapText="1"/>
    </xf>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69" fillId="14" borderId="0" xfId="0" applyFont="1" applyFill="1"/>
    <xf numFmtId="0" fontId="5" fillId="0" borderId="31" xfId="0" applyFont="1" applyBorder="1"/>
    <xf numFmtId="0" fontId="5" fillId="14" borderId="31" xfId="0" applyFont="1" applyFill="1" applyBorder="1" applyAlignment="1">
      <alignment horizontal="center" vertical="center"/>
    </xf>
    <xf numFmtId="9" fontId="0" fillId="0" borderId="31" xfId="0" applyNumberFormat="1" applyBorder="1" applyAlignment="1">
      <alignment horizontal="center" vertical="center"/>
    </xf>
    <xf numFmtId="0" fontId="0" fillId="0" borderId="3" xfId="0" applyBorder="1" applyAlignment="1">
      <alignment horizontal="center" vertical="center"/>
    </xf>
    <xf numFmtId="0" fontId="2" fillId="6" borderId="41" xfId="0" applyFont="1" applyFill="1" applyBorder="1" applyAlignment="1">
      <alignment horizontal="center" vertical="center"/>
    </xf>
    <xf numFmtId="3" fontId="0" fillId="0" borderId="41" xfId="0" applyNumberFormat="1" applyBorder="1" applyAlignment="1">
      <alignment horizontal="center"/>
    </xf>
    <xf numFmtId="3" fontId="0" fillId="14" borderId="41" xfId="0" applyNumberFormat="1" applyFill="1" applyBorder="1" applyAlignment="1">
      <alignment horizontal="center"/>
    </xf>
    <xf numFmtId="0" fontId="0" fillId="0" borderId="43" xfId="0" applyBorder="1" applyAlignment="1">
      <alignment horizontal="center" vertical="center"/>
    </xf>
    <xf numFmtId="3" fontId="0" fillId="0" borderId="43" xfId="0" applyNumberFormat="1" applyBorder="1" applyAlignment="1">
      <alignment horizontal="center"/>
    </xf>
    <xf numFmtId="3" fontId="0" fillId="14" borderId="44" xfId="0" applyNumberFormat="1" applyFill="1" applyBorder="1" applyAlignment="1">
      <alignment horizontal="center"/>
    </xf>
    <xf numFmtId="0" fontId="0" fillId="0" borderId="45" xfId="0" applyBorder="1" applyAlignment="1">
      <alignment horizontal="center" vertical="center"/>
    </xf>
    <xf numFmtId="3" fontId="0" fillId="14" borderId="43" xfId="0" applyNumberFormat="1" applyFill="1" applyBorder="1" applyAlignment="1">
      <alignment horizontal="center"/>
    </xf>
    <xf numFmtId="0" fontId="8" fillId="2" borderId="47" xfId="0" applyFont="1" applyFill="1" applyBorder="1"/>
    <xf numFmtId="1" fontId="0" fillId="0" borderId="41" xfId="0" applyNumberFormat="1" applyBorder="1" applyAlignment="1">
      <alignment horizontal="center" vertical="center"/>
    </xf>
    <xf numFmtId="1" fontId="0" fillId="0" borderId="43" xfId="0" applyNumberFormat="1" applyBorder="1" applyAlignment="1">
      <alignment horizontal="center" vertical="center"/>
    </xf>
    <xf numFmtId="1" fontId="0" fillId="0" borderId="44" xfId="0" applyNumberFormat="1" applyBorder="1" applyAlignment="1">
      <alignment horizontal="center" vertical="center"/>
    </xf>
    <xf numFmtId="0" fontId="2" fillId="6" borderId="14" xfId="0" applyFont="1" applyFill="1" applyBorder="1" applyAlignment="1">
      <alignment horizontal="center" vertical="center" wrapText="1"/>
    </xf>
    <xf numFmtId="0" fontId="2" fillId="6" borderId="5" xfId="0" applyFont="1" applyFill="1" applyBorder="1" applyAlignment="1">
      <alignment horizontal="center" vertical="center"/>
    </xf>
    <xf numFmtId="0" fontId="0" fillId="14" borderId="4" xfId="0" applyFill="1" applyBorder="1" applyAlignment="1">
      <alignment horizontal="center" vertical="center"/>
    </xf>
    <xf numFmtId="1" fontId="0" fillId="14" borderId="4" xfId="0" applyNumberFormat="1" applyFill="1" applyBorder="1" applyAlignment="1">
      <alignment horizontal="center" vertical="center"/>
    </xf>
    <xf numFmtId="0" fontId="0" fillId="14" borderId="3" xfId="0" applyFill="1" applyBorder="1" applyAlignment="1">
      <alignment horizontal="center" vertical="center"/>
    </xf>
    <xf numFmtId="1" fontId="0" fillId="14" borderId="41" xfId="0" applyNumberFormat="1" applyFill="1" applyBorder="1" applyAlignment="1">
      <alignment horizontal="center" vertical="center"/>
    </xf>
    <xf numFmtId="0" fontId="0" fillId="14" borderId="43" xfId="0" applyFill="1" applyBorder="1" applyAlignment="1">
      <alignment horizontal="center" vertical="center"/>
    </xf>
    <xf numFmtId="1" fontId="0" fillId="14" borderId="44" xfId="0" applyNumberFormat="1" applyFill="1" applyBorder="1" applyAlignment="1">
      <alignment horizontal="center" vertical="center"/>
    </xf>
    <xf numFmtId="0" fontId="0" fillId="14" borderId="45" xfId="0" applyFill="1" applyBorder="1" applyAlignment="1">
      <alignment horizontal="center" vertical="center"/>
    </xf>
    <xf numFmtId="1" fontId="0" fillId="14" borderId="43" xfId="0" applyNumberFormat="1" applyFill="1" applyBorder="1" applyAlignment="1">
      <alignment horizontal="center" vertical="center"/>
    </xf>
    <xf numFmtId="168" fontId="0" fillId="0" borderId="31" xfId="0" applyNumberFormat="1" applyBorder="1" applyAlignment="1">
      <alignment horizontal="center" vertical="center"/>
    </xf>
    <xf numFmtId="0" fontId="4" fillId="14" borderId="31" xfId="1" applyNumberFormat="1" applyFont="1" applyFill="1" applyBorder="1" applyAlignment="1">
      <alignment horizontal="center"/>
    </xf>
    <xf numFmtId="0" fontId="0" fillId="0" borderId="31" xfId="0" applyBorder="1" applyAlignment="1">
      <alignment horizontal="left" indent="1"/>
    </xf>
    <xf numFmtId="9" fontId="0" fillId="14" borderId="31" xfId="0" applyNumberFormat="1" applyFill="1" applyBorder="1" applyAlignment="1">
      <alignment horizontal="center" vertical="center"/>
    </xf>
    <xf numFmtId="4" fontId="65" fillId="0" borderId="31" xfId="0" applyNumberFormat="1" applyFont="1" applyBorder="1" applyAlignment="1">
      <alignment horizontal="center" vertical="center"/>
    </xf>
    <xf numFmtId="1" fontId="70" fillId="14" borderId="31" xfId="0" quotePrefix="1" applyNumberFormat="1" applyFont="1" applyFill="1" applyBorder="1" applyAlignment="1">
      <alignment horizontal="center" vertical="center"/>
    </xf>
    <xf numFmtId="3" fontId="70" fillId="14" borderId="31" xfId="0" applyNumberFormat="1" applyFont="1" applyFill="1" applyBorder="1" applyAlignment="1">
      <alignment horizontal="center" vertical="center"/>
    </xf>
    <xf numFmtId="1" fontId="5" fillId="14" borderId="31" xfId="0" applyNumberFormat="1" applyFont="1" applyFill="1" applyBorder="1" applyAlignment="1">
      <alignment horizontal="center" vertical="center"/>
    </xf>
    <xf numFmtId="0" fontId="0" fillId="0" borderId="34" xfId="0" applyBorder="1"/>
    <xf numFmtId="1" fontId="5" fillId="0" borderId="31" xfId="0" applyNumberFormat="1" applyFont="1" applyBorder="1" applyAlignment="1">
      <alignment horizontal="center" vertical="center"/>
    </xf>
    <xf numFmtId="0" fontId="8" fillId="0" borderId="31" xfId="0" applyFont="1" applyBorder="1"/>
    <xf numFmtId="3" fontId="4" fillId="14" borderId="31" xfId="0" applyNumberFormat="1" applyFont="1" applyFill="1" applyBorder="1" applyAlignment="1">
      <alignment horizontal="center" vertical="center"/>
    </xf>
    <xf numFmtId="4" fontId="65" fillId="0" borderId="31" xfId="0" quotePrefix="1" applyNumberFormat="1" applyFont="1" applyBorder="1" applyAlignment="1">
      <alignment horizontal="left" vertical="center"/>
    </xf>
    <xf numFmtId="0" fontId="0" fillId="0" borderId="31" xfId="0" quotePrefix="1" applyBorder="1"/>
    <xf numFmtId="166" fontId="4" fillId="14" borderId="31" xfId="0" applyNumberFormat="1" applyFont="1" applyFill="1" applyBorder="1" applyAlignment="1">
      <alignment horizontal="center" vertical="center"/>
    </xf>
    <xf numFmtId="4" fontId="0" fillId="14" borderId="31" xfId="0" applyNumberFormat="1" applyFill="1" applyBorder="1" applyAlignment="1">
      <alignment horizontal="center"/>
    </xf>
    <xf numFmtId="2" fontId="5" fillId="14" borderId="31" xfId="0" applyNumberFormat="1" applyFont="1" applyFill="1" applyBorder="1" applyAlignment="1">
      <alignment horizontal="center" vertical="center"/>
    </xf>
    <xf numFmtId="3" fontId="0" fillId="14" borderId="31" xfId="0" applyNumberFormat="1" applyFill="1" applyBorder="1" applyAlignment="1">
      <alignment horizontal="center" vertical="center"/>
    </xf>
    <xf numFmtId="2" fontId="65" fillId="14" borderId="31" xfId="1" applyNumberFormat="1" applyFont="1" applyFill="1" applyBorder="1" applyAlignment="1">
      <alignment horizontal="center" vertical="center"/>
    </xf>
    <xf numFmtId="2" fontId="65" fillId="14" borderId="31" xfId="0" applyNumberFormat="1" applyFont="1" applyFill="1" applyBorder="1" applyAlignment="1">
      <alignment horizontal="center" vertical="center"/>
    </xf>
    <xf numFmtId="0" fontId="0" fillId="0" borderId="9" xfId="0" applyBorder="1" applyAlignment="1">
      <alignment horizontal="center" vertical="center"/>
    </xf>
    <xf numFmtId="0" fontId="5" fillId="0" borderId="4" xfId="1" applyNumberFormat="1" applyFont="1" applyBorder="1" applyAlignment="1">
      <alignment horizontal="center" vertical="center"/>
    </xf>
    <xf numFmtId="0" fontId="63" fillId="0" borderId="5" xfId="0" applyFont="1" applyBorder="1" applyAlignment="1">
      <alignment horizontal="center" vertical="center" wrapText="1"/>
    </xf>
    <xf numFmtId="9" fontId="13" fillId="7" borderId="0" xfId="2" applyNumberFormat="1" applyFill="1" applyAlignment="1">
      <alignment horizontal="center"/>
    </xf>
    <xf numFmtId="1" fontId="13" fillId="7" borderId="0" xfId="2" applyNumberFormat="1" applyFill="1" applyAlignment="1">
      <alignment horizontal="center"/>
    </xf>
    <xf numFmtId="3" fontId="13" fillId="0" borderId="0" xfId="2" applyNumberFormat="1" applyAlignment="1" applyProtection="1">
      <alignment horizontal="center"/>
      <protection locked="0"/>
    </xf>
    <xf numFmtId="0" fontId="73" fillId="9" borderId="0" xfId="2" applyFont="1" applyFill="1" applyAlignment="1">
      <alignment horizontal="center"/>
    </xf>
    <xf numFmtId="168" fontId="13"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3" fillId="0" borderId="26" xfId="2" applyNumberFormat="1" applyBorder="1" applyAlignment="1">
      <alignment horizontal="center"/>
    </xf>
    <xf numFmtId="0" fontId="13"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3" fillId="0" borderId="0" xfId="2" applyNumberFormat="1" applyAlignment="1">
      <alignment horizontal="center"/>
    </xf>
    <xf numFmtId="0" fontId="13" fillId="9" borderId="19" xfId="2" applyFill="1" applyBorder="1" applyAlignment="1">
      <alignment vertical="center"/>
    </xf>
    <xf numFmtId="2" fontId="14" fillId="9" borderId="23" xfId="3" applyNumberFormat="1" applyFont="1" applyFill="1" applyBorder="1" applyAlignment="1">
      <alignment horizontal="center"/>
    </xf>
    <xf numFmtId="167" fontId="13" fillId="0" borderId="0" xfId="2" applyNumberFormat="1" applyAlignment="1">
      <alignment horizontal="center" vertical="center"/>
    </xf>
    <xf numFmtId="0" fontId="13" fillId="9" borderId="0" xfId="2" applyFill="1" applyAlignment="1">
      <alignment horizontal="center" vertical="center"/>
    </xf>
    <xf numFmtId="168" fontId="13" fillId="0" borderId="0" xfId="2" applyNumberFormat="1" applyAlignment="1">
      <alignment horizontal="center"/>
    </xf>
    <xf numFmtId="2" fontId="14" fillId="9" borderId="22" xfId="3" applyNumberFormat="1" applyFont="1" applyFill="1" applyBorder="1" applyAlignment="1">
      <alignment horizontal="center"/>
    </xf>
    <xf numFmtId="0" fontId="13" fillId="5" borderId="0" xfId="2" applyFill="1" applyAlignment="1">
      <alignment horizontal="center" vertical="center"/>
    </xf>
    <xf numFmtId="167" fontId="13"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3" fillId="9" borderId="2" xfId="2" applyFill="1" applyBorder="1" applyAlignment="1">
      <alignment horizontal="right"/>
    </xf>
    <xf numFmtId="170" fontId="0" fillId="9" borderId="20" xfId="3" applyNumberFormat="1" applyFont="1" applyFill="1" applyBorder="1" applyAlignment="1">
      <alignment horizontal="center"/>
    </xf>
    <xf numFmtId="0" fontId="13" fillId="9" borderId="0" xfId="2" applyFill="1" applyAlignment="1">
      <alignment horizontal="right"/>
    </xf>
    <xf numFmtId="170" fontId="14" fillId="9" borderId="22" xfId="3" applyNumberFormat="1" applyFont="1" applyFill="1" applyBorder="1" applyAlignment="1">
      <alignment horizontal="center"/>
    </xf>
    <xf numFmtId="0" fontId="14" fillId="9" borderId="0" xfId="2" applyFont="1" applyFill="1" applyAlignment="1">
      <alignment horizontal="right"/>
    </xf>
    <xf numFmtId="10" fontId="14" fillId="9" borderId="22" xfId="3" applyNumberFormat="1" applyFont="1" applyFill="1" applyBorder="1" applyAlignment="1">
      <alignment horizontal="center"/>
    </xf>
    <xf numFmtId="10" fontId="0" fillId="9" borderId="0" xfId="3" applyNumberFormat="1" applyFont="1" applyFill="1" applyAlignment="1">
      <alignment horizontal="center"/>
    </xf>
    <xf numFmtId="9" fontId="14" fillId="9" borderId="20" xfId="3" applyFont="1" applyFill="1" applyBorder="1" applyAlignment="1">
      <alignment horizontal="center"/>
    </xf>
    <xf numFmtId="9" fontId="14" fillId="9" borderId="0" xfId="3" applyFont="1" applyFill="1" applyAlignment="1">
      <alignment horizontal="center"/>
    </xf>
    <xf numFmtId="170" fontId="14" fillId="9" borderId="0" xfId="3" applyNumberFormat="1" applyFont="1" applyFill="1" applyAlignment="1">
      <alignment horizontal="center"/>
    </xf>
    <xf numFmtId="0" fontId="14" fillId="9" borderId="13" xfId="2" applyFont="1" applyFill="1" applyBorder="1" applyAlignment="1">
      <alignment horizontal="center" wrapText="1"/>
    </xf>
    <xf numFmtId="167" fontId="14" fillId="0" borderId="20" xfId="2" applyNumberFormat="1" applyFont="1" applyBorder="1" applyAlignment="1">
      <alignment horizontal="center"/>
    </xf>
    <xf numFmtId="0" fontId="13" fillId="9" borderId="10" xfId="2" applyFill="1" applyBorder="1" applyAlignment="1">
      <alignment horizontal="center"/>
    </xf>
    <xf numFmtId="0" fontId="13" fillId="0" borderId="19" xfId="2" applyBorder="1"/>
    <xf numFmtId="0" fontId="13" fillId="9" borderId="6" xfId="2" applyFill="1" applyBorder="1" applyAlignment="1">
      <alignment horizontal="center"/>
    </xf>
    <xf numFmtId="0" fontId="14" fillId="0" borderId="19" xfId="2" applyFont="1" applyBorder="1"/>
    <xf numFmtId="170" fontId="18" fillId="9" borderId="4" xfId="3" applyNumberFormat="1" applyFont="1" applyFill="1" applyBorder="1" applyAlignment="1">
      <alignment horizontal="center"/>
    </xf>
    <xf numFmtId="3" fontId="13" fillId="9" borderId="15" xfId="2" applyNumberFormat="1" applyFill="1" applyBorder="1" applyAlignment="1">
      <alignment horizontal="center"/>
    </xf>
    <xf numFmtId="3" fontId="13" fillId="9" borderId="13" xfId="2" applyNumberFormat="1" applyFill="1" applyBorder="1" applyAlignment="1">
      <alignment horizontal="center"/>
    </xf>
    <xf numFmtId="0" fontId="13" fillId="9" borderId="0" xfId="2" applyFill="1" applyAlignment="1">
      <alignment horizontal="left" indent="1"/>
    </xf>
    <xf numFmtId="3" fontId="13" fillId="9" borderId="0" xfId="2" applyNumberFormat="1" applyFill="1" applyAlignment="1">
      <alignment horizontal="center"/>
    </xf>
    <xf numFmtId="3" fontId="13" fillId="9" borderId="11" xfId="2" applyNumberFormat="1" applyFill="1" applyBorder="1" applyAlignment="1">
      <alignment horizontal="center"/>
    </xf>
    <xf numFmtId="3" fontId="13" fillId="9" borderId="0" xfId="2" applyNumberFormat="1" applyFill="1"/>
    <xf numFmtId="3" fontId="13" fillId="9" borderId="11" xfId="2" applyNumberFormat="1" applyFill="1" applyBorder="1"/>
    <xf numFmtId="175" fontId="13" fillId="9" borderId="0" xfId="2" applyNumberFormat="1" applyFill="1" applyAlignment="1">
      <alignment horizontal="center"/>
    </xf>
    <xf numFmtId="175" fontId="13" fillId="9" borderId="11" xfId="2" applyNumberFormat="1" applyFill="1" applyBorder="1" applyAlignment="1">
      <alignment horizontal="center"/>
    </xf>
    <xf numFmtId="4" fontId="13" fillId="9" borderId="7" xfId="2" applyNumberFormat="1" applyFill="1" applyBorder="1" applyAlignment="1">
      <alignment horizontal="center"/>
    </xf>
    <xf numFmtId="4" fontId="13" fillId="9" borderId="6" xfId="2" applyNumberFormat="1" applyFill="1" applyBorder="1" applyAlignment="1">
      <alignment horizontal="center"/>
    </xf>
    <xf numFmtId="0" fontId="14" fillId="9" borderId="3" xfId="2" applyFont="1" applyFill="1" applyBorder="1"/>
    <xf numFmtId="0" fontId="14" fillId="9" borderId="2" xfId="2" applyFont="1" applyFill="1" applyBorder="1" applyAlignment="1">
      <alignment horizontal="center" vertical="center"/>
    </xf>
    <xf numFmtId="0" fontId="14" fillId="9" borderId="1" xfId="2" applyFont="1" applyFill="1" applyBorder="1" applyAlignment="1">
      <alignment horizontal="center" vertical="center"/>
    </xf>
    <xf numFmtId="4" fontId="13" fillId="9" borderId="0" xfId="2" applyNumberFormat="1" applyFill="1" applyAlignment="1">
      <alignment horizontal="center"/>
    </xf>
    <xf numFmtId="0" fontId="13" fillId="0" borderId="0" xfId="2" applyAlignment="1">
      <alignment horizontal="center"/>
    </xf>
    <xf numFmtId="0" fontId="14" fillId="21" borderId="0" xfId="2" applyFont="1" applyFill="1" applyAlignment="1" applyProtection="1">
      <alignment horizontal="center"/>
      <protection locked="0"/>
    </xf>
    <xf numFmtId="3" fontId="13" fillId="10" borderId="14" xfId="2" applyNumberFormat="1" applyFill="1" applyBorder="1" applyAlignment="1">
      <alignment horizontal="center"/>
    </xf>
    <xf numFmtId="3" fontId="73" fillId="10" borderId="3" xfId="2" applyNumberFormat="1" applyFont="1" applyFill="1" applyBorder="1" applyAlignment="1">
      <alignment horizontal="center"/>
    </xf>
    <xf numFmtId="3" fontId="13" fillId="10" borderId="15" xfId="2" applyNumberFormat="1" applyFill="1" applyBorder="1" applyAlignment="1">
      <alignment horizontal="center"/>
    </xf>
    <xf numFmtId="166" fontId="13" fillId="10" borderId="15" xfId="2" applyNumberFormat="1" applyFill="1" applyBorder="1" applyAlignment="1">
      <alignment horizontal="center"/>
    </xf>
    <xf numFmtId="2" fontId="13" fillId="10" borderId="13" xfId="2" applyNumberFormat="1" applyFill="1" applyBorder="1" applyAlignment="1">
      <alignment horizontal="center"/>
    </xf>
    <xf numFmtId="0" fontId="13" fillId="10" borderId="5" xfId="2" applyFill="1" applyBorder="1" applyAlignment="1">
      <alignment horizontal="center"/>
    </xf>
    <xf numFmtId="3" fontId="13" fillId="9" borderId="14" xfId="2" applyNumberFormat="1" applyFill="1" applyBorder="1" applyAlignment="1">
      <alignment horizontal="center"/>
    </xf>
    <xf numFmtId="167" fontId="13" fillId="0" borderId="13" xfId="2" applyNumberFormat="1" applyBorder="1" applyAlignment="1">
      <alignment horizontal="center"/>
    </xf>
    <xf numFmtId="0" fontId="13" fillId="24" borderId="13" xfId="2" applyFill="1" applyBorder="1" applyAlignment="1">
      <alignment horizontal="center"/>
    </xf>
    <xf numFmtId="1" fontId="13" fillId="9" borderId="14" xfId="2" applyNumberFormat="1" applyFill="1" applyBorder="1" applyAlignment="1">
      <alignment horizontal="center"/>
    </xf>
    <xf numFmtId="3" fontId="73" fillId="9" borderId="0" xfId="2" applyNumberFormat="1" applyFont="1" applyFill="1" applyAlignment="1">
      <alignment horizontal="center"/>
    </xf>
    <xf numFmtId="1" fontId="13" fillId="0" borderId="15" xfId="2" applyNumberFormat="1" applyBorder="1" applyAlignment="1">
      <alignment horizontal="center"/>
    </xf>
    <xf numFmtId="166" fontId="13" fillId="9" borderId="5" xfId="2" applyNumberFormat="1" applyFill="1" applyBorder="1" applyAlignment="1">
      <alignment horizontal="center"/>
    </xf>
    <xf numFmtId="3" fontId="13" fillId="9" borderId="12" xfId="2" applyNumberFormat="1" applyFill="1" applyBorder="1" applyAlignment="1">
      <alignment horizontal="center"/>
    </xf>
    <xf numFmtId="1" fontId="13" fillId="0" borderId="0" xfId="2" applyNumberFormat="1" applyAlignment="1">
      <alignment horizontal="center"/>
    </xf>
    <xf numFmtId="166" fontId="13" fillId="9" borderId="10" xfId="2" applyNumberFormat="1" applyFill="1" applyBorder="1" applyAlignment="1">
      <alignment horizontal="center"/>
    </xf>
    <xf numFmtId="0" fontId="13" fillId="24" borderId="11" xfId="2" applyFill="1" applyBorder="1" applyAlignment="1">
      <alignment horizontal="center"/>
    </xf>
    <xf numFmtId="3" fontId="13" fillId="0" borderId="12" xfId="2" applyNumberFormat="1" applyBorder="1" applyAlignment="1">
      <alignment horizontal="center"/>
    </xf>
    <xf numFmtId="167" fontId="13" fillId="7" borderId="0" xfId="2" applyNumberFormat="1" applyFill="1" applyAlignment="1">
      <alignment horizontal="center"/>
    </xf>
    <xf numFmtId="167" fontId="13" fillId="7" borderId="11" xfId="2" applyNumberFormat="1" applyFill="1" applyBorder="1" applyAlignment="1">
      <alignment horizontal="center"/>
    </xf>
    <xf numFmtId="3" fontId="22" fillId="9" borderId="12" xfId="2" applyNumberFormat="1" applyFont="1" applyFill="1" applyBorder="1" applyAlignment="1">
      <alignment horizontal="center"/>
    </xf>
    <xf numFmtId="166" fontId="13" fillId="9" borderId="9" xfId="2" applyNumberFormat="1" applyFill="1" applyBorder="1" applyAlignment="1">
      <alignment horizontal="center"/>
    </xf>
    <xf numFmtId="0" fontId="19" fillId="9" borderId="15" xfId="2" applyFont="1" applyFill="1" applyBorder="1" applyAlignment="1">
      <alignment horizontal="center" wrapText="1"/>
    </xf>
    <xf numFmtId="0" fontId="75" fillId="9" borderId="14" xfId="2" applyFont="1" applyFill="1" applyBorder="1" applyAlignment="1">
      <alignment horizontal="center"/>
    </xf>
    <xf numFmtId="0" fontId="18" fillId="9" borderId="14" xfId="2" applyFont="1" applyFill="1" applyBorder="1" applyAlignment="1">
      <alignment horizontal="center" wrapText="1"/>
    </xf>
    <xf numFmtId="0" fontId="18" fillId="0" borderId="13" xfId="2" applyFont="1" applyBorder="1" applyAlignment="1">
      <alignment horizontal="center"/>
    </xf>
    <xf numFmtId="0" fontId="19" fillId="9" borderId="10" xfId="2" applyFont="1" applyFill="1" applyBorder="1" applyAlignment="1">
      <alignment horizontal="center" vertical="center"/>
    </xf>
    <xf numFmtId="0" fontId="18" fillId="9" borderId="0" xfId="2" applyFont="1" applyFill="1" applyAlignment="1">
      <alignment vertical="center"/>
    </xf>
    <xf numFmtId="0" fontId="76" fillId="9"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14" fillId="0" borderId="11" xfId="2" applyFont="1" applyBorder="1" applyAlignment="1">
      <alignment horizontal="center" vertical="center" wrapText="1"/>
    </xf>
    <xf numFmtId="0" fontId="78" fillId="9" borderId="0" xfId="2" applyFont="1" applyFill="1"/>
    <xf numFmtId="168" fontId="13" fillId="14" borderId="0" xfId="2" applyNumberFormat="1" applyFill="1" applyAlignment="1">
      <alignment horizontal="center"/>
    </xf>
    <xf numFmtId="2" fontId="13" fillId="14" borderId="0" xfId="2" applyNumberFormat="1" applyFill="1" applyAlignment="1">
      <alignment horizontal="center"/>
    </xf>
    <xf numFmtId="0" fontId="4" fillId="0" borderId="43" xfId="0" applyFont="1" applyBorder="1" applyAlignment="1">
      <alignment horizontal="right" wrapText="1"/>
    </xf>
    <xf numFmtId="3" fontId="0" fillId="0" borderId="9" xfId="0" applyNumberFormat="1" applyBorder="1" applyAlignment="1">
      <alignment horizontal="center"/>
    </xf>
    <xf numFmtId="3" fontId="0" fillId="14" borderId="53" xfId="0" applyNumberFormat="1" applyFill="1" applyBorder="1" applyAlignment="1">
      <alignment horizontal="center"/>
    </xf>
    <xf numFmtId="0" fontId="13" fillId="18" borderId="15" xfId="2" applyFill="1" applyBorder="1"/>
    <xf numFmtId="167" fontId="13" fillId="18" borderId="0" xfId="2" applyNumberFormat="1" applyFill="1" applyAlignment="1">
      <alignment horizontal="center"/>
    </xf>
    <xf numFmtId="167" fontId="13" fillId="18" borderId="26" xfId="2" applyNumberFormat="1" applyFill="1" applyBorder="1" applyAlignment="1">
      <alignment horizontal="center"/>
    </xf>
    <xf numFmtId="1" fontId="13" fillId="5" borderId="0" xfId="2" applyNumberFormat="1" applyFill="1" applyAlignment="1">
      <alignment horizontal="center"/>
    </xf>
    <xf numFmtId="3" fontId="13" fillId="5" borderId="12" xfId="2" applyNumberFormat="1" applyFill="1" applyBorder="1" applyAlignment="1">
      <alignment horizontal="center"/>
    </xf>
    <xf numFmtId="3" fontId="22" fillId="5" borderId="12" xfId="2" applyNumberFormat="1" applyFont="1" applyFill="1" applyBorder="1" applyAlignment="1">
      <alignment horizontal="center"/>
    </xf>
    <xf numFmtId="1" fontId="13" fillId="5" borderId="15" xfId="2" applyNumberFormat="1" applyFill="1" applyBorder="1" applyAlignment="1">
      <alignment horizontal="center"/>
    </xf>
    <xf numFmtId="3" fontId="13" fillId="5" borderId="14" xfId="2" applyNumberFormat="1" applyFill="1" applyBorder="1" applyAlignment="1">
      <alignment horizontal="center"/>
    </xf>
    <xf numFmtId="0" fontId="14" fillId="5" borderId="11" xfId="2" applyFont="1" applyFill="1" applyBorder="1" applyAlignment="1">
      <alignment horizontal="center" vertical="center" wrapText="1"/>
    </xf>
    <xf numFmtId="0" fontId="14" fillId="5" borderId="12" xfId="2" applyFont="1" applyFill="1" applyBorder="1" applyAlignment="1">
      <alignment horizontal="center" vertical="center" wrapText="1"/>
    </xf>
    <xf numFmtId="0" fontId="13" fillId="5" borderId="19" xfId="2" applyFill="1" applyBorder="1"/>
    <xf numFmtId="0" fontId="73" fillId="5" borderId="0" xfId="2" applyFont="1" applyFill="1" applyAlignment="1">
      <alignment horizontal="center"/>
    </xf>
    <xf numFmtId="3" fontId="13" fillId="5" borderId="0" xfId="2" applyNumberFormat="1" applyFill="1" applyAlignment="1" applyProtection="1">
      <alignment horizontal="center"/>
      <protection locked="0"/>
    </xf>
    <xf numFmtId="0" fontId="13" fillId="5" borderId="0" xfId="2" applyFill="1" applyAlignment="1">
      <alignment horizontal="center"/>
    </xf>
    <xf numFmtId="170" fontId="0" fillId="18" borderId="0" xfId="3" applyNumberFormat="1" applyFont="1" applyFill="1" applyAlignment="1">
      <alignment horizontal="center"/>
    </xf>
    <xf numFmtId="170" fontId="13" fillId="18" borderId="0" xfId="2" applyNumberFormat="1" applyFill="1" applyAlignment="1">
      <alignment horizontal="center"/>
    </xf>
    <xf numFmtId="168" fontId="13" fillId="18" borderId="0" xfId="3" applyNumberFormat="1" applyFont="1" applyFill="1" applyAlignment="1">
      <alignment horizontal="center"/>
    </xf>
    <xf numFmtId="3" fontId="13" fillId="18" borderId="0" xfId="2" applyNumberFormat="1" applyFill="1" applyAlignment="1" applyProtection="1">
      <alignment horizontal="center"/>
      <protection locked="0"/>
    </xf>
    <xf numFmtId="0" fontId="13" fillId="18" borderId="13" xfId="2" applyFill="1" applyBorder="1"/>
    <xf numFmtId="0" fontId="29" fillId="0" borderId="4" xfId="0" applyFont="1" applyBorder="1"/>
    <xf numFmtId="0" fontId="29" fillId="0" borderId="10" xfId="0" applyFont="1" applyBorder="1"/>
    <xf numFmtId="0" fontId="0" fillId="5" borderId="31" xfId="0" applyFill="1" applyBorder="1"/>
    <xf numFmtId="9" fontId="79" fillId="14" borderId="31" xfId="1" applyFont="1" applyFill="1" applyBorder="1" applyAlignment="1">
      <alignment horizontal="center" wrapText="1"/>
    </xf>
    <xf numFmtId="9" fontId="0" fillId="14" borderId="0" xfId="1" applyFont="1" applyFill="1"/>
    <xf numFmtId="170" fontId="0" fillId="14" borderId="0" xfId="1" applyNumberFormat="1" applyFont="1" applyFill="1"/>
    <xf numFmtId="170" fontId="0" fillId="14" borderId="0" xfId="1" applyNumberFormat="1" applyFont="1" applyFill="1" applyAlignment="1">
      <alignment horizontal="center"/>
    </xf>
    <xf numFmtId="0" fontId="0" fillId="14"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84" fillId="0" borderId="0" xfId="0" applyFont="1"/>
    <xf numFmtId="0" fontId="0" fillId="14" borderId="0" xfId="0" applyFill="1"/>
    <xf numFmtId="0" fontId="4" fillId="14" borderId="31" xfId="0" applyFont="1" applyFill="1" applyBorder="1" applyAlignment="1">
      <alignment horizontal="center" vertical="center"/>
    </xf>
    <xf numFmtId="0" fontId="0" fillId="15" borderId="0" xfId="0" applyFill="1"/>
    <xf numFmtId="3" fontId="0" fillId="14" borderId="0" xfId="0" applyNumberFormat="1" applyFill="1" applyAlignment="1">
      <alignment horizontal="center" vertical="center"/>
    </xf>
    <xf numFmtId="0" fontId="0" fillId="0" borderId="0" xfId="0" applyAlignment="1">
      <alignment horizontal="right" indent="1"/>
    </xf>
    <xf numFmtId="10" fontId="0" fillId="14" borderId="0" xfId="0" applyNumberFormat="1" applyFill="1"/>
    <xf numFmtId="0" fontId="0" fillId="0" borderId="0" xfId="0" applyAlignment="1">
      <alignment horizontal="left" indent="1"/>
    </xf>
    <xf numFmtId="4" fontId="4" fillId="14" borderId="0" xfId="0" applyNumberFormat="1" applyFont="1" applyFill="1" applyAlignment="1">
      <alignment horizontal="center"/>
    </xf>
    <xf numFmtId="3" fontId="0" fillId="14" borderId="0" xfId="0" applyNumberFormat="1" applyFill="1" applyAlignment="1">
      <alignment horizontal="center"/>
    </xf>
    <xf numFmtId="0" fontId="88" fillId="0" borderId="0" xfId="0" applyFont="1"/>
    <xf numFmtId="0" fontId="89" fillId="0" borderId="1" xfId="0" applyFont="1" applyBorder="1"/>
    <xf numFmtId="0" fontId="0" fillId="0" borderId="2" xfId="0" applyBorder="1"/>
    <xf numFmtId="10" fontId="89" fillId="14" borderId="2" xfId="0" applyNumberFormat="1" applyFont="1" applyFill="1" applyBorder="1" applyAlignment="1">
      <alignment horizontal="center"/>
    </xf>
    <xf numFmtId="0" fontId="4" fillId="0" borderId="64" xfId="0" applyFont="1" applyBorder="1" applyAlignment="1">
      <alignment horizontal="left" indent="1"/>
    </xf>
    <xf numFmtId="0" fontId="0" fillId="0" borderId="65" xfId="0" applyBorder="1"/>
    <xf numFmtId="10" fontId="4" fillId="14" borderId="65" xfId="1" applyNumberFormat="1" applyFont="1" applyFill="1" applyBorder="1" applyAlignment="1">
      <alignment horizontal="center"/>
    </xf>
    <xf numFmtId="10" fontId="4" fillId="14" borderId="66" xfId="1" applyNumberFormat="1" applyFont="1" applyFill="1" applyBorder="1" applyAlignment="1">
      <alignment horizontal="center"/>
    </xf>
    <xf numFmtId="10" fontId="4" fillId="14" borderId="66" xfId="1" applyNumberFormat="1" applyFont="1" applyFill="1" applyBorder="1"/>
    <xf numFmtId="0" fontId="0" fillId="0" borderId="0" xfId="0" applyAlignment="1">
      <alignment horizontal="left" indent="2"/>
    </xf>
    <xf numFmtId="170" fontId="14" fillId="0" borderId="0" xfId="2" applyNumberFormat="1" applyFont="1" applyAlignment="1">
      <alignment horizontal="center"/>
    </xf>
    <xf numFmtId="4" fontId="5" fillId="14" borderId="31" xfId="0" applyNumberFormat="1" applyFont="1" applyFill="1" applyBorder="1" applyAlignment="1">
      <alignment horizontal="center" vertical="center"/>
    </xf>
    <xf numFmtId="1" fontId="18" fillId="9" borderId="0" xfId="2" applyNumberFormat="1" applyFont="1" applyFill="1"/>
    <xf numFmtId="170" fontId="13" fillId="9" borderId="0" xfId="2" applyNumberFormat="1" applyFill="1"/>
    <xf numFmtId="0" fontId="13" fillId="9" borderId="0" xfId="2" quotePrefix="1" applyFill="1"/>
    <xf numFmtId="10" fontId="13" fillId="9" borderId="0" xfId="2" applyNumberFormat="1" applyFill="1"/>
    <xf numFmtId="1" fontId="18" fillId="0" borderId="0" xfId="2" applyNumberFormat="1" applyFont="1"/>
    <xf numFmtId="10" fontId="18" fillId="7" borderId="67" xfId="2" applyNumberFormat="1" applyFont="1" applyFill="1" applyBorder="1"/>
    <xf numFmtId="1" fontId="18" fillId="9" borderId="3" xfId="2" applyNumberFormat="1" applyFont="1" applyFill="1" applyBorder="1"/>
    <xf numFmtId="10" fontId="13" fillId="14" borderId="12" xfId="1" applyNumberFormat="1" applyFont="1" applyFill="1" applyBorder="1"/>
    <xf numFmtId="10" fontId="13" fillId="9" borderId="12" xfId="1" applyNumberFormat="1" applyFont="1" applyFill="1" applyBorder="1"/>
    <xf numFmtId="10" fontId="13" fillId="9" borderId="14" xfId="1" applyNumberFormat="1" applyFont="1" applyFill="1" applyBorder="1"/>
    <xf numFmtId="0" fontId="18" fillId="9" borderId="1" xfId="2" applyFont="1" applyFill="1" applyBorder="1" applyAlignment="1">
      <alignment horizontal="center"/>
    </xf>
    <xf numFmtId="0" fontId="18" fillId="25" borderId="11" xfId="2" applyFont="1" applyFill="1" applyBorder="1" applyAlignment="1">
      <alignment horizontal="center"/>
    </xf>
    <xf numFmtId="0" fontId="13" fillId="25" borderId="11" xfId="2" applyFill="1" applyBorder="1" applyAlignment="1">
      <alignment horizontal="center"/>
    </xf>
    <xf numFmtId="1" fontId="18" fillId="25" borderId="12" xfId="2" applyNumberFormat="1" applyFont="1" applyFill="1" applyBorder="1"/>
    <xf numFmtId="1" fontId="14" fillId="0" borderId="2" xfId="2" applyNumberFormat="1" applyFont="1" applyBorder="1" applyAlignment="1">
      <alignment horizontal="center"/>
    </xf>
    <xf numFmtId="0" fontId="0" fillId="0" borderId="15" xfId="0" applyBorder="1"/>
    <xf numFmtId="3" fontId="0" fillId="14" borderId="0" xfId="0" applyNumberFormat="1" applyFill="1" applyAlignment="1">
      <alignment horizontal="center" vertical="center" wrapText="1"/>
    </xf>
    <xf numFmtId="0" fontId="4" fillId="14" borderId="0" xfId="0" applyFont="1" applyFill="1" applyAlignment="1">
      <alignment horizontal="center" vertical="center"/>
    </xf>
    <xf numFmtId="168" fontId="0" fillId="14" borderId="31" xfId="0" applyNumberFormat="1" applyFill="1" applyBorder="1" applyAlignment="1">
      <alignment horizontal="center" vertical="center"/>
    </xf>
    <xf numFmtId="4" fontId="69" fillId="14" borderId="31" xfId="0" applyNumberFormat="1" applyFont="1" applyFill="1" applyBorder="1" applyAlignment="1">
      <alignment horizontal="center" vertical="center"/>
    </xf>
    <xf numFmtId="4" fontId="0" fillId="14" borderId="31" xfId="1"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91" fillId="5" borderId="0" xfId="0" applyFont="1" applyFill="1"/>
    <xf numFmtId="0" fontId="5" fillId="27" borderId="0" xfId="8" applyFont="1" applyFill="1"/>
    <xf numFmtId="0" fontId="8" fillId="27" borderId="0" xfId="8" applyFont="1" applyFill="1"/>
    <xf numFmtId="0" fontId="92" fillId="5" borderId="0" xfId="0" applyFont="1" applyFill="1"/>
    <xf numFmtId="0" fontId="0" fillId="5" borderId="0" xfId="0" applyFill="1" applyAlignment="1">
      <alignment horizontal="left" indent="1"/>
    </xf>
    <xf numFmtId="0" fontId="92" fillId="5" borderId="0" xfId="0" applyFont="1" applyFill="1" applyAlignment="1">
      <alignment horizontal="center"/>
    </xf>
    <xf numFmtId="0" fontId="5" fillId="27" borderId="0" xfId="8" applyFont="1" applyFill="1" applyAlignment="1">
      <alignment horizontal="left" indent="2"/>
    </xf>
    <xf numFmtId="0" fontId="0" fillId="5" borderId="0" xfId="0" applyFill="1" applyAlignment="1">
      <alignment horizontal="right" indent="1"/>
    </xf>
    <xf numFmtId="0" fontId="59" fillId="27" borderId="0" xfId="8" applyFont="1" applyFill="1" applyAlignment="1">
      <alignment horizontal="left" indent="2"/>
    </xf>
    <xf numFmtId="0" fontId="69" fillId="5" borderId="0" xfId="0" applyFont="1" applyFill="1"/>
    <xf numFmtId="0" fontId="0" fillId="5" borderId="0" xfId="0" applyFill="1" applyAlignment="1">
      <alignment wrapText="1"/>
    </xf>
    <xf numFmtId="0" fontId="0" fillId="14" borderId="0" xfId="0" applyFill="1" applyAlignment="1">
      <alignment horizontal="center" vertical="center"/>
    </xf>
    <xf numFmtId="0" fontId="5" fillId="5" borderId="0" xfId="0" quotePrefix="1" applyFont="1" applyFill="1"/>
    <xf numFmtId="9" fontId="0" fillId="14" borderId="0" xfId="0" applyNumberFormat="1" applyFill="1" applyAlignment="1">
      <alignment horizontal="center" vertical="center"/>
    </xf>
    <xf numFmtId="10" fontId="0" fillId="14" borderId="12" xfId="1" applyNumberFormat="1" applyFont="1" applyFill="1" applyBorder="1" applyAlignment="1">
      <alignment horizontal="centerContinuous" vertical="center"/>
    </xf>
    <xf numFmtId="10" fontId="0" fillId="14" borderId="0" xfId="1" applyNumberFormat="1" applyFont="1" applyFill="1" applyBorder="1" applyAlignment="1">
      <alignment horizontal="centerContinuous" vertical="center"/>
    </xf>
    <xf numFmtId="10" fontId="0" fillId="14" borderId="15" xfId="1" applyNumberFormat="1" applyFont="1" applyFill="1" applyBorder="1" applyAlignment="1">
      <alignment horizontal="centerContinuous" vertical="center"/>
    </xf>
    <xf numFmtId="0" fontId="2" fillId="23" borderId="1" xfId="0" applyFont="1" applyFill="1" applyBorder="1" applyAlignment="1">
      <alignment horizontal="center" vertical="center" wrapText="1"/>
    </xf>
    <xf numFmtId="0" fontId="2" fillId="23" borderId="2" xfId="0" applyFont="1" applyFill="1" applyBorder="1" applyAlignment="1">
      <alignment horizontal="centerContinuous" vertical="center" wrapText="1"/>
    </xf>
    <xf numFmtId="0" fontId="2" fillId="23" borderId="3" xfId="0" applyFont="1" applyFill="1" applyBorder="1" applyAlignment="1">
      <alignment horizontal="centerContinuous" vertical="center" wrapText="1"/>
    </xf>
    <xf numFmtId="168" fontId="0" fillId="5" borderId="11" xfId="0" applyNumberFormat="1" applyFill="1" applyBorder="1" applyAlignment="1">
      <alignment horizontal="center" vertical="center"/>
    </xf>
    <xf numFmtId="168" fontId="0" fillId="5" borderId="13" xfId="0" applyNumberFormat="1" applyFill="1" applyBorder="1" applyAlignment="1">
      <alignment horizontal="center" vertical="center"/>
    </xf>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0" fontId="0" fillId="14" borderId="12" xfId="0" applyFill="1" applyBorder="1" applyAlignment="1">
      <alignment horizontal="centerContinuous"/>
    </xf>
    <xf numFmtId="0" fontId="0" fillId="14" borderId="14" xfId="0" applyFill="1" applyBorder="1" applyAlignment="1">
      <alignment horizontal="centerContinuous"/>
    </xf>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85" fillId="5" borderId="0" xfId="0" applyFont="1" applyFill="1"/>
    <xf numFmtId="0" fontId="2" fillId="28" borderId="1" xfId="0" applyFont="1" applyFill="1" applyBorder="1" applyAlignment="1">
      <alignment horizontal="center"/>
    </xf>
    <xf numFmtId="0" fontId="2" fillId="28" borderId="3" xfId="0" applyFont="1" applyFill="1" applyBorder="1" applyAlignment="1">
      <alignment horizontal="center"/>
    </xf>
    <xf numFmtId="0" fontId="63" fillId="5" borderId="0" xfId="0" applyFont="1" applyFill="1" applyAlignment="1">
      <alignment horizontal="right"/>
    </xf>
    <xf numFmtId="43" fontId="2" fillId="28" borderId="1" xfId="7" applyFont="1" applyFill="1" applyBorder="1" applyAlignment="1">
      <alignment horizontal="center" vertical="center"/>
    </xf>
    <xf numFmtId="0" fontId="2" fillId="28" borderId="2" xfId="0" applyFont="1" applyFill="1" applyBorder="1" applyAlignment="1">
      <alignment horizontal="center" vertical="center"/>
    </xf>
    <xf numFmtId="0" fontId="2" fillId="28"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0" fillId="5" borderId="9" xfId="0" applyFill="1" applyBorder="1"/>
    <xf numFmtId="0" fontId="93" fillId="5" borderId="0" xfId="0" applyFont="1" applyFill="1"/>
    <xf numFmtId="0" fontId="94" fillId="5" borderId="0" xfId="0" applyFont="1" applyFill="1"/>
    <xf numFmtId="0" fontId="0" fillId="5" borderId="71" xfId="0" applyFill="1" applyBorder="1"/>
    <xf numFmtId="0" fontId="0" fillId="5" borderId="76" xfId="0" applyFill="1" applyBorder="1"/>
    <xf numFmtId="0" fontId="5" fillId="5" borderId="0" xfId="0" applyFont="1" applyFill="1" applyAlignment="1">
      <alignment horizontal="left" vertical="center" wrapText="1"/>
    </xf>
    <xf numFmtId="0" fontId="0" fillId="5" borderId="78" xfId="0" applyFill="1" applyBorder="1"/>
    <xf numFmtId="170" fontId="0" fillId="5" borderId="79" xfId="1" applyNumberFormat="1" applyFont="1" applyFill="1" applyBorder="1"/>
    <xf numFmtId="0" fontId="0" fillId="5" borderId="79" xfId="0" applyFill="1" applyBorder="1"/>
    <xf numFmtId="0" fontId="0" fillId="5" borderId="80" xfId="0" applyFill="1" applyBorder="1"/>
    <xf numFmtId="0" fontId="0" fillId="5" borderId="81" xfId="0" applyFill="1" applyBorder="1"/>
    <xf numFmtId="170" fontId="0" fillId="5" borderId="82" xfId="1" applyNumberFormat="1" applyFont="1" applyFill="1" applyBorder="1"/>
    <xf numFmtId="0" fontId="0" fillId="5" borderId="82" xfId="0" applyFill="1" applyBorder="1"/>
    <xf numFmtId="0" fontId="0" fillId="5" borderId="83" xfId="0" applyFill="1" applyBorder="1"/>
    <xf numFmtId="168" fontId="0" fillId="5" borderId="0" xfId="0" applyNumberFormat="1" applyFill="1" applyAlignment="1">
      <alignment horizontal="center" vertical="center"/>
    </xf>
    <xf numFmtId="0" fontId="5" fillId="27"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7" fillId="5" borderId="0" xfId="0" applyFont="1" applyFill="1"/>
    <xf numFmtId="0" fontId="2" fillId="28" borderId="61" xfId="0" applyFont="1" applyFill="1" applyBorder="1" applyAlignment="1">
      <alignment horizontal="center"/>
    </xf>
    <xf numFmtId="0" fontId="2" fillId="28" borderId="62" xfId="0" applyFont="1" applyFill="1" applyBorder="1" applyAlignment="1">
      <alignment horizontal="center"/>
    </xf>
    <xf numFmtId="2" fontId="0" fillId="14" borderId="0" xfId="0" applyNumberFormat="1" applyFill="1" applyAlignment="1">
      <alignment horizontal="center"/>
    </xf>
    <xf numFmtId="168" fontId="0" fillId="14" borderId="0" xfId="0" applyNumberFormat="1" applyFill="1" applyAlignment="1">
      <alignment horizontal="center"/>
    </xf>
    <xf numFmtId="0" fontId="40" fillId="5" borderId="0" xfId="0" applyFont="1" applyFill="1"/>
    <xf numFmtId="0" fontId="40" fillId="5" borderId="0" xfId="0" applyFont="1" applyFill="1" applyAlignment="1">
      <alignment horizontal="left"/>
    </xf>
    <xf numFmtId="0" fontId="41"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6"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8" fillId="5" borderId="0" xfId="0" applyFont="1" applyFill="1"/>
    <xf numFmtId="0" fontId="0" fillId="5" borderId="84" xfId="0" applyFill="1" applyBorder="1"/>
    <xf numFmtId="170" fontId="0" fillId="5" borderId="0" xfId="1" applyNumberFormat="1" applyFont="1" applyFill="1" applyBorder="1"/>
    <xf numFmtId="0" fontId="0" fillId="5" borderId="85" xfId="0" applyFill="1" applyBorder="1"/>
    <xf numFmtId="44" fontId="5" fillId="5" borderId="0" xfId="4" applyFont="1" applyFill="1" applyBorder="1" applyAlignment="1">
      <alignment horizontal="center" vertical="center"/>
    </xf>
    <xf numFmtId="167" fontId="5" fillId="14"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4" borderId="14" xfId="7" applyNumberFormat="1" applyFont="1" applyFill="1" applyBorder="1" applyAlignment="1">
      <alignment horizontal="center" vertical="center"/>
    </xf>
    <xf numFmtId="0" fontId="5" fillId="14" borderId="0" xfId="0" applyFont="1" applyFill="1" applyAlignment="1">
      <alignment horizontal="center"/>
    </xf>
    <xf numFmtId="0" fontId="0" fillId="5" borderId="0" xfId="1" applyNumberFormat="1" applyFont="1" applyFill="1"/>
    <xf numFmtId="168" fontId="0" fillId="5" borderId="60" xfId="0" applyNumberFormat="1" applyFill="1" applyBorder="1" applyAlignment="1">
      <alignment horizontal="center"/>
    </xf>
    <xf numFmtId="168" fontId="0" fillId="5" borderId="63" xfId="0" applyNumberFormat="1" applyFill="1" applyBorder="1" applyAlignment="1">
      <alignment horizontal="center"/>
    </xf>
    <xf numFmtId="0" fontId="95" fillId="5" borderId="0" xfId="0" applyFont="1" applyFill="1" applyAlignment="1">
      <alignment horizontal="left" vertical="center"/>
    </xf>
    <xf numFmtId="166" fontId="0" fillId="14" borderId="0" xfId="0" applyNumberFormat="1" applyFill="1" applyAlignment="1">
      <alignment horizontal="center"/>
    </xf>
    <xf numFmtId="166" fontId="0" fillId="14" borderId="0" xfId="0" applyNumberFormat="1" applyFill="1"/>
    <xf numFmtId="166" fontId="0" fillId="14" borderId="0" xfId="0" quotePrefix="1" applyNumberFormat="1" applyFill="1"/>
    <xf numFmtId="0" fontId="5" fillId="14" borderId="58" xfId="0" applyFont="1" applyFill="1" applyBorder="1" applyAlignment="1">
      <alignment horizontal="center"/>
    </xf>
    <xf numFmtId="0" fontId="5" fillId="14" borderId="59"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4" borderId="0" xfId="0" applyNumberFormat="1" applyFont="1" applyFill="1" applyAlignment="1">
      <alignment horizontal="center"/>
    </xf>
    <xf numFmtId="10" fontId="0" fillId="14" borderId="0" xfId="1" applyNumberFormat="1" applyFont="1" applyFill="1" applyBorder="1" applyAlignment="1">
      <alignment horizontal="center"/>
    </xf>
    <xf numFmtId="0" fontId="5" fillId="14" borderId="0" xfId="0" applyFont="1" applyFill="1"/>
    <xf numFmtId="170" fontId="95" fillId="14" borderId="0" xfId="1" applyNumberFormat="1" applyFont="1" applyFill="1" applyAlignment="1">
      <alignment horizontal="center"/>
    </xf>
    <xf numFmtId="0" fontId="2" fillId="28" borderId="3" xfId="0" applyFont="1" applyFill="1" applyBorder="1" applyAlignment="1">
      <alignment horizontal="center" vertical="center" wrapText="1"/>
    </xf>
    <xf numFmtId="0" fontId="6" fillId="5" borderId="12" xfId="0" applyFont="1" applyFill="1" applyBorder="1" applyAlignment="1">
      <alignment horizontal="center" vertical="center"/>
    </xf>
    <xf numFmtId="3" fontId="0" fillId="14" borderId="86" xfId="0" applyNumberFormat="1" applyFill="1" applyBorder="1" applyAlignment="1">
      <alignment horizontal="center" vertical="center"/>
    </xf>
    <xf numFmtId="3" fontId="0" fillId="14" borderId="34" xfId="0" applyNumberFormat="1" applyFill="1" applyBorder="1" applyAlignment="1">
      <alignment horizontal="center" vertical="center"/>
    </xf>
    <xf numFmtId="0" fontId="2" fillId="6" borderId="4" xfId="0" applyFont="1" applyFill="1" applyBorder="1" applyAlignment="1">
      <alignment horizontal="center"/>
    </xf>
    <xf numFmtId="3" fontId="0" fillId="0" borderId="3" xfId="0" applyNumberFormat="1" applyBorder="1" applyAlignment="1">
      <alignment horizontal="center"/>
    </xf>
    <xf numFmtId="0" fontId="2" fillId="6" borderId="5" xfId="0" applyFont="1" applyFill="1" applyBorder="1" applyAlignment="1">
      <alignment horizontal="center"/>
    </xf>
    <xf numFmtId="0" fontId="0" fillId="5" borderId="0" xfId="0" applyFill="1" applyAlignment="1">
      <alignment horizontal="left" vertical="top" wrapText="1"/>
    </xf>
    <xf numFmtId="0" fontId="98"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9" borderId="0" xfId="0" applyFont="1" applyFill="1"/>
    <xf numFmtId="0" fontId="4" fillId="29" borderId="0" xfId="0" applyFont="1" applyFill="1" applyAlignment="1">
      <alignment horizontal="center" vertical="center"/>
    </xf>
    <xf numFmtId="0" fontId="4" fillId="29" borderId="31" xfId="0" applyFont="1" applyFill="1" applyBorder="1" applyAlignment="1">
      <alignment horizontal="center" vertical="center"/>
    </xf>
    <xf numFmtId="0" fontId="0" fillId="29" borderId="0" xfId="0" applyFill="1" applyAlignment="1">
      <alignment horizontal="left" vertical="center"/>
    </xf>
    <xf numFmtId="0" fontId="69" fillId="29" borderId="0" xfId="0" applyFont="1" applyFill="1"/>
    <xf numFmtId="0" fontId="0" fillId="0" borderId="0" xfId="0" applyAlignment="1">
      <alignment horizontal="left"/>
    </xf>
    <xf numFmtId="0" fontId="97" fillId="0" borderId="0" xfId="0" applyFont="1"/>
    <xf numFmtId="0" fontId="0" fillId="5" borderId="10" xfId="0" applyFill="1" applyBorder="1"/>
    <xf numFmtId="0" fontId="6" fillId="5" borderId="87" xfId="0" applyFont="1" applyFill="1" applyBorder="1"/>
    <xf numFmtId="0" fontId="0" fillId="5" borderId="88" xfId="0" applyFill="1" applyBorder="1"/>
    <xf numFmtId="0" fontId="0" fillId="5" borderId="89" xfId="0" applyFill="1" applyBorder="1"/>
    <xf numFmtId="0" fontId="6" fillId="5" borderId="89" xfId="0" applyFont="1" applyFill="1" applyBorder="1"/>
    <xf numFmtId="0" fontId="0" fillId="5" borderId="87" xfId="0" applyFill="1" applyBorder="1"/>
    <xf numFmtId="0" fontId="0" fillId="5" borderId="90" xfId="0" applyFill="1" applyBorder="1"/>
    <xf numFmtId="0" fontId="0" fillId="5" borderId="91" xfId="0" applyFill="1" applyBorder="1"/>
    <xf numFmtId="0" fontId="0" fillId="5" borderId="12" xfId="0" quotePrefix="1" applyFill="1" applyBorder="1" applyAlignment="1">
      <alignment horizontal="center"/>
    </xf>
    <xf numFmtId="0" fontId="6" fillId="5" borderId="92" xfId="0" applyFont="1" applyFill="1" applyBorder="1" applyAlignment="1">
      <alignment horizontal="center" vertical="center"/>
    </xf>
    <xf numFmtId="0" fontId="6" fillId="5" borderId="92" xfId="0" quotePrefix="1" applyFont="1" applyFill="1" applyBorder="1" applyAlignment="1">
      <alignment horizontal="center" vertical="center"/>
    </xf>
    <xf numFmtId="0" fontId="6" fillId="5" borderId="93" xfId="0" quotePrefix="1" applyFont="1" applyFill="1" applyBorder="1" applyAlignment="1">
      <alignment horizontal="center" vertical="center"/>
    </xf>
    <xf numFmtId="0" fontId="0" fillId="5" borderId="88" xfId="0" quotePrefix="1" applyFill="1" applyBorder="1" applyAlignment="1">
      <alignment horizontal="center"/>
    </xf>
    <xf numFmtId="0" fontId="0" fillId="5" borderId="9" xfId="0" quotePrefix="1" applyFill="1" applyBorder="1" applyAlignment="1">
      <alignment horizontal="center" vertical="center"/>
    </xf>
    <xf numFmtId="0" fontId="2" fillId="28" borderId="4" xfId="0" applyFont="1" applyFill="1" applyBorder="1" applyAlignment="1">
      <alignment horizontal="center" vertical="center" wrapText="1"/>
    </xf>
    <xf numFmtId="0" fontId="6" fillId="5" borderId="91" xfId="0" applyFont="1" applyFill="1" applyBorder="1" applyAlignment="1">
      <alignment horizontal="center" vertical="center"/>
    </xf>
    <xf numFmtId="0" fontId="6" fillId="5" borderId="89" xfId="0" applyFont="1" applyFill="1" applyBorder="1" applyAlignment="1">
      <alignment horizontal="center" vertical="center"/>
    </xf>
    <xf numFmtId="0" fontId="6" fillId="5" borderId="12" xfId="0" quotePrefix="1" applyFont="1" applyFill="1" applyBorder="1" applyAlignment="1">
      <alignment horizontal="center" vertical="center"/>
    </xf>
    <xf numFmtId="0" fontId="0" fillId="5" borderId="89" xfId="0" quotePrefix="1" applyFill="1" applyBorder="1" applyAlignment="1">
      <alignment horizontal="center" vertical="center"/>
    </xf>
    <xf numFmtId="0" fontId="0" fillId="5" borderId="93" xfId="0" quotePrefix="1" applyFill="1" applyBorder="1" applyAlignment="1">
      <alignment horizontal="center" vertical="center"/>
    </xf>
    <xf numFmtId="0" fontId="101"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9" fillId="29"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4" borderId="15" xfId="0" applyNumberFormat="1" applyFont="1" applyFill="1" applyBorder="1" applyAlignment="1">
      <alignment horizontal="center"/>
    </xf>
    <xf numFmtId="10" fontId="0" fillId="0" borderId="0" xfId="0" applyNumberFormat="1" applyAlignment="1">
      <alignment horizontal="center"/>
    </xf>
    <xf numFmtId="0" fontId="4" fillId="27" borderId="0" xfId="0" applyFont="1" applyFill="1"/>
    <xf numFmtId="0" fontId="0" fillId="27" borderId="0" xfId="0" applyFill="1"/>
    <xf numFmtId="4" fontId="99" fillId="0" borderId="0" xfId="0" applyNumberFormat="1" applyFont="1" applyAlignment="1">
      <alignment horizontal="center"/>
    </xf>
    <xf numFmtId="0" fontId="99" fillId="0" borderId="0" xfId="0" applyFont="1" applyAlignment="1">
      <alignment horizontal="left"/>
    </xf>
    <xf numFmtId="4" fontId="0" fillId="0" borderId="0" xfId="0" applyNumberFormat="1" applyAlignment="1">
      <alignment horizontal="center" vertical="center"/>
    </xf>
    <xf numFmtId="4" fontId="0" fillId="14" borderId="0" xfId="1" applyNumberFormat="1" applyFont="1" applyFill="1" applyBorder="1" applyAlignment="1">
      <alignment horizontal="center" vertical="center"/>
    </xf>
    <xf numFmtId="0" fontId="0" fillId="14" borderId="0" xfId="0" applyFill="1" applyAlignment="1">
      <alignment horizontal="left" vertical="center"/>
    </xf>
    <xf numFmtId="4" fontId="99" fillId="0" borderId="0" xfId="1" applyNumberFormat="1" applyFont="1" applyBorder="1" applyAlignment="1">
      <alignment horizontal="center" vertical="center"/>
    </xf>
    <xf numFmtId="0" fontId="99" fillId="0" borderId="0" xfId="0" applyFont="1" applyAlignment="1">
      <alignment horizontal="left" vertical="center"/>
    </xf>
    <xf numFmtId="4" fontId="0" fillId="14" borderId="0" xfId="0" applyNumberFormat="1" applyFill="1" applyAlignment="1">
      <alignment horizontal="center" vertical="center"/>
    </xf>
    <xf numFmtId="4" fontId="99" fillId="0" borderId="0" xfId="0" applyNumberFormat="1" applyFont="1" applyAlignment="1">
      <alignment horizontal="center" vertical="center"/>
    </xf>
    <xf numFmtId="4" fontId="100" fillId="0" borderId="0" xfId="1" applyNumberFormat="1" applyFont="1" applyBorder="1" applyAlignment="1">
      <alignment horizontal="center" vertical="center"/>
    </xf>
    <xf numFmtId="4" fontId="4" fillId="14" borderId="0" xfId="1" applyNumberFormat="1" applyFont="1" applyFill="1" applyBorder="1" applyAlignment="1">
      <alignment horizontal="center" vertical="center"/>
    </xf>
    <xf numFmtId="4" fontId="100" fillId="5" borderId="0" xfId="1" applyNumberFormat="1" applyFont="1" applyFill="1" applyBorder="1" applyAlignment="1">
      <alignment horizontal="center" vertical="center"/>
    </xf>
    <xf numFmtId="0" fontId="84" fillId="27" borderId="0" xfId="0" applyFont="1" applyFill="1"/>
    <xf numFmtId="0" fontId="84" fillId="27" borderId="0" xfId="0" applyFont="1" applyFill="1" applyAlignment="1">
      <alignment horizontal="left"/>
    </xf>
    <xf numFmtId="0" fontId="0" fillId="27" borderId="0" xfId="0" applyFill="1" applyAlignment="1">
      <alignment horizontal="center"/>
    </xf>
    <xf numFmtId="2" fontId="0" fillId="14" borderId="0" xfId="1" applyNumberFormat="1" applyFont="1" applyFill="1" applyBorder="1" applyAlignment="1">
      <alignment horizontal="center" vertical="center"/>
    </xf>
    <xf numFmtId="0" fontId="0" fillId="0" borderId="15" xfId="0" applyBorder="1" applyAlignment="1">
      <alignment horizontal="right"/>
    </xf>
    <xf numFmtId="170" fontId="0" fillId="14" borderId="15" xfId="1" applyNumberFormat="1" applyFont="1" applyFill="1" applyBorder="1" applyAlignment="1">
      <alignment horizontal="center"/>
    </xf>
    <xf numFmtId="170" fontId="0" fillId="14" borderId="15" xfId="0" applyNumberFormat="1" applyFill="1" applyBorder="1" applyAlignment="1">
      <alignment horizontal="center"/>
    </xf>
    <xf numFmtId="0" fontId="69" fillId="14" borderId="0" xfId="0" applyFont="1" applyFill="1" applyAlignment="1">
      <alignment horizontal="center"/>
    </xf>
    <xf numFmtId="0" fontId="69" fillId="0" borderId="0" xfId="0" applyFont="1" applyAlignment="1">
      <alignment horizontal="left" indent="1"/>
    </xf>
    <xf numFmtId="10" fontId="69" fillId="14" borderId="0" xfId="0" applyNumberFormat="1" applyFont="1" applyFill="1" applyAlignment="1">
      <alignment horizontal="center" vertical="center"/>
    </xf>
    <xf numFmtId="10" fontId="69" fillId="14" borderId="101" xfId="0" applyNumberFormat="1" applyFont="1" applyFill="1" applyBorder="1" applyAlignment="1">
      <alignment horizontal="center" vertical="center"/>
    </xf>
    <xf numFmtId="10" fontId="0" fillId="14" borderId="101" xfId="0" applyNumberFormat="1" applyFill="1" applyBorder="1" applyAlignment="1">
      <alignment horizontal="center"/>
    </xf>
    <xf numFmtId="0" fontId="4" fillId="5" borderId="31" xfId="0" applyFont="1" applyFill="1" applyBorder="1"/>
    <xf numFmtId="0" fontId="0" fillId="5" borderId="31" xfId="0" applyFill="1" applyBorder="1" applyAlignment="1">
      <alignment wrapText="1"/>
    </xf>
    <xf numFmtId="0" fontId="0" fillId="5" borderId="31" xfId="0" applyFill="1" applyBorder="1" applyAlignment="1">
      <alignment horizontal="left" vertical="center" wrapText="1"/>
    </xf>
    <xf numFmtId="0" fontId="5" fillId="5" borderId="31" xfId="0" applyFont="1" applyFill="1" applyBorder="1" applyAlignment="1">
      <alignment wrapText="1"/>
    </xf>
    <xf numFmtId="0" fontId="0" fillId="5" borderId="31" xfId="0" applyFill="1" applyBorder="1" applyAlignment="1">
      <alignment vertical="center" wrapText="1"/>
    </xf>
    <xf numFmtId="10" fontId="14" fillId="10" borderId="3" xfId="3" applyNumberFormat="1" applyFont="1" applyFill="1" applyBorder="1" applyAlignment="1">
      <alignment horizontal="center"/>
    </xf>
    <xf numFmtId="0" fontId="12" fillId="0" borderId="0" xfId="0" applyFont="1"/>
    <xf numFmtId="0" fontId="39" fillId="0" borderId="0" xfId="6"/>
    <xf numFmtId="0" fontId="0" fillId="5" borderId="0" xfId="0" quotePrefix="1" applyFill="1"/>
    <xf numFmtId="10" fontId="4" fillId="14" borderId="31" xfId="1" applyNumberFormat="1" applyFont="1" applyFill="1" applyBorder="1" applyAlignment="1">
      <alignment horizontal="center" vertical="center"/>
    </xf>
    <xf numFmtId="168" fontId="5" fillId="14" borderId="58"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80" fillId="0" borderId="0" xfId="0" applyFont="1" applyAlignment="1">
      <alignment horizontal="left" indent="1"/>
    </xf>
    <xf numFmtId="0" fontId="80" fillId="0" borderId="31" xfId="0" applyFont="1" applyBorder="1" applyAlignment="1">
      <alignment horizontal="left" indent="2"/>
    </xf>
    <xf numFmtId="0" fontId="80" fillId="0" borderId="0" xfId="0" applyFont="1" applyAlignment="1">
      <alignment horizontal="left" indent="2"/>
    </xf>
    <xf numFmtId="0" fontId="13" fillId="0" borderId="0" xfId="2"/>
    <xf numFmtId="0" fontId="13" fillId="5" borderId="0" xfId="2" applyFill="1"/>
    <xf numFmtId="168" fontId="18" fillId="14" borderId="0" xfId="2" applyNumberFormat="1" applyFont="1" applyFill="1"/>
    <xf numFmtId="0" fontId="107" fillId="9" borderId="0" xfId="2" applyFont="1" applyFill="1"/>
    <xf numFmtId="2" fontId="13" fillId="5" borderId="0" xfId="2" applyNumberFormat="1" applyFill="1"/>
    <xf numFmtId="10" fontId="13" fillId="5" borderId="0" xfId="1" applyNumberFormat="1" applyFont="1" applyFill="1" applyBorder="1"/>
    <xf numFmtId="0" fontId="69" fillId="0" borderId="0" xfId="0" applyFont="1" applyAlignment="1">
      <alignment horizontal="right"/>
    </xf>
    <xf numFmtId="0" fontId="0" fillId="0" borderId="7" xfId="0" applyBorder="1"/>
    <xf numFmtId="0" fontId="0" fillId="0" borderId="6" xfId="0" applyBorder="1"/>
    <xf numFmtId="168" fontId="0" fillId="0" borderId="60" xfId="0" applyNumberFormat="1" applyBorder="1" applyAlignment="1">
      <alignment horizontal="center"/>
    </xf>
    <xf numFmtId="0" fontId="0" fillId="5" borderId="0" xfId="0" applyFill="1" applyAlignment="1">
      <alignment vertical="center"/>
    </xf>
    <xf numFmtId="0" fontId="0" fillId="5" borderId="5" xfId="0" applyFill="1" applyBorder="1"/>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8"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13" fillId="5" borderId="0" xfId="0" applyFont="1" applyFill="1" applyAlignment="1">
      <alignment horizontal="left" vertical="center" wrapText="1" indent="1"/>
    </xf>
    <xf numFmtId="0" fontId="114"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9" fillId="0" borderId="0" xfId="6" applyNumberFormat="1" applyProtection="1"/>
    <xf numFmtId="167" fontId="69" fillId="0" borderId="0" xfId="0" applyNumberFormat="1" applyFont="1"/>
    <xf numFmtId="179" fontId="69" fillId="31" borderId="0" xfId="0" quotePrefix="1" applyNumberFormat="1" applyFont="1" applyFill="1" applyAlignment="1" applyProtection="1">
      <alignment horizontal="left"/>
      <protection locked="0"/>
    </xf>
    <xf numFmtId="179" fontId="69" fillId="31" borderId="0" xfId="0" applyNumberFormat="1" applyFont="1" applyFill="1" applyAlignment="1" applyProtection="1">
      <alignment horizontal="left"/>
      <protection locked="0"/>
    </xf>
    <xf numFmtId="167" fontId="116" fillId="0" borderId="0" xfId="0" applyNumberFormat="1" applyFont="1"/>
    <xf numFmtId="167" fontId="69" fillId="31"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80" fillId="0" borderId="0" xfId="0" applyFont="1"/>
    <xf numFmtId="166" fontId="0" fillId="0" borderId="0" xfId="0" applyNumberFormat="1"/>
    <xf numFmtId="11" fontId="0" fillId="0" borderId="0" xfId="0" applyNumberFormat="1"/>
    <xf numFmtId="181" fontId="0" fillId="0" borderId="0" xfId="0" applyNumberFormat="1"/>
    <xf numFmtId="168" fontId="0" fillId="31" borderId="0" xfId="0" applyNumberFormat="1" applyFill="1"/>
    <xf numFmtId="0" fontId="0" fillId="31" borderId="0" xfId="0" applyFill="1"/>
    <xf numFmtId="0" fontId="0" fillId="18" borderId="0" xfId="0" applyFill="1"/>
    <xf numFmtId="165" fontId="0" fillId="0" borderId="0" xfId="0" applyNumberFormat="1"/>
    <xf numFmtId="180" fontId="0" fillId="0" borderId="0" xfId="0" applyNumberFormat="1"/>
    <xf numFmtId="1" fontId="0" fillId="0" borderId="0" xfId="0" applyNumberFormat="1"/>
    <xf numFmtId="167" fontId="117"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2" borderId="0" xfId="0" applyNumberFormat="1" applyFill="1"/>
    <xf numFmtId="0" fontId="2" fillId="0" borderId="0" xfId="0" applyFont="1"/>
    <xf numFmtId="0" fontId="5" fillId="5" borderId="0" xfId="0" applyFont="1" applyFill="1" applyAlignment="1">
      <alignment horizontal="center" vertical="center" wrapText="1"/>
    </xf>
    <xf numFmtId="2" fontId="5" fillId="14"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4" borderId="0" xfId="0" applyNumberFormat="1" applyFont="1" applyFill="1" applyAlignment="1">
      <alignment horizontal="center" vertical="center" wrapText="1"/>
    </xf>
    <xf numFmtId="2" fontId="4" fillId="0" borderId="104" xfId="0" applyNumberFormat="1" applyFont="1" applyBorder="1"/>
    <xf numFmtId="2" fontId="0" fillId="0" borderId="105" xfId="0" applyNumberFormat="1" applyBorder="1"/>
    <xf numFmtId="0" fontId="0" fillId="0" borderId="105" xfId="0" applyBorder="1"/>
    <xf numFmtId="0" fontId="0" fillId="14" borderId="105" xfId="0" applyFill="1" applyBorder="1"/>
    <xf numFmtId="0" fontId="0" fillId="0" borderId="106" xfId="0" applyBorder="1"/>
    <xf numFmtId="165" fontId="0" fillId="0" borderId="25" xfId="0" applyNumberFormat="1" applyBorder="1"/>
    <xf numFmtId="165" fontId="0" fillId="0" borderId="26" xfId="0" applyNumberFormat="1" applyBorder="1"/>
    <xf numFmtId="0" fontId="0" fillId="0" borderId="26" xfId="0" applyBorder="1"/>
    <xf numFmtId="2" fontId="0" fillId="14" borderId="26" xfId="0" applyNumberFormat="1" applyFill="1" applyBorder="1"/>
    <xf numFmtId="0" fontId="0" fillId="0" borderId="27" xfId="0" applyBorder="1"/>
    <xf numFmtId="0" fontId="0" fillId="0" borderId="12" xfId="0" applyBorder="1"/>
    <xf numFmtId="0" fontId="0" fillId="0" borderId="14" xfId="0" applyBorder="1"/>
    <xf numFmtId="168" fontId="0" fillId="14" borderId="0" xfId="0" applyNumberFormat="1" applyFill="1"/>
    <xf numFmtId="168" fontId="4" fillId="31" borderId="0" xfId="0" applyNumberFormat="1" applyFont="1" applyFill="1"/>
    <xf numFmtId="0" fontId="0" fillId="0" borderId="107" xfId="0" applyBorder="1"/>
    <xf numFmtId="1" fontId="0" fillId="14" borderId="108" xfId="0" applyNumberFormat="1" applyFill="1" applyBorder="1" applyAlignment="1">
      <alignment horizontal="center"/>
    </xf>
    <xf numFmtId="0" fontId="36" fillId="27" borderId="0" xfId="0" applyFont="1" applyFill="1" applyAlignment="1">
      <alignment vertical="center"/>
    </xf>
    <xf numFmtId="0" fontId="4" fillId="27" borderId="0" xfId="0" applyFont="1" applyFill="1" applyAlignment="1">
      <alignment vertical="center"/>
    </xf>
    <xf numFmtId="0" fontId="4" fillId="28" borderId="0" xfId="0" applyFont="1" applyFill="1"/>
    <xf numFmtId="2" fontId="0" fillId="14" borderId="105" xfId="0" applyNumberFormat="1" applyFill="1" applyBorder="1"/>
    <xf numFmtId="168" fontId="119" fillId="0" borderId="0" xfId="0" applyNumberFormat="1" applyFont="1"/>
    <xf numFmtId="10" fontId="5" fillId="5" borderId="0" xfId="0" applyNumberFormat="1" applyFont="1" applyFill="1" applyAlignment="1">
      <alignment horizontal="left" vertical="center" wrapText="1"/>
    </xf>
    <xf numFmtId="2" fontId="95" fillId="5" borderId="0" xfId="0" applyNumberFormat="1" applyFont="1" applyFill="1" applyAlignment="1">
      <alignment horizontal="center" vertical="center" wrapText="1"/>
    </xf>
    <xf numFmtId="0" fontId="95" fillId="5" borderId="0" xfId="0" applyFont="1" applyFill="1" applyAlignment="1">
      <alignment horizontal="left" vertical="center" wrapText="1"/>
    </xf>
    <xf numFmtId="0" fontId="4" fillId="28" borderId="0" xfId="0" applyFont="1" applyFill="1" applyAlignment="1">
      <alignment horizontal="left" vertical="center"/>
    </xf>
    <xf numFmtId="2" fontId="8" fillId="28" borderId="0" xfId="0" applyNumberFormat="1" applyFont="1" applyFill="1" applyAlignment="1">
      <alignment horizontal="center" vertical="center" wrapText="1"/>
    </xf>
    <xf numFmtId="0" fontId="8" fillId="28" borderId="0" xfId="0" applyFont="1" applyFill="1" applyAlignment="1">
      <alignment horizontal="left" vertical="center"/>
    </xf>
    <xf numFmtId="0" fontId="4" fillId="5" borderId="0" xfId="0" applyFont="1" applyFill="1" applyAlignment="1">
      <alignment horizontal="left" vertical="center"/>
    </xf>
    <xf numFmtId="2" fontId="8" fillId="5" borderId="0" xfId="0" applyNumberFormat="1" applyFont="1" applyFill="1" applyAlignment="1">
      <alignment horizontal="center" vertical="center" wrapText="1"/>
    </xf>
    <xf numFmtId="0" fontId="8" fillId="5" borderId="0" xfId="0" applyFont="1" applyFill="1" applyAlignment="1">
      <alignment horizontal="left" vertical="center"/>
    </xf>
    <xf numFmtId="1" fontId="5" fillId="14" borderId="0" xfId="0" applyNumberFormat="1" applyFont="1" applyFill="1" applyAlignment="1">
      <alignment horizontal="center" vertical="center" wrapText="1"/>
    </xf>
    <xf numFmtId="2" fontId="8"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4"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9" fillId="0" borderId="0" xfId="0" applyFont="1" applyAlignment="1">
      <alignment horizontal="center"/>
    </xf>
    <xf numFmtId="0" fontId="0" fillId="0" borderId="13" xfId="0" applyBorder="1"/>
    <xf numFmtId="0" fontId="69" fillId="0" borderId="15" xfId="0" applyFont="1" applyBorder="1" applyAlignment="1">
      <alignment horizontal="center"/>
    </xf>
    <xf numFmtId="168" fontId="0" fillId="0" borderId="4" xfId="0" applyNumberFormat="1" applyBorder="1" applyAlignment="1">
      <alignment horizontal="center" vertical="center"/>
    </xf>
    <xf numFmtId="0" fontId="69" fillId="0" borderId="4" xfId="0" applyFont="1" applyBorder="1" applyAlignment="1">
      <alignment horizontal="center" vertical="center"/>
    </xf>
    <xf numFmtId="3" fontId="0" fillId="0" borderId="4" xfId="0" applyNumberFormat="1" applyBorder="1" applyAlignment="1">
      <alignment horizontal="center" vertical="center"/>
    </xf>
    <xf numFmtId="3" fontId="0" fillId="14"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9" fillId="6" borderId="0" xfId="0" applyFont="1" applyFill="1" applyAlignment="1">
      <alignment horizontal="center"/>
    </xf>
    <xf numFmtId="0" fontId="36" fillId="6" borderId="0" xfId="0" applyFont="1" applyFill="1"/>
    <xf numFmtId="0" fontId="52" fillId="27" borderId="4" xfId="0" applyFont="1" applyFill="1" applyBorder="1" applyAlignment="1">
      <alignment horizontal="center" vertical="center" wrapText="1"/>
    </xf>
    <xf numFmtId="0" fontId="4" fillId="27" borderId="5" xfId="0" applyFont="1" applyFill="1" applyBorder="1" applyAlignment="1">
      <alignment horizontal="center" vertical="center"/>
    </xf>
    <xf numFmtId="0" fontId="4" fillId="27" borderId="5" xfId="0" applyFont="1" applyFill="1" applyBorder="1" applyAlignment="1">
      <alignment horizontal="center"/>
    </xf>
    <xf numFmtId="0" fontId="4" fillId="27"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58" xfId="0" applyNumberFormat="1" applyBorder="1" applyAlignment="1">
      <alignment horizontal="center" vertical="center"/>
    </xf>
    <xf numFmtId="3" fontId="0" fillId="0" borderId="58"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105" xfId="0" applyNumberFormat="1" applyFont="1" applyBorder="1"/>
    <xf numFmtId="168" fontId="4" fillId="27" borderId="0" xfId="0" applyNumberFormat="1" applyFont="1" applyFill="1"/>
    <xf numFmtId="167" fontId="118" fillId="0" borderId="0" xfId="0" applyNumberFormat="1" applyFont="1"/>
    <xf numFmtId="0" fontId="4" fillId="29" borderId="12" xfId="0" applyFont="1" applyFill="1" applyBorder="1" applyAlignment="1">
      <alignment horizontal="center"/>
    </xf>
    <xf numFmtId="0" fontId="4" fillId="29" borderId="15" xfId="0" applyFont="1" applyFill="1" applyBorder="1"/>
    <xf numFmtId="167" fontId="118" fillId="0" borderId="0" xfId="0" applyNumberFormat="1" applyFont="1" applyAlignment="1">
      <alignment horizontal="left"/>
    </xf>
    <xf numFmtId="168" fontId="4" fillId="27" borderId="0" xfId="0" applyNumberFormat="1" applyFont="1" applyFill="1" applyAlignment="1">
      <alignment vertical="center"/>
    </xf>
    <xf numFmtId="1" fontId="4" fillId="29" borderId="12" xfId="0" applyNumberFormat="1" applyFont="1" applyFill="1" applyBorder="1" applyAlignment="1">
      <alignment horizontal="center"/>
    </xf>
    <xf numFmtId="0" fontId="69"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30"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58"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4" borderId="107" xfId="0" applyNumberFormat="1" applyFill="1" applyBorder="1" applyAlignment="1">
      <alignment horizontal="center"/>
    </xf>
    <xf numFmtId="1" fontId="0" fillId="14" borderId="109"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4" fillId="16"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0" fontId="2" fillId="6" borderId="3" xfId="0" applyFont="1" applyFill="1" applyBorder="1" applyAlignment="1">
      <alignment horizontal="center"/>
    </xf>
    <xf numFmtId="9" fontId="63" fillId="0" borderId="39" xfId="1" applyFont="1" applyFill="1" applyBorder="1" applyAlignment="1">
      <alignment horizontal="center" vertical="center"/>
    </xf>
    <xf numFmtId="0" fontId="69" fillId="0" borderId="31" xfId="0" applyFont="1" applyBorder="1" applyAlignment="1">
      <alignment horizontal="right" indent="1"/>
    </xf>
    <xf numFmtId="0" fontId="69" fillId="0" borderId="31" xfId="0" applyFont="1" applyBorder="1" applyAlignment="1">
      <alignment horizontal="center" vertical="center"/>
    </xf>
    <xf numFmtId="0" fontId="101" fillId="14" borderId="31" xfId="1" applyNumberFormat="1" applyFont="1" applyFill="1" applyBorder="1" applyAlignment="1">
      <alignment horizontal="center"/>
    </xf>
    <xf numFmtId="0" fontId="0" fillId="0" borderId="31" xfId="0" applyBorder="1" applyAlignment="1">
      <alignment horizontal="left" indent="2"/>
    </xf>
    <xf numFmtId="0" fontId="2" fillId="6" borderId="5" xfId="0" applyFont="1" applyFill="1" applyBorder="1"/>
    <xf numFmtId="3" fontId="0" fillId="0" borderId="14" xfId="0" applyNumberFormat="1" applyBorder="1" applyAlignment="1">
      <alignment horizontal="center"/>
    </xf>
    <xf numFmtId="3" fontId="0" fillId="0" borderId="5" xfId="0" applyNumberFormat="1" applyBorder="1" applyAlignment="1">
      <alignment horizontal="center"/>
    </xf>
    <xf numFmtId="3" fontId="0" fillId="0" borderId="87" xfId="0" applyNumberFormat="1" applyBorder="1" applyAlignment="1">
      <alignment horizontal="center"/>
    </xf>
    <xf numFmtId="0" fontId="2" fillId="6" borderId="58" xfId="0" applyFont="1" applyFill="1" applyBorder="1" applyAlignment="1">
      <alignment horizontal="center"/>
    </xf>
    <xf numFmtId="3" fontId="0" fillId="0" borderId="58" xfId="0" applyNumberFormat="1" applyBorder="1" applyAlignment="1">
      <alignment horizontal="center"/>
    </xf>
    <xf numFmtId="3" fontId="0" fillId="0" borderId="23" xfId="0" applyNumberFormat="1" applyBorder="1" applyAlignment="1">
      <alignment horizontal="center"/>
    </xf>
    <xf numFmtId="3" fontId="0" fillId="0" borderId="60" xfId="0" applyNumberFormat="1" applyBorder="1" applyAlignment="1">
      <alignment horizontal="center"/>
    </xf>
    <xf numFmtId="3" fontId="0" fillId="0" borderId="110" xfId="0" applyNumberFormat="1" applyBorder="1" applyAlignment="1">
      <alignment horizontal="center"/>
    </xf>
    <xf numFmtId="0" fontId="2" fillId="6" borderId="114" xfId="0" applyFont="1" applyFill="1" applyBorder="1"/>
    <xf numFmtId="3" fontId="0" fillId="0" borderId="114" xfId="0" applyNumberFormat="1" applyBorder="1" applyAlignment="1">
      <alignment horizontal="center"/>
    </xf>
    <xf numFmtId="3" fontId="0" fillId="0" borderId="115" xfId="0" applyNumberFormat="1" applyBorder="1" applyAlignment="1">
      <alignment horizontal="center"/>
    </xf>
    <xf numFmtId="3" fontId="0" fillId="0" borderId="116" xfId="0" applyNumberFormat="1" applyBorder="1" applyAlignment="1">
      <alignment horizontal="center"/>
    </xf>
    <xf numFmtId="3" fontId="0" fillId="0" borderId="117" xfId="0" applyNumberFormat="1" applyBorder="1" applyAlignment="1">
      <alignment horizontal="center"/>
    </xf>
    <xf numFmtId="174" fontId="0" fillId="14" borderId="4" xfId="4" applyNumberFormat="1" applyFont="1" applyFill="1" applyBorder="1" applyAlignment="1">
      <alignment horizontal="center" vertical="center"/>
    </xf>
    <xf numFmtId="0" fontId="0" fillId="0" borderId="118" xfId="0" applyBorder="1" applyAlignment="1">
      <alignment horizontal="center" wrapText="1"/>
    </xf>
    <xf numFmtId="0" fontId="0" fillId="0" borderId="119"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4" borderId="4" xfId="0" applyFill="1" applyBorder="1"/>
    <xf numFmtId="0" fontId="91" fillId="0" borderId="0" xfId="0" applyFont="1"/>
    <xf numFmtId="0" fontId="69" fillId="5" borderId="0" xfId="0" applyFont="1" applyFill="1" applyAlignment="1">
      <alignment horizontal="center"/>
    </xf>
    <xf numFmtId="0" fontId="70" fillId="5" borderId="0" xfId="0" applyFont="1" applyFill="1" applyAlignment="1">
      <alignment horizontal="right"/>
    </xf>
    <xf numFmtId="0" fontId="123" fillId="5" borderId="0" xfId="0" applyFont="1" applyFill="1" applyAlignment="1">
      <alignment horizontal="right"/>
    </xf>
    <xf numFmtId="1" fontId="0" fillId="5" borderId="0" xfId="0" applyNumberFormat="1" applyFill="1"/>
    <xf numFmtId="167" fontId="91" fillId="0" borderId="0" xfId="0" applyNumberFormat="1" applyFont="1"/>
    <xf numFmtId="0" fontId="59" fillId="5" borderId="0" xfId="0" applyFont="1" applyFill="1" applyAlignment="1">
      <alignment horizontal="left"/>
    </xf>
    <xf numFmtId="164" fontId="0" fillId="5" borderId="0" xfId="0" applyNumberFormat="1" applyFill="1"/>
    <xf numFmtId="0" fontId="12" fillId="5" borderId="0" xfId="0" applyFont="1" applyFill="1" applyAlignment="1">
      <alignment wrapText="1"/>
    </xf>
    <xf numFmtId="169" fontId="0" fillId="5" borderId="0" xfId="1" applyNumberFormat="1" applyFont="1" applyFill="1"/>
    <xf numFmtId="0" fontId="12" fillId="5" borderId="0" xfId="0" applyFont="1" applyFill="1"/>
    <xf numFmtId="0" fontId="26" fillId="5" borderId="6" xfId="0" applyFont="1" applyFill="1" applyBorder="1"/>
    <xf numFmtId="0" fontId="26" fillId="5" borderId="8" xfId="0" applyFont="1" applyFill="1" applyBorder="1" applyAlignment="1">
      <alignment horizontal="center"/>
    </xf>
    <xf numFmtId="0" fontId="26" fillId="5" borderId="11" xfId="0" applyFont="1" applyFill="1" applyBorder="1"/>
    <xf numFmtId="0" fontId="26" fillId="5" borderId="12" xfId="0" applyFont="1" applyFill="1" applyBorder="1" applyAlignment="1">
      <alignment horizontal="center"/>
    </xf>
    <xf numFmtId="0" fontId="26" fillId="5" borderId="13" xfId="0" applyFont="1" applyFill="1" applyBorder="1"/>
    <xf numFmtId="0" fontId="26" fillId="5" borderId="14" xfId="0" applyFont="1" applyFill="1" applyBorder="1" applyAlignment="1">
      <alignment horizontal="center"/>
    </xf>
    <xf numFmtId="0" fontId="68"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8"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3" fillId="5" borderId="0" xfId="0" applyFont="1" applyFill="1" applyAlignment="1">
      <alignment horizontal="center" vertical="center"/>
    </xf>
    <xf numFmtId="0" fontId="63" fillId="5" borderId="0" xfId="0" applyFont="1" applyFill="1"/>
    <xf numFmtId="0" fontId="63" fillId="5" borderId="9" xfId="0" applyFont="1" applyFill="1" applyBorder="1" applyAlignment="1">
      <alignment horizontal="center" vertical="center" wrapText="1"/>
    </xf>
    <xf numFmtId="0" fontId="63" fillId="5" borderId="10" xfId="0" applyFont="1" applyFill="1" applyBorder="1" applyAlignment="1">
      <alignment horizontal="center" vertical="center" wrapText="1"/>
    </xf>
    <xf numFmtId="0" fontId="63" fillId="5" borderId="110" xfId="0" applyFont="1" applyFill="1" applyBorder="1" applyAlignment="1">
      <alignment horizontal="center" vertical="center" wrapText="1"/>
    </xf>
    <xf numFmtId="0" fontId="63" fillId="5" borderId="91" xfId="0" applyFont="1" applyFill="1" applyBorder="1" applyAlignment="1">
      <alignment horizontal="center" vertical="center" wrapText="1"/>
    </xf>
    <xf numFmtId="0" fontId="68" fillId="5" borderId="0" xfId="0" applyFont="1" applyFill="1" applyAlignment="1">
      <alignment vertical="center" wrapText="1"/>
    </xf>
    <xf numFmtId="0" fontId="69" fillId="5" borderId="0" xfId="0" applyFont="1" applyFill="1" applyAlignment="1">
      <alignment horizontal="right"/>
    </xf>
    <xf numFmtId="0" fontId="54" fillId="17" borderId="4" xfId="0" applyFont="1" applyFill="1" applyBorder="1" applyAlignment="1">
      <alignment horizontal="center" vertical="center"/>
    </xf>
    <xf numFmtId="0" fontId="52" fillId="27" borderId="5" xfId="0" applyFont="1" applyFill="1" applyBorder="1" applyAlignment="1">
      <alignment horizontal="center" vertical="center" wrapText="1"/>
    </xf>
    <xf numFmtId="0" fontId="52" fillId="27" borderId="9" xfId="0" applyFont="1" applyFill="1" applyBorder="1" applyAlignment="1">
      <alignment horizontal="center" vertical="center" wrapText="1"/>
    </xf>
    <xf numFmtId="0" fontId="52" fillId="27" borderId="23" xfId="0" applyFont="1" applyFill="1" applyBorder="1" applyAlignment="1">
      <alignment horizontal="center" vertical="center" wrapText="1"/>
    </xf>
    <xf numFmtId="0" fontId="52" fillId="27" borderId="14" xfId="0" applyFont="1" applyFill="1" applyBorder="1" applyAlignment="1">
      <alignment horizontal="center" vertical="center" wrapText="1"/>
    </xf>
    <xf numFmtId="0" fontId="52" fillId="27" borderId="21" xfId="0" applyFont="1" applyFill="1" applyBorder="1" applyAlignment="1">
      <alignment horizontal="center" vertical="center" wrapText="1"/>
    </xf>
    <xf numFmtId="10" fontId="5" fillId="14"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30" borderId="0" xfId="0" applyFill="1"/>
    <xf numFmtId="181" fontId="0" fillId="14" borderId="0" xfId="0" applyNumberFormat="1" applyFill="1"/>
    <xf numFmtId="0" fontId="80" fillId="0" borderId="0" xfId="0" applyFont="1" applyAlignment="1">
      <alignment horizontal="left"/>
    </xf>
    <xf numFmtId="11" fontId="0" fillId="14" borderId="0" xfId="0" applyNumberFormat="1" applyFill="1"/>
    <xf numFmtId="10" fontId="5" fillId="14" borderId="0" xfId="0" applyNumberFormat="1" applyFont="1" applyFill="1" applyAlignment="1">
      <alignment horizontal="center" vertical="center"/>
    </xf>
    <xf numFmtId="0" fontId="5" fillId="14" borderId="0" xfId="0" applyFont="1" applyFill="1" applyAlignment="1">
      <alignment horizontal="center" vertical="center" wrapText="1"/>
    </xf>
    <xf numFmtId="9" fontId="0" fillId="14" borderId="8" xfId="0" applyNumberFormat="1" applyFill="1" applyBorder="1" applyAlignment="1">
      <alignment horizontal="center"/>
    </xf>
    <xf numFmtId="10" fontId="0" fillId="14" borderId="12" xfId="0" applyNumberFormat="1" applyFill="1" applyBorder="1" applyAlignment="1">
      <alignment horizontal="center"/>
    </xf>
    <xf numFmtId="10" fontId="0" fillId="14" borderId="14" xfId="0" applyNumberFormat="1" applyFill="1" applyBorder="1" applyAlignment="1">
      <alignment horizontal="center"/>
    </xf>
    <xf numFmtId="10" fontId="132" fillId="14" borderId="0" xfId="0" applyNumberFormat="1" applyFont="1" applyFill="1" applyAlignment="1">
      <alignment horizontal="center" vertical="center"/>
    </xf>
    <xf numFmtId="0" fontId="132" fillId="0" borderId="0" xfId="0" applyFont="1" applyAlignment="1">
      <alignment horizontal="left" indent="1"/>
    </xf>
    <xf numFmtId="10" fontId="0" fillId="0" borderId="0" xfId="0" applyNumberFormat="1"/>
    <xf numFmtId="169" fontId="0" fillId="0" borderId="0" xfId="1" applyNumberFormat="1" applyFont="1"/>
    <xf numFmtId="178" fontId="69"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5" borderId="0" xfId="0" applyFont="1" applyFill="1" applyAlignment="1">
      <alignment horizontal="center"/>
    </xf>
    <xf numFmtId="0" fontId="145" fillId="5" borderId="0" xfId="0" applyFont="1" applyFill="1" applyAlignment="1">
      <alignment horizontal="right"/>
    </xf>
    <xf numFmtId="0" fontId="39" fillId="0" borderId="0" xfId="6" applyFill="1"/>
    <xf numFmtId="0" fontId="39" fillId="5" borderId="0" xfId="6" applyFill="1"/>
    <xf numFmtId="0" fontId="80" fillId="0" borderId="0" xfId="0" quotePrefix="1" applyFont="1"/>
    <xf numFmtId="0" fontId="146" fillId="0" borderId="0" xfId="0" applyFont="1"/>
    <xf numFmtId="9" fontId="5" fillId="14" borderId="0" xfId="1" applyFont="1" applyFill="1" applyAlignment="1">
      <alignment horizontal="center"/>
    </xf>
    <xf numFmtId="0" fontId="69" fillId="0" borderId="0" xfId="0" applyFont="1" applyAlignment="1">
      <alignment horizontal="left" vertical="center"/>
    </xf>
    <xf numFmtId="9" fontId="5" fillId="5" borderId="0" xfId="1" applyFont="1" applyFill="1" applyAlignment="1">
      <alignment horizontal="center" vertical="center" wrapText="1"/>
    </xf>
    <xf numFmtId="9" fontId="5" fillId="14" borderId="0" xfId="1" applyFont="1" applyFill="1" applyAlignment="1">
      <alignment horizontal="center" vertical="center" wrapText="1"/>
    </xf>
    <xf numFmtId="0" fontId="95" fillId="5" borderId="0" xfId="1" quotePrefix="1" applyNumberFormat="1" applyFont="1" applyFill="1" applyAlignment="1">
      <alignment horizontal="center" vertical="center" wrapText="1"/>
    </xf>
    <xf numFmtId="9" fontId="95" fillId="5" borderId="0" xfId="1" applyFont="1" applyFill="1" applyAlignment="1">
      <alignment horizontal="center" vertical="center" wrapText="1"/>
    </xf>
    <xf numFmtId="9" fontId="95" fillId="5" borderId="0" xfId="1" quotePrefix="1" applyFont="1" applyFill="1" applyAlignment="1">
      <alignment horizontal="center" vertical="center" wrapText="1"/>
    </xf>
    <xf numFmtId="9" fontId="95" fillId="0" borderId="0" xfId="1" quotePrefix="1" applyFont="1" applyFill="1" applyAlignment="1">
      <alignment horizontal="center" vertical="center" wrapText="1"/>
    </xf>
    <xf numFmtId="2" fontId="124"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8" borderId="4" xfId="0" applyNumberFormat="1" applyFill="1" applyBorder="1" applyAlignment="1">
      <alignment horizontal="center" vertical="center"/>
    </xf>
    <xf numFmtId="9" fontId="0" fillId="5" borderId="0" xfId="1" applyFont="1" applyFill="1"/>
    <xf numFmtId="0" fontId="0" fillId="7" borderId="9" xfId="0" applyFill="1" applyBorder="1" applyAlignment="1">
      <alignment horizontal="center" vertical="center" wrapText="1"/>
    </xf>
    <xf numFmtId="0" fontId="0" fillId="7" borderId="10" xfId="0" applyFill="1" applyBorder="1" applyAlignment="1">
      <alignment horizontal="center"/>
    </xf>
    <xf numFmtId="0" fontId="0" fillId="7" borderId="5" xfId="0" applyFill="1" applyBorder="1" applyAlignment="1">
      <alignment horizontal="center"/>
    </xf>
    <xf numFmtId="0" fontId="0" fillId="7" borderId="0" xfId="0" applyFill="1" applyAlignment="1">
      <alignment horizontal="center"/>
    </xf>
    <xf numFmtId="0" fontId="26" fillId="5" borderId="0" xfId="0" applyFont="1" applyFill="1" applyAlignment="1">
      <alignment horizontal="left" vertical="center"/>
    </xf>
    <xf numFmtId="0" fontId="54" fillId="17" borderId="4" xfId="0" applyFont="1" applyFill="1" applyBorder="1" applyAlignment="1">
      <alignment horizontal="center" vertical="center" wrapText="1"/>
    </xf>
    <xf numFmtId="3" fontId="49" fillId="23" borderId="4" xfId="0" applyNumberFormat="1" applyFont="1" applyFill="1" applyBorder="1" applyAlignment="1" applyProtection="1">
      <alignment horizontal="center" vertical="center"/>
      <protection locked="0"/>
    </xf>
    <xf numFmtId="0" fontId="149" fillId="0" borderId="0" xfId="0" applyFont="1" applyAlignment="1">
      <alignment vertical="center"/>
    </xf>
    <xf numFmtId="0" fontId="49" fillId="5" borderId="0" xfId="0" applyFont="1" applyFill="1" applyAlignment="1">
      <alignment horizontal="left" vertical="center"/>
    </xf>
    <xf numFmtId="0" fontId="48" fillId="5" borderId="0" xfId="0" applyFont="1" applyFill="1" applyAlignment="1">
      <alignment vertical="center"/>
    </xf>
    <xf numFmtId="0" fontId="51" fillId="5" borderId="0" xfId="0" applyFont="1" applyFill="1" applyAlignment="1">
      <alignment horizontal="right" vertical="center"/>
    </xf>
    <xf numFmtId="0" fontId="53" fillId="5" borderId="0" xfId="0" applyFont="1" applyFill="1" applyAlignment="1">
      <alignment vertical="center"/>
    </xf>
    <xf numFmtId="0" fontId="26" fillId="5" borderId="0" xfId="0" applyFont="1" applyFill="1" applyAlignment="1">
      <alignment vertical="center"/>
    </xf>
    <xf numFmtId="0" fontId="142" fillId="5" borderId="0" xfId="0" applyFont="1" applyFill="1" applyAlignment="1" applyProtection="1">
      <alignment horizontal="center" vertical="center"/>
      <protection locked="0"/>
    </xf>
    <xf numFmtId="3" fontId="49" fillId="5" borderId="35" xfId="0" applyNumberFormat="1" applyFont="1" applyFill="1" applyBorder="1" applyAlignment="1" applyProtection="1">
      <alignment horizontal="center" vertical="center"/>
      <protection locked="0"/>
    </xf>
    <xf numFmtId="0" fontId="50" fillId="5" borderId="0" xfId="0" applyFont="1" applyFill="1" applyAlignment="1" applyProtection="1">
      <alignment horizontal="left" vertical="center"/>
      <protection locked="0"/>
    </xf>
    <xf numFmtId="0" fontId="49" fillId="5" borderId="0" xfId="0" applyFont="1" applyFill="1" applyAlignment="1">
      <alignment horizontal="center" vertical="center"/>
    </xf>
    <xf numFmtId="0" fontId="50" fillId="5" borderId="0" xfId="0" applyFont="1" applyFill="1" applyAlignment="1" applyProtection="1">
      <alignment horizontal="center" vertical="center"/>
      <protection locked="0"/>
    </xf>
    <xf numFmtId="0" fontId="136" fillId="5" borderId="0" xfId="0" applyFont="1" applyFill="1" applyAlignment="1">
      <alignment horizontal="left" vertical="center"/>
    </xf>
    <xf numFmtId="0" fontId="49" fillId="5" borderId="0" xfId="0" applyFont="1" applyFill="1" applyAlignment="1">
      <alignment horizontal="right" vertical="center"/>
    </xf>
    <xf numFmtId="9" fontId="49" fillId="5" borderId="0" xfId="1" applyFont="1" applyFill="1" applyBorder="1" applyAlignment="1" applyProtection="1">
      <alignment horizontal="center" vertical="center"/>
      <protection locked="0"/>
    </xf>
    <xf numFmtId="0" fontId="44" fillId="5" borderId="0" xfId="0" applyFont="1" applyFill="1" applyAlignment="1">
      <alignment vertical="center"/>
    </xf>
    <xf numFmtId="3" fontId="49" fillId="5" borderId="0" xfId="0" applyNumberFormat="1" applyFont="1" applyFill="1" applyAlignment="1" applyProtection="1">
      <alignment horizontal="center" vertical="center"/>
      <protection locked="0"/>
    </xf>
    <xf numFmtId="0" fontId="40" fillId="0" borderId="0" xfId="0" applyFont="1" applyAlignment="1">
      <alignment vertical="center"/>
    </xf>
    <xf numFmtId="0" fontId="49" fillId="5" borderId="0" xfId="0" applyFont="1" applyFill="1" applyAlignment="1">
      <alignment horizontal="right" vertical="center" indent="1"/>
    </xf>
    <xf numFmtId="0" fontId="0" fillId="5" borderId="102" xfId="0" applyFill="1" applyBorder="1"/>
    <xf numFmtId="0" fontId="34" fillId="5" borderId="0" xfId="0" applyFont="1" applyFill="1"/>
    <xf numFmtId="0" fontId="159" fillId="5" borderId="0" xfId="0" applyFont="1" applyFill="1"/>
    <xf numFmtId="0" fontId="0" fillId="5" borderId="128" xfId="0" applyFill="1" applyBorder="1"/>
    <xf numFmtId="0" fontId="41" fillId="5" borderId="122" xfId="0" applyFont="1" applyFill="1" applyBorder="1"/>
    <xf numFmtId="0" fontId="157" fillId="5" borderId="122" xfId="0" applyFont="1" applyFill="1" applyBorder="1"/>
    <xf numFmtId="0" fontId="0" fillId="5" borderId="122" xfId="0" applyFill="1" applyBorder="1"/>
    <xf numFmtId="0" fontId="157" fillId="5" borderId="130" xfId="0" applyFont="1" applyFill="1" applyBorder="1"/>
    <xf numFmtId="0" fontId="0" fillId="5" borderId="121" xfId="0" applyFill="1" applyBorder="1"/>
    <xf numFmtId="0" fontId="157" fillId="5" borderId="121" xfId="0" applyFont="1" applyFill="1" applyBorder="1"/>
    <xf numFmtId="0" fontId="0" fillId="5" borderId="123" xfId="0" applyFill="1" applyBorder="1"/>
    <xf numFmtId="0" fontId="0" fillId="5" borderId="129" xfId="0" applyFill="1" applyBorder="1"/>
    <xf numFmtId="0" fontId="0" fillId="5" borderId="126" xfId="0" applyFill="1" applyBorder="1"/>
    <xf numFmtId="0" fontId="153" fillId="5" borderId="122" xfId="0" applyFont="1" applyFill="1" applyBorder="1" applyAlignment="1">
      <alignment vertical="top" wrapText="1"/>
    </xf>
    <xf numFmtId="0" fontId="144" fillId="5" borderId="0" xfId="6" applyFont="1" applyFill="1" applyBorder="1" applyAlignment="1" applyProtection="1"/>
    <xf numFmtId="0" fontId="0" fillId="5" borderId="130" xfId="0" applyFill="1" applyBorder="1"/>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0" fontId="5" fillId="5" borderId="5" xfId="0" applyFont="1" applyFill="1" applyBorder="1" applyAlignment="1">
      <alignment horizontal="center"/>
    </xf>
    <xf numFmtId="0" fontId="0" fillId="5" borderId="35" xfId="0" applyFill="1" applyBorder="1"/>
    <xf numFmtId="0" fontId="158" fillId="17" borderId="6" xfId="0" applyFont="1" applyFill="1" applyBorder="1" applyAlignment="1">
      <alignment horizontal="center" wrapText="1"/>
    </xf>
    <xf numFmtId="0" fontId="158" fillId="17" borderId="8" xfId="0" applyFont="1" applyFill="1" applyBorder="1" applyAlignment="1">
      <alignment horizontal="center" vertical="center" wrapText="1"/>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157" fillId="5" borderId="11" xfId="0" applyFont="1" applyFill="1" applyBorder="1" applyAlignment="1">
      <alignment horizontal="left" vertical="center"/>
    </xf>
    <xf numFmtId="0" fontId="157"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41" fillId="5" borderId="128" xfId="0" applyFont="1" applyFill="1" applyBorder="1"/>
    <xf numFmtId="0" fontId="41" fillId="5" borderId="129" xfId="0" applyFont="1" applyFill="1" applyBorder="1"/>
    <xf numFmtId="9" fontId="100" fillId="0" borderId="0" xfId="1" applyFont="1" applyBorder="1" applyAlignment="1">
      <alignment horizontal="center" vertical="center"/>
    </xf>
    <xf numFmtId="9" fontId="0" fillId="0" borderId="0" xfId="1" applyFont="1"/>
    <xf numFmtId="184" fontId="0" fillId="0" borderId="0" xfId="0" applyNumberFormat="1" applyAlignment="1">
      <alignment horizontal="center" vertical="center"/>
    </xf>
    <xf numFmtId="185" fontId="0" fillId="0" borderId="0" xfId="0" applyNumberFormat="1"/>
    <xf numFmtId="0" fontId="54" fillId="17" borderId="1" xfId="0" applyFont="1" applyFill="1" applyBorder="1" applyAlignment="1">
      <alignment horizontal="center" vertical="center" wrapText="1"/>
    </xf>
    <xf numFmtId="0" fontId="54" fillId="5" borderId="0" xfId="0" applyFont="1" applyFill="1"/>
    <xf numFmtId="0" fontId="54" fillId="5" borderId="0" xfId="0" applyFont="1" applyFill="1" applyAlignment="1">
      <alignment horizontal="center" vertical="center"/>
    </xf>
    <xf numFmtId="0" fontId="54" fillId="5" borderId="0" xfId="0" applyFont="1" applyFill="1" applyAlignment="1">
      <alignment horizontal="center" vertical="center" wrapText="1"/>
    </xf>
    <xf numFmtId="10" fontId="49" fillId="5" borderId="0" xfId="1" applyNumberFormat="1" applyFont="1" applyFill="1" applyBorder="1" applyAlignment="1">
      <alignment horizontal="center" vertical="center"/>
    </xf>
    <xf numFmtId="9" fontId="5" fillId="14" borderId="0" xfId="0" applyNumberFormat="1" applyFont="1" applyFill="1" applyAlignment="1">
      <alignment horizontal="center" vertical="center" wrapText="1"/>
    </xf>
    <xf numFmtId="0" fontId="149" fillId="5" borderId="0" xfId="0" applyFont="1" applyFill="1" applyAlignment="1">
      <alignment vertical="center"/>
    </xf>
    <xf numFmtId="0" fontId="49" fillId="5" borderId="0" xfId="0" applyFont="1" applyFill="1" applyAlignment="1">
      <alignment horizontal="right"/>
    </xf>
    <xf numFmtId="3" fontId="49" fillId="23" borderId="0" xfId="0" applyNumberFormat="1" applyFont="1" applyFill="1" applyAlignment="1" applyProtection="1">
      <alignment horizontal="center" vertical="center"/>
      <protection locked="0"/>
    </xf>
    <xf numFmtId="0" fontId="142" fillId="5" borderId="0" xfId="0" applyFont="1" applyFill="1" applyAlignment="1" applyProtection="1">
      <alignment horizontal="center" vertical="center" wrapText="1"/>
      <protection locked="0"/>
    </xf>
    <xf numFmtId="0" fontId="26" fillId="5" borderId="0" xfId="0" applyFont="1" applyFill="1" applyAlignment="1">
      <alignment horizontal="center" vertical="center" wrapText="1"/>
    </xf>
    <xf numFmtId="0" fontId="48" fillId="5" borderId="0" xfId="0" applyFont="1" applyFill="1" applyAlignment="1">
      <alignment horizontal="center" vertical="center" wrapText="1"/>
    </xf>
    <xf numFmtId="0" fontId="49" fillId="5" borderId="0" xfId="0" applyFont="1" applyFill="1" applyAlignment="1">
      <alignment horizontal="center" vertical="center" wrapText="1"/>
    </xf>
    <xf numFmtId="0" fontId="54" fillId="17" borderId="139" xfId="0" applyFont="1" applyFill="1" applyBorder="1" applyAlignment="1">
      <alignment horizontal="center" vertical="center" wrapText="1"/>
    </xf>
    <xf numFmtId="3" fontId="54" fillId="17" borderId="139" xfId="0" applyNumberFormat="1" applyFont="1" applyFill="1" applyBorder="1" applyAlignment="1" applyProtection="1">
      <alignment horizontal="center" vertical="center" wrapText="1"/>
      <protection locked="0"/>
    </xf>
    <xf numFmtId="0" fontId="49" fillId="4" borderId="139" xfId="0" applyFont="1" applyFill="1" applyBorder="1" applyAlignment="1">
      <alignment horizontal="center" vertical="center"/>
    </xf>
    <xf numFmtId="0" fontId="49" fillId="5" borderId="0" xfId="0" applyFont="1" applyFill="1" applyAlignment="1">
      <alignment vertical="center" wrapText="1"/>
    </xf>
    <xf numFmtId="0" fontId="166" fillId="5" borderId="0" xfId="0" applyFont="1" applyFill="1" applyAlignment="1">
      <alignment vertical="center"/>
    </xf>
    <xf numFmtId="9" fontId="49" fillId="5" borderId="0" xfId="1" applyFont="1" applyFill="1" applyBorder="1" applyAlignment="1">
      <alignment vertical="center"/>
    </xf>
    <xf numFmtId="0" fontId="54" fillId="5" borderId="0" xfId="0" applyFont="1" applyFill="1" applyAlignment="1">
      <alignment vertical="center" wrapText="1"/>
    </xf>
    <xf numFmtId="0" fontId="150" fillId="5" borderId="0" xfId="0" applyFont="1" applyFill="1" applyAlignment="1">
      <alignment vertical="center"/>
    </xf>
    <xf numFmtId="0" fontId="40" fillId="5" borderId="0" xfId="0" applyFont="1" applyFill="1" applyAlignment="1">
      <alignment vertical="center"/>
    </xf>
    <xf numFmtId="0" fontId="168" fillId="5" borderId="0" xfId="0" applyFont="1" applyFill="1" applyAlignment="1" applyProtection="1">
      <alignment horizontal="right" vertical="center"/>
      <protection locked="0"/>
    </xf>
    <xf numFmtId="9" fontId="50" fillId="16" borderId="0" xfId="1" applyFont="1" applyFill="1" applyAlignment="1" applyProtection="1">
      <alignment horizontal="center" vertical="center"/>
      <protection locked="0"/>
    </xf>
    <xf numFmtId="0" fontId="150" fillId="38" borderId="4" xfId="0" applyFont="1" applyFill="1" applyBorder="1" applyAlignment="1">
      <alignment horizontal="center" vertical="center"/>
    </xf>
    <xf numFmtId="0" fontId="150" fillId="38" borderId="139" xfId="0" applyFont="1" applyFill="1" applyBorder="1" applyAlignment="1">
      <alignment vertical="center"/>
    </xf>
    <xf numFmtId="0" fontId="0" fillId="0" borderId="3" xfId="0" applyBorder="1" applyAlignment="1">
      <alignment horizontal="center"/>
    </xf>
    <xf numFmtId="0" fontId="34" fillId="5" borderId="102" xfId="0" applyFont="1" applyFill="1" applyBorder="1"/>
    <xf numFmtId="0" fontId="0" fillId="5" borderId="0" xfId="0" applyFill="1" applyAlignment="1">
      <alignment horizontal="left" vertical="top" indent="10"/>
    </xf>
    <xf numFmtId="0" fontId="138" fillId="5" borderId="0" xfId="0" applyFont="1" applyFill="1" applyAlignment="1">
      <alignment vertical="top"/>
    </xf>
    <xf numFmtId="0" fontId="97" fillId="5" borderId="0" xfId="0" applyFont="1" applyFill="1"/>
    <xf numFmtId="0" fontId="157" fillId="5" borderId="0" xfId="0" applyFont="1" applyFill="1"/>
    <xf numFmtId="0" fontId="158" fillId="5" borderId="0" xfId="0" applyFont="1" applyFill="1"/>
    <xf numFmtId="0" fontId="157" fillId="5" borderId="0" xfId="0" applyFont="1" applyFill="1" applyAlignment="1">
      <alignment vertical="center"/>
    </xf>
    <xf numFmtId="0" fontId="157" fillId="5" borderId="0" xfId="0" applyFont="1" applyFill="1" applyAlignment="1">
      <alignment horizontal="left" indent="5"/>
    </xf>
    <xf numFmtId="0" fontId="157" fillId="5" borderId="0" xfId="0" applyFont="1" applyFill="1" applyAlignment="1">
      <alignment wrapText="1"/>
    </xf>
    <xf numFmtId="0" fontId="0" fillId="23" borderId="0" xfId="0" applyFill="1"/>
    <xf numFmtId="0" fontId="172" fillId="0" borderId="0" xfId="0" applyFont="1"/>
    <xf numFmtId="0" fontId="178" fillId="23" borderId="0" xfId="0" applyFont="1" applyFill="1" applyProtection="1">
      <protection locked="0"/>
    </xf>
    <xf numFmtId="0" fontId="201" fillId="23" borderId="0" xfId="0" applyFont="1" applyFill="1" applyAlignment="1" applyProtection="1">
      <alignment vertical="center"/>
      <protection locked="0"/>
    </xf>
    <xf numFmtId="0" fontId="201" fillId="23" borderId="0" xfId="0" applyFont="1" applyFill="1" applyProtection="1">
      <protection locked="0"/>
    </xf>
    <xf numFmtId="0" fontId="91" fillId="5" borderId="0" xfId="0" applyFont="1" applyFill="1" applyAlignment="1">
      <alignment horizontal="left" vertical="center"/>
    </xf>
    <xf numFmtId="0" fontId="68" fillId="5" borderId="0" xfId="0" applyFont="1" applyFill="1" applyAlignment="1">
      <alignment horizontal="left" vertical="center"/>
    </xf>
    <xf numFmtId="0" fontId="0" fillId="0" borderId="15" xfId="0" applyBorder="1" applyAlignment="1">
      <alignment horizontal="center" vertical="center"/>
    </xf>
    <xf numFmtId="0" fontId="203" fillId="5" borderId="187" xfId="0" applyFont="1" applyFill="1" applyBorder="1" applyAlignment="1" applyProtection="1">
      <alignment vertical="center" wrapText="1"/>
      <protection locked="0"/>
    </xf>
    <xf numFmtId="0" fontId="203" fillId="5" borderId="188" xfId="0" applyFont="1" applyFill="1" applyBorder="1" applyAlignment="1" applyProtection="1">
      <alignment vertical="center" wrapText="1"/>
      <protection locked="0"/>
    </xf>
    <xf numFmtId="44" fontId="203" fillId="5" borderId="189" xfId="18" applyFont="1" applyFill="1" applyBorder="1" applyAlignment="1" applyProtection="1">
      <alignment horizontal="center" vertical="center" wrapText="1"/>
      <protection locked="0"/>
    </xf>
    <xf numFmtId="0" fontId="203" fillId="5" borderId="190" xfId="0" applyFont="1" applyFill="1" applyBorder="1" applyAlignment="1" applyProtection="1">
      <alignment vertical="center" wrapText="1"/>
      <protection locked="0"/>
    </xf>
    <xf numFmtId="0" fontId="203" fillId="5" borderId="191" xfId="0" applyFont="1" applyFill="1" applyBorder="1" applyAlignment="1" applyProtection="1">
      <alignment vertical="center" wrapText="1"/>
      <protection locked="0"/>
    </xf>
    <xf numFmtId="44" fontId="203" fillId="5" borderId="192" xfId="18" applyFont="1" applyFill="1" applyBorder="1" applyAlignment="1" applyProtection="1">
      <alignment horizontal="center" vertical="center" wrapText="1"/>
      <protection locked="0"/>
    </xf>
    <xf numFmtId="0" fontId="203" fillId="5" borderId="193" xfId="0" applyFont="1" applyFill="1" applyBorder="1" applyAlignment="1" applyProtection="1">
      <alignment vertical="center" wrapText="1"/>
      <protection locked="0"/>
    </xf>
    <xf numFmtId="0" fontId="203" fillId="5" borderId="194" xfId="0" applyFont="1" applyFill="1" applyBorder="1" applyAlignment="1" applyProtection="1">
      <alignment vertical="center" wrapText="1"/>
      <protection locked="0"/>
    </xf>
    <xf numFmtId="44" fontId="203" fillId="5" borderId="195" xfId="0" applyNumberFormat="1" applyFont="1" applyFill="1" applyBorder="1" applyAlignment="1" applyProtection="1">
      <alignment horizontal="center" vertical="center" wrapText="1"/>
      <protection locked="0"/>
    </xf>
    <xf numFmtId="174" fontId="177" fillId="5" borderId="35" xfId="0" applyNumberFormat="1" applyFont="1" applyFill="1" applyBorder="1" applyAlignment="1" applyProtection="1">
      <alignment horizontal="center" vertical="center" wrapText="1"/>
      <protection locked="0"/>
    </xf>
    <xf numFmtId="14" fontId="177" fillId="5" borderId="35" xfId="0" applyNumberFormat="1" applyFont="1" applyFill="1" applyBorder="1" applyAlignment="1" applyProtection="1">
      <alignment horizontal="center" vertical="center" wrapText="1"/>
      <protection locked="0"/>
    </xf>
    <xf numFmtId="174" fontId="49" fillId="41" borderId="174" xfId="0" applyNumberFormat="1" applyFont="1" applyFill="1" applyBorder="1" applyAlignment="1" applyProtection="1">
      <alignment horizontal="center" vertical="center"/>
      <protection locked="0"/>
    </xf>
    <xf numFmtId="174" fontId="49" fillId="41" borderId="184" xfId="0" applyNumberFormat="1" applyFont="1" applyFill="1" applyBorder="1" applyAlignment="1" applyProtection="1">
      <alignment horizontal="center" vertical="center"/>
      <protection locked="0"/>
    </xf>
    <xf numFmtId="0" fontId="49" fillId="41" borderId="174" xfId="0" applyFont="1" applyFill="1" applyBorder="1" applyAlignment="1" applyProtection="1">
      <alignment horizontal="center" vertical="center"/>
      <protection locked="0"/>
    </xf>
    <xf numFmtId="0" fontId="49" fillId="41" borderId="184" xfId="0" applyFont="1" applyFill="1" applyBorder="1" applyAlignment="1" applyProtection="1">
      <alignment horizontal="center" vertical="center"/>
      <protection locked="0"/>
    </xf>
    <xf numFmtId="0" fontId="49" fillId="0" borderId="174" xfId="0" applyFont="1" applyBorder="1" applyAlignment="1" applyProtection="1">
      <alignment horizontal="left" vertical="center" wrapText="1"/>
      <protection locked="0"/>
    </xf>
    <xf numFmtId="0" fontId="49" fillId="0" borderId="174" xfId="0" applyFont="1" applyBorder="1" applyAlignment="1" applyProtection="1">
      <alignment horizontal="left" vertical="center" wrapText="1" shrinkToFit="1"/>
      <protection locked="0"/>
    </xf>
    <xf numFmtId="0" fontId="49" fillId="0" borderId="184" xfId="0" applyFont="1" applyBorder="1" applyAlignment="1" applyProtection="1">
      <alignment horizontal="left" vertical="center" wrapText="1" shrinkToFit="1"/>
      <protection locked="0"/>
    </xf>
    <xf numFmtId="0" fontId="34" fillId="23" borderId="0" xfId="0" applyFont="1" applyFill="1"/>
    <xf numFmtId="0" fontId="49" fillId="23" borderId="4" xfId="0" applyFont="1" applyFill="1" applyBorder="1" applyAlignment="1">
      <alignment horizontal="center" vertical="center"/>
    </xf>
    <xf numFmtId="0" fontId="53" fillId="5" borderId="0" xfId="0" applyFont="1" applyFill="1" applyAlignment="1">
      <alignment horizontal="center" vertical="center" wrapText="1"/>
    </xf>
    <xf numFmtId="1" fontId="49" fillId="23" borderId="4" xfId="0" applyNumberFormat="1" applyFont="1" applyFill="1" applyBorder="1" applyAlignment="1">
      <alignment horizontal="center" vertical="center"/>
    </xf>
    <xf numFmtId="9" fontId="49" fillId="23" borderId="4" xfId="1" applyFont="1" applyFill="1" applyBorder="1" applyAlignment="1">
      <alignment horizontal="center" vertical="center"/>
    </xf>
    <xf numFmtId="3" fontId="49" fillId="23" borderId="4" xfId="0" applyNumberFormat="1" applyFont="1" applyFill="1" applyBorder="1" applyAlignment="1">
      <alignment horizontal="center" vertical="center"/>
    </xf>
    <xf numFmtId="9" fontId="49" fillId="23" borderId="1" xfId="1" applyFont="1" applyFill="1" applyBorder="1" applyAlignment="1">
      <alignment horizontal="center" vertical="center"/>
    </xf>
    <xf numFmtId="174" fontId="49" fillId="23" borderId="139" xfId="0" applyNumberFormat="1" applyFont="1" applyFill="1" applyBorder="1" applyAlignment="1">
      <alignment horizontal="center" vertical="center"/>
    </xf>
    <xf numFmtId="0" fontId="49" fillId="23" borderId="139" xfId="0" applyFont="1" applyFill="1" applyBorder="1" applyAlignment="1">
      <alignment horizontal="center" vertical="center"/>
    </xf>
    <xf numFmtId="1" fontId="49" fillId="23" borderId="139" xfId="0" applyNumberFormat="1" applyFont="1" applyFill="1" applyBorder="1" applyAlignment="1" applyProtection="1">
      <alignment horizontal="center" vertical="center"/>
      <protection locked="0"/>
    </xf>
    <xf numFmtId="0" fontId="49" fillId="23" borderId="139" xfId="0" applyFont="1" applyFill="1" applyBorder="1" applyAlignment="1" applyProtection="1">
      <alignment horizontal="center" vertical="center"/>
      <protection locked="0"/>
    </xf>
    <xf numFmtId="3" fontId="49" fillId="23" borderId="139" xfId="0" applyNumberFormat="1" applyFont="1" applyFill="1" applyBorder="1" applyAlignment="1" applyProtection="1">
      <alignment horizontal="center" vertical="center"/>
      <protection locked="0"/>
    </xf>
    <xf numFmtId="0" fontId="49" fillId="5" borderId="4" xfId="1" applyNumberFormat="1" applyFont="1" applyFill="1" applyBorder="1" applyAlignment="1">
      <alignment horizontal="center" vertical="center" wrapText="1"/>
    </xf>
    <xf numFmtId="3" fontId="49" fillId="23" borderId="1" xfId="0" applyNumberFormat="1" applyFont="1" applyFill="1" applyBorder="1" applyAlignment="1">
      <alignment horizontal="center" vertical="center"/>
    </xf>
    <xf numFmtId="0" fontId="150" fillId="38" borderId="1" xfId="0" applyFont="1" applyFill="1" applyBorder="1" applyAlignment="1">
      <alignment horizontal="center" vertical="center"/>
    </xf>
    <xf numFmtId="174" fontId="49" fillId="23" borderId="4" xfId="0" applyNumberFormat="1" applyFont="1" applyFill="1" applyBorder="1" applyAlignment="1">
      <alignment horizontal="center" vertical="center"/>
    </xf>
    <xf numFmtId="3" fontId="53" fillId="5" borderId="0" xfId="0" applyNumberFormat="1" applyFont="1" applyFill="1" applyAlignment="1" applyProtection="1">
      <alignment horizontal="right" vertical="center"/>
      <protection locked="0"/>
    </xf>
    <xf numFmtId="0" fontId="0" fillId="5" borderId="12" xfId="0" applyFill="1" applyBorder="1" applyAlignment="1">
      <alignment horizontal="center" vertical="center"/>
    </xf>
    <xf numFmtId="14" fontId="0" fillId="0" borderId="0" xfId="0" applyNumberFormat="1"/>
    <xf numFmtId="0" fontId="215" fillId="0" borderId="0" xfId="6" applyFont="1"/>
    <xf numFmtId="0" fontId="0" fillId="0" borderId="15" xfId="0" applyBorder="1" applyAlignment="1">
      <alignment horizontal="center"/>
    </xf>
    <xf numFmtId="0" fontId="69" fillId="14" borderId="0" xfId="0" applyFont="1" applyFill="1" applyAlignment="1">
      <alignment horizontal="center" vertical="center"/>
    </xf>
    <xf numFmtId="0" fontId="69" fillId="14" borderId="10" xfId="0" applyFont="1" applyFill="1" applyBorder="1" applyAlignment="1">
      <alignment horizontal="center" vertical="center"/>
    </xf>
    <xf numFmtId="0" fontId="69" fillId="14" borderId="5" xfId="0" applyFont="1" applyFill="1" applyBorder="1" applyAlignment="1">
      <alignment horizontal="center" vertical="center"/>
    </xf>
    <xf numFmtId="0" fontId="0" fillId="0" borderId="12" xfId="0" applyBorder="1" applyAlignment="1">
      <alignment horizontal="center"/>
    </xf>
    <xf numFmtId="168" fontId="4" fillId="0" borderId="0" xfId="0" applyNumberFormat="1" applyFont="1"/>
    <xf numFmtId="168" fontId="69" fillId="5" borderId="12" xfId="0" applyNumberFormat="1" applyFont="1" applyFill="1" applyBorder="1" applyAlignment="1">
      <alignment horizontal="center"/>
    </xf>
    <xf numFmtId="0" fontId="8" fillId="14" borderId="4" xfId="0" applyFont="1" applyFill="1" applyBorder="1" applyAlignment="1">
      <alignment horizontal="center"/>
    </xf>
    <xf numFmtId="9" fontId="0" fillId="14" borderId="4" xfId="0" applyNumberFormat="1" applyFill="1" applyBorder="1" applyAlignment="1">
      <alignment horizontal="center"/>
    </xf>
    <xf numFmtId="168" fontId="69" fillId="5" borderId="14" xfId="0" applyNumberFormat="1" applyFont="1" applyFill="1" applyBorder="1" applyAlignment="1">
      <alignment horizontal="center"/>
    </xf>
    <xf numFmtId="0" fontId="0" fillId="14" borderId="3" xfId="0" applyFill="1" applyBorder="1" applyAlignment="1">
      <alignment horizontal="center"/>
    </xf>
    <xf numFmtId="9" fontId="0" fillId="14" borderId="3" xfId="0" applyNumberFormat="1" applyFill="1" applyBorder="1" applyAlignment="1">
      <alignment horizontal="center"/>
    </xf>
    <xf numFmtId="0" fontId="0" fillId="14" borderId="14" xfId="0" applyFill="1" applyBorder="1" applyAlignment="1">
      <alignment horizontal="center" vertical="center"/>
    </xf>
    <xf numFmtId="0" fontId="0" fillId="5" borderId="8" xfId="0" applyFill="1" applyBorder="1" applyAlignment="1">
      <alignment horizontal="center"/>
    </xf>
    <xf numFmtId="0" fontId="0" fillId="5" borderId="3" xfId="0" applyFill="1" applyBorder="1" applyAlignment="1">
      <alignment horizontal="center" vertical="center"/>
    </xf>
    <xf numFmtId="0" fontId="4" fillId="5" borderId="0" xfId="0" applyFont="1" applyFill="1" applyAlignment="1">
      <alignment horizontal="center" vertical="top"/>
    </xf>
    <xf numFmtId="0" fontId="0" fillId="5" borderId="1" xfId="0" applyFill="1" applyBorder="1"/>
    <xf numFmtId="0" fontId="0" fillId="5" borderId="1" xfId="0" applyFill="1" applyBorder="1" applyAlignment="1">
      <alignment vertical="center"/>
    </xf>
    <xf numFmtId="0" fontId="69" fillId="5" borderId="11" xfId="0" applyFont="1" applyFill="1" applyBorder="1" applyAlignment="1">
      <alignment horizontal="left" indent="1"/>
    </xf>
    <xf numFmtId="0" fontId="69" fillId="5" borderId="13" xfId="0" applyFont="1" applyFill="1" applyBorder="1" applyAlignment="1">
      <alignment horizontal="left" indent="1"/>
    </xf>
    <xf numFmtId="0" fontId="0" fillId="5" borderId="1" xfId="0" applyFill="1" applyBorder="1" applyAlignment="1">
      <alignment wrapText="1"/>
    </xf>
    <xf numFmtId="0" fontId="0" fillId="5" borderId="1" xfId="0" applyFill="1" applyBorder="1" applyAlignment="1">
      <alignment horizontal="left" vertical="center" wrapText="1"/>
    </xf>
    <xf numFmtId="0" fontId="8" fillId="14" borderId="3" xfId="0" applyFont="1" applyFill="1" applyBorder="1" applyAlignment="1">
      <alignment horizontal="center"/>
    </xf>
    <xf numFmtId="1" fontId="0" fillId="5" borderId="2" xfId="0" applyNumberFormat="1" applyFill="1" applyBorder="1" applyAlignment="1">
      <alignment horizontal="center" vertical="center"/>
    </xf>
    <xf numFmtId="0" fontId="0" fillId="5" borderId="7" xfId="0" applyFill="1" applyBorder="1" applyAlignment="1">
      <alignment horizontal="center"/>
    </xf>
    <xf numFmtId="168" fontId="69" fillId="5" borderId="0" xfId="0" applyNumberFormat="1" applyFont="1" applyFill="1" applyAlignment="1">
      <alignment horizontal="center"/>
    </xf>
    <xf numFmtId="168" fontId="69" fillId="5" borderId="15" xfId="0" applyNumberFormat="1" applyFont="1" applyFill="1" applyBorder="1" applyAlignment="1">
      <alignment horizontal="center"/>
    </xf>
    <xf numFmtId="10" fontId="0" fillId="14" borderId="3" xfId="0" applyNumberFormat="1" applyFill="1" applyBorder="1" applyAlignment="1">
      <alignment horizontal="center"/>
    </xf>
    <xf numFmtId="1" fontId="0" fillId="14" borderId="14" xfId="0" applyNumberFormat="1" applyFill="1" applyBorder="1" applyAlignment="1">
      <alignment horizontal="center" vertical="center"/>
    </xf>
    <xf numFmtId="0" fontId="69" fillId="14" borderId="14" xfId="0" applyFont="1" applyFill="1" applyBorder="1" applyAlignment="1">
      <alignment horizontal="center" vertical="center"/>
    </xf>
    <xf numFmtId="9" fontId="4" fillId="4" borderId="213" xfId="0" applyNumberFormat="1" applyFont="1" applyFill="1" applyBorder="1" applyAlignment="1">
      <alignment horizontal="center" vertical="center"/>
    </xf>
    <xf numFmtId="1" fontId="0" fillId="4" borderId="214" xfId="0" applyNumberFormat="1" applyFill="1" applyBorder="1" applyAlignment="1">
      <alignment horizontal="center" vertical="center" wrapText="1"/>
    </xf>
    <xf numFmtId="9" fontId="0" fillId="4" borderId="214" xfId="0" applyNumberFormat="1" applyFill="1" applyBorder="1" applyAlignment="1">
      <alignment horizontal="center"/>
    </xf>
    <xf numFmtId="168" fontId="0" fillId="4" borderId="108" xfId="0" applyNumberFormat="1" applyFill="1" applyBorder="1" applyAlignment="1">
      <alignment horizontal="center"/>
    </xf>
    <xf numFmtId="168" fontId="69" fillId="14" borderId="108" xfId="0" applyNumberFormat="1" applyFont="1" applyFill="1" applyBorder="1" applyAlignment="1">
      <alignment horizontal="center"/>
    </xf>
    <xf numFmtId="2" fontId="69" fillId="14" borderId="215" xfId="0" applyNumberFormat="1" applyFont="1" applyFill="1" applyBorder="1" applyAlignment="1">
      <alignment horizontal="center"/>
    </xf>
    <xf numFmtId="0" fontId="0" fillId="4" borderId="214" xfId="0" applyFill="1" applyBorder="1" applyAlignment="1">
      <alignment horizontal="center"/>
    </xf>
    <xf numFmtId="1" fontId="0" fillId="4" borderId="215" xfId="0" applyNumberFormat="1" applyFill="1" applyBorder="1" applyAlignment="1">
      <alignment horizontal="center" vertical="center"/>
    </xf>
    <xf numFmtId="0" fontId="0" fillId="4" borderId="108" xfId="0" applyFill="1" applyBorder="1" applyAlignment="1">
      <alignment horizontal="center" vertical="center"/>
    </xf>
    <xf numFmtId="0" fontId="69" fillId="5" borderId="108" xfId="0" applyFont="1" applyFill="1" applyBorder="1" applyAlignment="1">
      <alignment horizontal="center" vertical="center"/>
    </xf>
    <xf numFmtId="0" fontId="69" fillId="5" borderId="109" xfId="0" applyFont="1" applyFill="1" applyBorder="1" applyAlignment="1">
      <alignment horizontal="center" vertical="center"/>
    </xf>
    <xf numFmtId="0" fontId="0" fillId="5" borderId="3" xfId="0" applyFill="1" applyBorder="1" applyAlignment="1">
      <alignment horizontal="center"/>
    </xf>
    <xf numFmtId="168" fontId="0" fillId="0" borderId="0" xfId="0" applyNumberFormat="1" applyAlignment="1">
      <alignment horizontal="center" vertical="center"/>
    </xf>
    <xf numFmtId="168" fontId="0" fillId="7" borderId="0" xfId="0" applyNumberFormat="1" applyFill="1" applyAlignment="1">
      <alignment horizontal="center" vertical="center"/>
    </xf>
    <xf numFmtId="175" fontId="0" fillId="0" borderId="0" xfId="0" applyNumberFormat="1"/>
    <xf numFmtId="2" fontId="0" fillId="0" borderId="4" xfId="0" applyNumberFormat="1" applyBorder="1" applyAlignment="1">
      <alignment horizontal="center"/>
    </xf>
    <xf numFmtId="4" fontId="0" fillId="5" borderId="31" xfId="0" applyNumberFormat="1" applyFill="1" applyBorder="1" applyAlignment="1">
      <alignment horizontal="center" vertical="center"/>
    </xf>
    <xf numFmtId="168" fontId="0" fillId="14" borderId="31" xfId="0" quotePrefix="1" applyNumberFormat="1" applyFill="1" applyBorder="1" applyAlignment="1">
      <alignment horizontal="center" vertical="center"/>
    </xf>
    <xf numFmtId="0" fontId="65" fillId="0" borderId="31" xfId="0" applyFont="1" applyBorder="1" applyAlignment="1">
      <alignment horizontal="right" wrapText="1"/>
    </xf>
    <xf numFmtId="168" fontId="65" fillId="30" borderId="31" xfId="0" quotePrefix="1" applyNumberFormat="1" applyFont="1" applyFill="1" applyBorder="1" applyAlignment="1">
      <alignment horizontal="center" vertical="center"/>
    </xf>
    <xf numFmtId="0" fontId="65" fillId="0" borderId="0" xfId="0" quotePrefix="1" applyFont="1"/>
    <xf numFmtId="0" fontId="217" fillId="0" borderId="31" xfId="0" applyFont="1" applyBorder="1" applyAlignment="1">
      <alignment horizontal="right" wrapText="1"/>
    </xf>
    <xf numFmtId="1" fontId="217" fillId="30" borderId="31" xfId="0" quotePrefix="1" applyNumberFormat="1" applyFont="1" applyFill="1" applyBorder="1" applyAlignment="1">
      <alignment horizontal="center" vertical="center"/>
    </xf>
    <xf numFmtId="0" fontId="217" fillId="0" borderId="31" xfId="0" applyFont="1" applyBorder="1"/>
    <xf numFmtId="4" fontId="65" fillId="5" borderId="31" xfId="0" quotePrefix="1" applyNumberFormat="1" applyFont="1" applyFill="1" applyBorder="1" applyAlignment="1">
      <alignment horizontal="left" vertical="center"/>
    </xf>
    <xf numFmtId="0" fontId="0" fillId="5" borderId="31" xfId="0" quotePrefix="1" applyFill="1" applyBorder="1" applyAlignment="1">
      <alignment horizontal="center" vertical="center"/>
    </xf>
    <xf numFmtId="4" fontId="65" fillId="0" borderId="0" xfId="0" applyNumberFormat="1" applyFont="1" applyAlignment="1">
      <alignment horizontal="center" vertical="center"/>
    </xf>
    <xf numFmtId="3" fontId="65" fillId="0" borderId="0" xfId="0" applyNumberFormat="1" applyFont="1" applyAlignment="1">
      <alignment horizontal="center" vertical="center"/>
    </xf>
    <xf numFmtId="0" fontId="65" fillId="0" borderId="4" xfId="0" applyFont="1" applyBorder="1"/>
    <xf numFmtId="1" fontId="69" fillId="0" borderId="0" xfId="0" applyNumberFormat="1" applyFont="1"/>
    <xf numFmtId="167" fontId="0" fillId="0" borderId="0" xfId="0" applyNumberFormat="1" applyAlignment="1">
      <alignment horizontal="center" vertical="center"/>
    </xf>
    <xf numFmtId="1" fontId="65" fillId="30" borderId="31" xfId="0" quotePrefix="1" applyNumberFormat="1" applyFont="1" applyFill="1" applyBorder="1" applyAlignment="1">
      <alignment horizontal="center" vertical="center"/>
    </xf>
    <xf numFmtId="1" fontId="0" fillId="14" borderId="31" xfId="0" quotePrefix="1" applyNumberFormat="1" applyFill="1" applyBorder="1" applyAlignment="1">
      <alignment horizontal="center" vertical="center"/>
    </xf>
    <xf numFmtId="0" fontId="99" fillId="0" borderId="0" xfId="0" applyFont="1" applyAlignment="1">
      <alignment horizontal="left" indent="5"/>
    </xf>
    <xf numFmtId="0" fontId="99" fillId="0" borderId="0" xfId="0" applyFont="1"/>
    <xf numFmtId="0" fontId="218" fillId="0" borderId="0" xfId="0" applyFont="1" applyAlignment="1">
      <alignment horizontal="right"/>
    </xf>
    <xf numFmtId="0" fontId="218" fillId="0" borderId="0" xfId="0" applyFont="1"/>
    <xf numFmtId="3" fontId="99" fillId="0" borderId="0" xfId="0" applyNumberFormat="1" applyFont="1" applyAlignment="1">
      <alignment horizontal="center" vertical="center"/>
    </xf>
    <xf numFmtId="3" fontId="99" fillId="0" borderId="0" xfId="0" applyNumberFormat="1" applyFont="1" applyAlignment="1">
      <alignment horizontal="center"/>
    </xf>
    <xf numFmtId="3" fontId="218" fillId="0" borderId="0" xfId="0" applyNumberFormat="1" applyFont="1" applyAlignment="1">
      <alignment horizontal="right" vertical="center"/>
    </xf>
    <xf numFmtId="3" fontId="218" fillId="0" borderId="0" xfId="0" applyNumberFormat="1" applyFont="1" applyAlignment="1">
      <alignment horizontal="right"/>
    </xf>
    <xf numFmtId="170" fontId="0" fillId="4" borderId="214" xfId="0" applyNumberFormat="1" applyFill="1" applyBorder="1" applyAlignment="1">
      <alignment horizontal="center"/>
    </xf>
    <xf numFmtId="0" fontId="0" fillId="5" borderId="9" xfId="0" applyFill="1" applyBorder="1" applyAlignment="1">
      <alignment horizontal="center" vertical="center"/>
    </xf>
    <xf numFmtId="0" fontId="68" fillId="5" borderId="0" xfId="0" applyFont="1" applyFill="1" applyAlignment="1">
      <alignment horizontal="right" vertical="center"/>
    </xf>
    <xf numFmtId="0" fontId="189" fillId="4" borderId="0" xfId="6" applyFont="1" applyFill="1" applyBorder="1" applyAlignment="1" applyProtection="1">
      <alignment vertical="center"/>
    </xf>
    <xf numFmtId="0" fontId="49" fillId="39" borderId="183" xfId="0" applyFont="1" applyFill="1" applyBorder="1" applyAlignment="1" applyProtection="1">
      <alignment horizontal="left" vertical="center" wrapText="1"/>
      <protection locked="0"/>
    </xf>
    <xf numFmtId="0" fontId="49" fillId="0" borderId="184" xfId="0" applyFont="1" applyBorder="1" applyAlignment="1" applyProtection="1">
      <alignment horizontal="left" vertical="center" wrapText="1"/>
      <protection locked="0"/>
    </xf>
    <xf numFmtId="0" fontId="49" fillId="39" borderId="185" xfId="0" applyFont="1" applyFill="1" applyBorder="1" applyAlignment="1" applyProtection="1">
      <alignment horizontal="left" vertical="center" wrapText="1"/>
      <protection locked="0"/>
    </xf>
    <xf numFmtId="174" fontId="49" fillId="5" borderId="0" xfId="4" applyNumberFormat="1" applyFont="1" applyFill="1" applyAlignment="1">
      <alignment horizontal="center" vertical="center"/>
    </xf>
    <xf numFmtId="1" fontId="49" fillId="5" borderId="35" xfId="0" applyNumberFormat="1" applyFont="1" applyFill="1" applyBorder="1" applyAlignment="1" applyProtection="1">
      <alignment horizontal="center" vertical="center"/>
      <protection locked="0"/>
    </xf>
    <xf numFmtId="0" fontId="49" fillId="5" borderId="124" xfId="0" applyFont="1" applyFill="1" applyBorder="1" applyAlignment="1" applyProtection="1">
      <alignment horizontal="center" vertical="center"/>
      <protection locked="0"/>
    </xf>
    <xf numFmtId="2" fontId="49" fillId="5" borderId="134" xfId="0" applyNumberFormat="1" applyFont="1" applyFill="1" applyBorder="1" applyAlignment="1" applyProtection="1">
      <alignment horizontal="center" vertical="center"/>
      <protection locked="0"/>
    </xf>
    <xf numFmtId="1" fontId="49" fillId="5" borderId="125" xfId="0" applyNumberFormat="1" applyFont="1" applyFill="1" applyBorder="1" applyAlignment="1" applyProtection="1">
      <alignment horizontal="center" vertical="center"/>
      <protection locked="0"/>
    </xf>
    <xf numFmtId="1" fontId="49" fillId="5" borderId="133" xfId="0" applyNumberFormat="1" applyFont="1" applyFill="1" applyBorder="1" applyAlignment="1" applyProtection="1">
      <alignment horizontal="center" vertical="center"/>
      <protection locked="0"/>
    </xf>
    <xf numFmtId="0" fontId="49" fillId="5" borderId="127" xfId="0" applyFont="1" applyFill="1" applyBorder="1" applyAlignment="1" applyProtection="1">
      <alignment horizontal="center" vertical="center"/>
      <protection locked="0"/>
    </xf>
    <xf numFmtId="2" fontId="49" fillId="5" borderId="3" xfId="0" applyNumberFormat="1" applyFont="1" applyFill="1" applyBorder="1" applyAlignment="1" applyProtection="1">
      <alignment horizontal="center" vertical="center"/>
      <protection locked="0"/>
    </xf>
    <xf numFmtId="1" fontId="49" fillId="5" borderId="4" xfId="0" applyNumberFormat="1" applyFont="1" applyFill="1" applyBorder="1" applyAlignment="1" applyProtection="1">
      <alignment horizontal="center" vertical="center"/>
      <protection locked="0"/>
    </xf>
    <xf numFmtId="1" fontId="49" fillId="5" borderId="3" xfId="0" applyNumberFormat="1" applyFont="1" applyFill="1" applyBorder="1" applyAlignment="1" applyProtection="1">
      <alignment horizontal="center" vertical="center"/>
      <protection locked="0"/>
    </xf>
    <xf numFmtId="1" fontId="49" fillId="5" borderId="136" xfId="0" applyNumberFormat="1" applyFont="1" applyFill="1" applyBorder="1" applyAlignment="1" applyProtection="1">
      <alignment horizontal="center" vertical="center"/>
      <protection locked="0"/>
    </xf>
    <xf numFmtId="0" fontId="49" fillId="5" borderId="131" xfId="0" applyFont="1" applyFill="1" applyBorder="1" applyAlignment="1" applyProtection="1">
      <alignment horizontal="center" vertical="center"/>
      <protection locked="0"/>
    </xf>
    <xf numFmtId="2" fontId="49" fillId="5" borderId="137" xfId="0" applyNumberFormat="1" applyFont="1" applyFill="1" applyBorder="1" applyAlignment="1" applyProtection="1">
      <alignment horizontal="center" vertical="center"/>
      <protection locked="0"/>
    </xf>
    <xf numFmtId="1" fontId="49" fillId="5" borderId="132" xfId="0" applyNumberFormat="1" applyFont="1" applyFill="1" applyBorder="1" applyAlignment="1" applyProtection="1">
      <alignment horizontal="center" vertical="center"/>
      <protection locked="0"/>
    </xf>
    <xf numFmtId="1" fontId="49" fillId="5" borderId="137" xfId="0" applyNumberFormat="1" applyFont="1" applyFill="1" applyBorder="1" applyAlignment="1" applyProtection="1">
      <alignment horizontal="center" vertical="center"/>
      <protection locked="0"/>
    </xf>
    <xf numFmtId="1" fontId="49" fillId="5" borderId="138" xfId="0" applyNumberFormat="1" applyFont="1" applyFill="1" applyBorder="1" applyAlignment="1" applyProtection="1">
      <alignment horizontal="center" vertical="center"/>
      <protection locked="0"/>
    </xf>
    <xf numFmtId="1" fontId="49" fillId="5" borderId="134" xfId="0" applyNumberFormat="1" applyFont="1" applyFill="1" applyBorder="1" applyAlignment="1" applyProtection="1">
      <alignment horizontal="center" vertical="center"/>
      <protection locked="0"/>
    </xf>
    <xf numFmtId="1" fontId="49" fillId="5" borderId="135" xfId="0" applyNumberFormat="1" applyFont="1" applyFill="1" applyBorder="1" applyAlignment="1" applyProtection="1">
      <alignment horizontal="center" vertical="center"/>
      <protection locked="0"/>
    </xf>
    <xf numFmtId="9" fontId="49" fillId="4" borderId="0" xfId="1" applyFont="1" applyFill="1" applyBorder="1" applyAlignment="1" applyProtection="1">
      <alignment horizontal="center" vertical="center"/>
    </xf>
    <xf numFmtId="0" fontId="49" fillId="4" borderId="0" xfId="1" applyNumberFormat="1" applyFont="1" applyFill="1" applyBorder="1" applyAlignment="1" applyProtection="1">
      <alignment horizontal="center" vertical="center"/>
    </xf>
    <xf numFmtId="3" fontId="136" fillId="4" borderId="0" xfId="1" applyNumberFormat="1" applyFont="1" applyFill="1" applyBorder="1" applyAlignment="1" applyProtection="1">
      <alignment horizontal="center" vertical="center"/>
    </xf>
    <xf numFmtId="9" fontId="49" fillId="4" borderId="0" xfId="1" applyFont="1" applyFill="1" applyAlignment="1" applyProtection="1">
      <alignment horizontal="center" vertical="center"/>
    </xf>
    <xf numFmtId="0" fontId="49" fillId="4" borderId="121" xfId="1" applyNumberFormat="1" applyFont="1" applyFill="1" applyBorder="1" applyAlignment="1" applyProtection="1">
      <alignment horizontal="center" vertical="center"/>
    </xf>
    <xf numFmtId="10" fontId="13" fillId="4" borderId="0" xfId="1" applyNumberFormat="1" applyFont="1" applyFill="1" applyBorder="1" applyAlignment="1" applyProtection="1">
      <alignment horizontal="center" vertical="center" wrapText="1"/>
    </xf>
    <xf numFmtId="0" fontId="13" fillId="4" borderId="0" xfId="1" applyNumberFormat="1" applyFont="1" applyFill="1" applyBorder="1" applyAlignment="1" applyProtection="1">
      <alignment horizontal="center" vertical="center"/>
    </xf>
    <xf numFmtId="0" fontId="49" fillId="16" borderId="0" xfId="1" applyNumberFormat="1" applyFont="1" applyFill="1" applyBorder="1" applyAlignment="1" applyProtection="1">
      <alignment horizontal="center" vertical="center"/>
    </xf>
    <xf numFmtId="10" fontId="13" fillId="16" borderId="0" xfId="1" applyNumberFormat="1" applyFont="1" applyFill="1" applyBorder="1" applyAlignment="1" applyProtection="1">
      <alignment horizontal="center" vertical="center" wrapText="1"/>
    </xf>
    <xf numFmtId="173" fontId="1" fillId="23" borderId="0" xfId="4" applyNumberFormat="1" applyFont="1" applyFill="1" applyProtection="1"/>
    <xf numFmtId="0" fontId="49" fillId="5" borderId="35" xfId="0" applyFont="1" applyFill="1" applyBorder="1" applyAlignment="1" applyProtection="1">
      <alignment horizontal="center" vertical="center"/>
      <protection locked="0"/>
    </xf>
    <xf numFmtId="9" fontId="49" fillId="5" borderId="35" xfId="1" applyFont="1" applyFill="1" applyBorder="1" applyAlignment="1" applyProtection="1">
      <alignment horizontal="center" vertical="center"/>
      <protection locked="0"/>
    </xf>
    <xf numFmtId="0" fontId="49" fillId="5" borderId="35" xfId="1" applyNumberFormat="1" applyFont="1" applyFill="1" applyBorder="1" applyAlignment="1" applyProtection="1">
      <alignment horizontal="center" vertical="center"/>
      <protection locked="0"/>
    </xf>
    <xf numFmtId="0" fontId="49" fillId="5" borderId="35" xfId="0" applyFont="1" applyFill="1" applyBorder="1" applyAlignment="1" applyProtection="1">
      <alignment horizontal="left" vertical="top" wrapText="1"/>
      <protection locked="0"/>
    </xf>
    <xf numFmtId="0" fontId="49" fillId="5" borderId="35" xfId="0" applyFont="1" applyFill="1" applyBorder="1" applyAlignment="1" applyProtection="1">
      <alignment horizontal="left" vertical="top"/>
      <protection locked="0"/>
    </xf>
    <xf numFmtId="0" fontId="49" fillId="5" borderId="35" xfId="0" applyFont="1" applyFill="1" applyBorder="1" applyAlignment="1" applyProtection="1">
      <alignment horizontal="center" vertical="center" wrapText="1"/>
      <protection locked="0"/>
    </xf>
    <xf numFmtId="3" fontId="49" fillId="5" borderId="35" xfId="0" applyNumberFormat="1" applyFont="1" applyFill="1" applyBorder="1" applyAlignment="1" applyProtection="1">
      <alignment horizontal="center" vertical="center" wrapText="1"/>
      <protection locked="0"/>
    </xf>
    <xf numFmtId="3" fontId="48" fillId="5" borderId="35" xfId="0" applyNumberFormat="1" applyFont="1" applyFill="1" applyBorder="1" applyAlignment="1" applyProtection="1">
      <alignment horizontal="center" vertical="center"/>
      <protection locked="0"/>
    </xf>
    <xf numFmtId="4" fontId="34" fillId="4" borderId="0" xfId="1" applyNumberFormat="1" applyFont="1" applyFill="1" applyBorder="1" applyAlignment="1" applyProtection="1">
      <alignment horizontal="center" vertical="center" wrapText="1"/>
    </xf>
    <xf numFmtId="4" fontId="153" fillId="4" borderId="0" xfId="1" applyNumberFormat="1" applyFont="1" applyFill="1" applyBorder="1" applyAlignment="1" applyProtection="1">
      <alignment horizontal="right" vertical="center" wrapText="1"/>
    </xf>
    <xf numFmtId="174" fontId="153" fillId="4" borderId="0" xfId="1" applyNumberFormat="1" applyFont="1" applyFill="1" applyBorder="1" applyAlignment="1" applyProtection="1">
      <alignment horizontal="center" vertical="center" wrapText="1"/>
    </xf>
    <xf numFmtId="174" fontId="68" fillId="16" borderId="0" xfId="1" applyNumberFormat="1" applyFont="1" applyFill="1" applyBorder="1" applyAlignment="1" applyProtection="1">
      <alignment horizontal="right" vertical="center" wrapText="1"/>
    </xf>
    <xf numFmtId="174" fontId="68" fillId="16" borderId="0" xfId="1" applyNumberFormat="1" applyFont="1" applyFill="1" applyBorder="1" applyAlignment="1" applyProtection="1">
      <alignment horizontal="center" vertical="center" wrapText="1"/>
    </xf>
    <xf numFmtId="4" fontId="68" fillId="4" borderId="0" xfId="1" applyNumberFormat="1" applyFont="1" applyFill="1" applyBorder="1" applyAlignment="1" applyProtection="1">
      <alignment horizontal="right" vertical="center" wrapText="1"/>
    </xf>
    <xf numFmtId="174" fontId="68" fillId="4" borderId="0" xfId="1" applyNumberFormat="1" applyFont="1" applyFill="1" applyBorder="1" applyAlignment="1" applyProtection="1">
      <alignment horizontal="center" vertical="center" wrapText="1"/>
    </xf>
    <xf numFmtId="4" fontId="34" fillId="5" borderId="0" xfId="1" applyNumberFormat="1" applyFont="1" applyFill="1" applyBorder="1" applyAlignment="1" applyProtection="1">
      <alignment horizontal="center" vertical="center" wrapText="1"/>
    </xf>
    <xf numFmtId="4" fontId="68" fillId="5" borderId="0" xfId="1" applyNumberFormat="1" applyFont="1" applyFill="1" applyBorder="1" applyAlignment="1" applyProtection="1">
      <alignment horizontal="right" vertical="center" wrapText="1"/>
    </xf>
    <xf numFmtId="174" fontId="68" fillId="5" borderId="0" xfId="1" applyNumberFormat="1" applyFont="1" applyFill="1" applyBorder="1" applyAlignment="1" applyProtection="1">
      <alignment horizontal="center" vertical="center" wrapText="1"/>
    </xf>
    <xf numFmtId="174" fontId="53" fillId="4" borderId="0" xfId="1" applyNumberFormat="1" applyFont="1" applyFill="1" applyBorder="1" applyAlignment="1" applyProtection="1">
      <alignment horizontal="center" vertical="center" wrapText="1"/>
    </xf>
    <xf numFmtId="4" fontId="157" fillId="4" borderId="0" xfId="1" applyNumberFormat="1" applyFont="1" applyFill="1" applyBorder="1" applyAlignment="1" applyProtection="1">
      <alignment horizontal="center" vertical="center" wrapText="1"/>
    </xf>
    <xf numFmtId="4" fontId="53" fillId="4" borderId="0" xfId="1" applyNumberFormat="1" applyFont="1" applyFill="1" applyBorder="1" applyAlignment="1" applyProtection="1">
      <alignment horizontal="right" vertical="center" wrapText="1"/>
    </xf>
    <xf numFmtId="174" fontId="44" fillId="4" borderId="0" xfId="1" applyNumberFormat="1" applyFont="1" applyFill="1" applyBorder="1" applyAlignment="1" applyProtection="1">
      <alignment horizontal="center" vertical="center" wrapText="1"/>
    </xf>
    <xf numFmtId="0" fontId="49" fillId="36" borderId="1" xfId="0" applyFont="1" applyFill="1" applyBorder="1" applyAlignment="1">
      <alignment horizontal="right" vertical="center"/>
    </xf>
    <xf numFmtId="0" fontId="49" fillId="36" borderId="2" xfId="0" applyFont="1" applyFill="1" applyBorder="1" applyAlignment="1">
      <alignment horizontal="right" vertical="center"/>
    </xf>
    <xf numFmtId="0" fontId="49" fillId="36" borderId="3" xfId="0" applyFont="1" applyFill="1" applyBorder="1" applyAlignment="1">
      <alignment horizontal="right" vertical="center"/>
    </xf>
    <xf numFmtId="49" fontId="0" fillId="5" borderId="0" xfId="0" applyNumberFormat="1" applyFill="1"/>
    <xf numFmtId="0" fontId="2" fillId="6" borderId="4" xfId="0" applyFont="1" applyFill="1" applyBorder="1" applyAlignment="1">
      <alignment wrapText="1"/>
    </xf>
    <xf numFmtId="0" fontId="2" fillId="5" borderId="0" xfId="0" applyFont="1" applyFill="1" applyAlignment="1">
      <alignment wrapText="1"/>
    </xf>
    <xf numFmtId="3" fontId="0" fillId="5" borderId="0" xfId="0" applyNumberFormat="1" applyFill="1" applyAlignment="1">
      <alignment horizontal="center" vertical="center"/>
    </xf>
    <xf numFmtId="9" fontId="0" fillId="5" borderId="0" xfId="1" applyFont="1" applyFill="1" applyBorder="1" applyAlignment="1">
      <alignment horizontal="center" vertical="center"/>
    </xf>
    <xf numFmtId="0" fontId="2" fillId="5" borderId="0" xfId="0" applyFont="1" applyFill="1" applyAlignment="1">
      <alignment horizontal="center"/>
    </xf>
    <xf numFmtId="0" fontId="2" fillId="6" borderId="4" xfId="0" applyFont="1" applyFill="1" applyBorder="1" applyAlignment="1">
      <alignment horizontal="center" wrapText="1"/>
    </xf>
    <xf numFmtId="9" fontId="0" fillId="0" borderId="4" xfId="1" applyFont="1" applyBorder="1" applyAlignment="1">
      <alignment horizontal="center" vertical="center"/>
    </xf>
    <xf numFmtId="0" fontId="8" fillId="5" borderId="4" xfId="0" applyFont="1" applyFill="1" applyBorder="1" applyAlignment="1">
      <alignment horizontal="right" wrapText="1"/>
    </xf>
    <xf numFmtId="9" fontId="8" fillId="5" borderId="4" xfId="1" applyFont="1" applyFill="1" applyBorder="1" applyAlignment="1">
      <alignment horizontal="center" vertical="center"/>
    </xf>
    <xf numFmtId="3" fontId="8" fillId="5" borderId="4" xfId="1" applyNumberFormat="1" applyFont="1" applyFill="1" applyBorder="1" applyAlignment="1">
      <alignment horizontal="center" vertical="center"/>
    </xf>
    <xf numFmtId="0" fontId="0" fillId="0" borderId="0" xfId="1" applyNumberFormat="1" applyFont="1" applyAlignment="1">
      <alignment horizontal="center"/>
    </xf>
    <xf numFmtId="0" fontId="43" fillId="5" borderId="0" xfId="0" applyFont="1" applyFill="1" applyAlignment="1">
      <alignment vertical="center"/>
    </xf>
    <xf numFmtId="0" fontId="2" fillId="17" borderId="9" xfId="0" applyFont="1" applyFill="1" applyBorder="1" applyAlignment="1">
      <alignment horizontal="center" vertical="center"/>
    </xf>
    <xf numFmtId="0" fontId="2" fillId="17" borderId="13" xfId="0" applyFont="1" applyFill="1" applyBorder="1" applyAlignment="1">
      <alignment horizontal="center" vertical="center" wrapText="1"/>
    </xf>
    <xf numFmtId="0" fontId="149" fillId="5" borderId="0" xfId="0" applyFont="1" applyFill="1"/>
    <xf numFmtId="0" fontId="174" fillId="0" borderId="0" xfId="0" applyFont="1" applyAlignment="1">
      <alignment horizontal="left" vertical="top"/>
    </xf>
    <xf numFmtId="0" fontId="48" fillId="0" borderId="0" xfId="0" applyFont="1"/>
    <xf numFmtId="0" fontId="181" fillId="0" borderId="0" xfId="0" applyFont="1" applyAlignment="1">
      <alignment horizontal="right" vertical="center"/>
    </xf>
    <xf numFmtId="0" fontId="14" fillId="20" borderId="0" xfId="0" applyFont="1" applyFill="1" applyAlignment="1">
      <alignment vertical="top" wrapText="1"/>
    </xf>
    <xf numFmtId="0" fontId="48" fillId="4" borderId="0" xfId="0" applyFont="1" applyFill="1"/>
    <xf numFmtId="0" fontId="177" fillId="4" borderId="0" xfId="0" applyFont="1" applyFill="1" applyAlignment="1">
      <alignment horizontal="left" vertical="top" wrapText="1"/>
    </xf>
    <xf numFmtId="0" fontId="48" fillId="4" borderId="0" xfId="0" applyFont="1" applyFill="1" applyAlignment="1">
      <alignment horizontal="left" vertical="top" wrapText="1"/>
    </xf>
    <xf numFmtId="0" fontId="44" fillId="4" borderId="0" xfId="0" applyFont="1" applyFill="1" applyAlignment="1">
      <alignment horizontal="right"/>
    </xf>
    <xf numFmtId="0" fontId="177" fillId="4" borderId="0" xfId="0" applyFont="1" applyFill="1" applyAlignment="1">
      <alignment vertical="center" wrapText="1"/>
    </xf>
    <xf numFmtId="0" fontId="177" fillId="4" borderId="0" xfId="0" applyFont="1" applyFill="1" applyAlignment="1">
      <alignment horizontal="left" vertical="center" wrapText="1"/>
    </xf>
    <xf numFmtId="0" fontId="177" fillId="4" borderId="0" xfId="0" applyFont="1" applyFill="1" applyAlignment="1">
      <alignment vertical="center"/>
    </xf>
    <xf numFmtId="0" fontId="48" fillId="4" borderId="0" xfId="0" applyFont="1" applyFill="1" applyAlignment="1">
      <alignment vertical="center"/>
    </xf>
    <xf numFmtId="0" fontId="48" fillId="4" borderId="0" xfId="0" applyFont="1" applyFill="1" applyAlignment="1">
      <alignment horizontal="left" vertical="center"/>
    </xf>
    <xf numFmtId="0" fontId="183" fillId="4" borderId="0" xfId="0" applyFont="1" applyFill="1" applyAlignment="1">
      <alignment horizontal="left" vertical="center"/>
    </xf>
    <xf numFmtId="0" fontId="184" fillId="4" borderId="0" xfId="0" applyFont="1" applyFill="1" applyAlignment="1">
      <alignment horizontal="left" vertical="center"/>
    </xf>
    <xf numFmtId="0" fontId="13" fillId="4" borderId="0" xfId="0" applyFont="1" applyFill="1" applyAlignment="1">
      <alignment horizontal="left" vertical="top"/>
    </xf>
    <xf numFmtId="0" fontId="48" fillId="4" borderId="0" xfId="0" applyFont="1" applyFill="1" applyAlignment="1">
      <alignment horizontal="left" vertical="top"/>
    </xf>
    <xf numFmtId="0" fontId="48" fillId="4" borderId="0" xfId="0" applyFont="1" applyFill="1" applyAlignment="1">
      <alignment horizontal="center" vertical="top"/>
    </xf>
    <xf numFmtId="0" fontId="13" fillId="4" borderId="0" xfId="0" applyFont="1" applyFill="1" applyAlignment="1">
      <alignment horizontal="left" vertical="center"/>
    </xf>
    <xf numFmtId="0" fontId="48" fillId="4" borderId="0" xfId="0" applyFont="1" applyFill="1" applyAlignment="1">
      <alignment vertical="top"/>
    </xf>
    <xf numFmtId="0" fontId="53" fillId="4" borderId="0" xfId="0" applyFont="1" applyFill="1" applyAlignment="1">
      <alignment horizontal="left" vertical="center"/>
    </xf>
    <xf numFmtId="0" fontId="44" fillId="4" borderId="0" xfId="0" applyFont="1" applyFill="1" applyAlignment="1">
      <alignment horizontal="left" vertical="top"/>
    </xf>
    <xf numFmtId="0" fontId="51" fillId="4" borderId="0" xfId="0" applyFont="1" applyFill="1" applyAlignment="1">
      <alignment horizontal="left" vertical="center"/>
    </xf>
    <xf numFmtId="0" fontId="49" fillId="4" borderId="0" xfId="0" applyFont="1" applyFill="1" applyAlignment="1">
      <alignment horizontal="left" vertical="top"/>
    </xf>
    <xf numFmtId="0" fontId="152" fillId="20" borderId="0" xfId="0" applyFont="1" applyFill="1" applyAlignment="1">
      <alignment vertical="top" wrapText="1"/>
    </xf>
    <xf numFmtId="0" fontId="178" fillId="4" borderId="0" xfId="0" applyFont="1" applyFill="1" applyAlignment="1">
      <alignment horizontal="left" vertical="top" wrapText="1"/>
    </xf>
    <xf numFmtId="0" fontId="178"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6" fillId="4" borderId="0" xfId="0" applyFont="1" applyFill="1" applyAlignment="1">
      <alignment vertical="center"/>
    </xf>
    <xf numFmtId="0" fontId="176" fillId="5" borderId="0" xfId="0" applyFont="1" applyFill="1" applyAlignment="1">
      <alignment horizontal="left" vertical="top"/>
    </xf>
    <xf numFmtId="0" fontId="0" fillId="5" borderId="0" xfId="0" applyFill="1" applyAlignment="1">
      <alignment horizontal="left" vertical="top"/>
    </xf>
    <xf numFmtId="0" fontId="178" fillId="5" borderId="0" xfId="0" applyFont="1" applyFill="1"/>
    <xf numFmtId="0" fontId="178" fillId="23" borderId="0" xfId="0" applyFont="1" applyFill="1"/>
    <xf numFmtId="0" fontId="178" fillId="0" borderId="0" xfId="0" applyFont="1"/>
    <xf numFmtId="186" fontId="194" fillId="5" borderId="0" xfId="0" applyNumberFormat="1" applyFont="1" applyFill="1"/>
    <xf numFmtId="0" fontId="177" fillId="5" borderId="0" xfId="0" applyFont="1" applyFill="1" applyAlignment="1">
      <alignment vertical="center" wrapText="1"/>
    </xf>
    <xf numFmtId="0" fontId="195" fillId="5" borderId="0" xfId="0" applyFont="1" applyFill="1"/>
    <xf numFmtId="14" fontId="178" fillId="5" borderId="0" xfId="0" applyNumberFormat="1" applyFont="1" applyFill="1"/>
    <xf numFmtId="0" fontId="178" fillId="5" borderId="0" xfId="0" applyFont="1" applyFill="1" applyAlignment="1">
      <alignment vertical="center"/>
    </xf>
    <xf numFmtId="0" fontId="53" fillId="5" borderId="0" xfId="0" applyFont="1" applyFill="1" applyAlignment="1">
      <alignment horizontal="left" vertical="center"/>
    </xf>
    <xf numFmtId="0" fontId="47" fillId="5" borderId="0" xfId="0" applyFont="1" applyFill="1" applyAlignment="1">
      <alignment horizontal="left" vertical="center"/>
    </xf>
    <xf numFmtId="0" fontId="191" fillId="5" borderId="0" xfId="0" applyFont="1" applyFill="1" applyAlignment="1">
      <alignment vertical="center"/>
    </xf>
    <xf numFmtId="0" fontId="182" fillId="5" borderId="0" xfId="0" applyFont="1" applyFill="1" applyAlignment="1">
      <alignment vertical="center"/>
    </xf>
    <xf numFmtId="0" fontId="181" fillId="5" borderId="0" xfId="0" applyFont="1" applyFill="1" applyAlignment="1">
      <alignment horizontal="right" vertical="center"/>
    </xf>
    <xf numFmtId="0" fontId="178" fillId="23" borderId="0" xfId="0" applyFont="1" applyFill="1" applyAlignment="1">
      <alignment vertical="center"/>
    </xf>
    <xf numFmtId="0" fontId="178" fillId="0" borderId="0" xfId="0" applyFont="1" applyAlignment="1">
      <alignment vertical="center"/>
    </xf>
    <xf numFmtId="0" fontId="192" fillId="17" borderId="0" xfId="0" applyFont="1" applyFill="1" applyAlignment="1">
      <alignment vertical="center"/>
    </xf>
    <xf numFmtId="0" fontId="192" fillId="17" borderId="0" xfId="0" applyFont="1" applyFill="1" applyAlignment="1">
      <alignment horizontal="left" vertical="center"/>
    </xf>
    <xf numFmtId="0" fontId="192" fillId="17" borderId="0" xfId="0" applyFont="1" applyFill="1" applyAlignment="1">
      <alignment horizontal="right" vertical="center" indent="1"/>
    </xf>
    <xf numFmtId="0" fontId="193" fillId="17" borderId="0" xfId="0" applyFont="1" applyFill="1" applyAlignment="1">
      <alignment vertical="center"/>
    </xf>
    <xf numFmtId="0" fontId="53" fillId="23" borderId="4" xfId="0" applyFont="1" applyFill="1" applyBorder="1" applyAlignment="1">
      <alignment vertical="top"/>
    </xf>
    <xf numFmtId="0" fontId="192" fillId="17" borderId="155" xfId="0" applyFont="1" applyFill="1" applyBorder="1" applyAlignment="1">
      <alignment vertical="center"/>
    </xf>
    <xf numFmtId="0" fontId="192" fillId="17" borderId="155" xfId="0" applyFont="1" applyFill="1" applyBorder="1" applyAlignment="1">
      <alignment horizontal="left" vertical="center"/>
    </xf>
    <xf numFmtId="0" fontId="192" fillId="17" borderId="155" xfId="0" applyFont="1" applyFill="1" applyBorder="1" applyAlignment="1">
      <alignment horizontal="right" vertical="center" indent="1"/>
    </xf>
    <xf numFmtId="0" fontId="193" fillId="36" borderId="156" xfId="0" applyFont="1" applyFill="1" applyBorder="1" applyAlignment="1">
      <alignment horizontal="center" vertical="center"/>
    </xf>
    <xf numFmtId="0" fontId="193" fillId="36" borderId="0" xfId="0" applyFont="1" applyFill="1" applyAlignment="1">
      <alignment horizontal="center" vertical="center"/>
    </xf>
    <xf numFmtId="0" fontId="193" fillId="36" borderId="159" xfId="0" applyFont="1" applyFill="1" applyBorder="1" applyAlignment="1">
      <alignment horizontal="center" vertical="center"/>
    </xf>
    <xf numFmtId="0" fontId="193" fillId="36" borderId="161" xfId="0" applyFont="1" applyFill="1" applyBorder="1" applyAlignment="1">
      <alignment horizontal="center" vertical="center"/>
    </xf>
    <xf numFmtId="0" fontId="196" fillId="0" borderId="0" xfId="0" applyFont="1" applyAlignment="1">
      <alignment horizontal="center" vertical="center"/>
    </xf>
    <xf numFmtId="0" fontId="198" fillId="0" borderId="168" xfId="0" applyFont="1" applyBorder="1" applyAlignment="1">
      <alignment horizontal="center" vertical="center"/>
    </xf>
    <xf numFmtId="0" fontId="198" fillId="0" borderId="177" xfId="0" applyFont="1" applyBorder="1" applyAlignment="1">
      <alignment horizontal="center" vertical="center"/>
    </xf>
    <xf numFmtId="0" fontId="198" fillId="0" borderId="0" xfId="0" applyFont="1" applyAlignment="1">
      <alignment horizontal="center" vertical="center"/>
    </xf>
    <xf numFmtId="49" fontId="199" fillId="6" borderId="0" xfId="0" applyNumberFormat="1" applyFont="1" applyFill="1" applyAlignment="1">
      <alignment horizontal="center" vertical="center"/>
    </xf>
    <xf numFmtId="14" fontId="199" fillId="6" borderId="178" xfId="0" applyNumberFormat="1" applyFont="1" applyFill="1" applyBorder="1" applyAlignment="1">
      <alignment horizontal="center" vertical="center"/>
    </xf>
    <xf numFmtId="186" fontId="200" fillId="0" borderId="180" xfId="0" applyNumberFormat="1" applyFont="1" applyBorder="1" applyAlignment="1">
      <alignment horizontal="left" vertical="center" wrapText="1"/>
    </xf>
    <xf numFmtId="174" fontId="49" fillId="41" borderId="180" xfId="0" applyNumberFormat="1" applyFont="1" applyFill="1" applyBorder="1" applyAlignment="1">
      <alignment horizontal="center" vertical="center"/>
    </xf>
    <xf numFmtId="0" fontId="49" fillId="41" borderId="180" xfId="0" applyFont="1" applyFill="1" applyBorder="1" applyAlignment="1">
      <alignment horizontal="center" vertical="center"/>
    </xf>
    <xf numFmtId="0" fontId="49" fillId="0" borderId="180" xfId="0" applyFont="1" applyBorder="1" applyAlignment="1">
      <alignment horizontal="left" vertical="center" wrapText="1"/>
    </xf>
    <xf numFmtId="0" fontId="49" fillId="39" borderId="181" xfId="0" applyFont="1" applyFill="1" applyBorder="1" applyAlignment="1">
      <alignment horizontal="left" vertical="center" wrapText="1"/>
    </xf>
    <xf numFmtId="186" fontId="200" fillId="0" borderId="174" xfId="0" applyNumberFormat="1" applyFont="1" applyBorder="1" applyAlignment="1">
      <alignment horizontal="left" vertical="center" wrapText="1" shrinkToFit="1"/>
    </xf>
    <xf numFmtId="174" fontId="49" fillId="41" borderId="174" xfId="0" applyNumberFormat="1" applyFont="1" applyFill="1" applyBorder="1" applyAlignment="1">
      <alignment horizontal="center" vertical="center"/>
    </xf>
    <xf numFmtId="0" fontId="49" fillId="41" borderId="174" xfId="0" applyFont="1" applyFill="1" applyBorder="1" applyAlignment="1">
      <alignment horizontal="center" vertical="center"/>
    </xf>
    <xf numFmtId="0" fontId="49" fillId="0" borderId="174" xfId="0" applyFont="1" applyBorder="1" applyAlignment="1">
      <alignment horizontal="left" vertical="center" wrapText="1"/>
    </xf>
    <xf numFmtId="0" fontId="49" fillId="39" borderId="183" xfId="0" applyFont="1" applyFill="1" applyBorder="1" applyAlignment="1">
      <alignment horizontal="left" vertical="center" wrapText="1"/>
    </xf>
    <xf numFmtId="0" fontId="201" fillId="5" borderId="0" xfId="0" applyFont="1" applyFill="1" applyAlignment="1">
      <alignment vertical="center"/>
    </xf>
    <xf numFmtId="0" fontId="53" fillId="2" borderId="182" xfId="0" applyFont="1" applyFill="1" applyBorder="1" applyAlignment="1">
      <alignment horizontal="left" vertical="center" wrapText="1"/>
    </xf>
    <xf numFmtId="0" fontId="53" fillId="2" borderId="203" xfId="0" applyFont="1" applyFill="1" applyBorder="1" applyAlignment="1">
      <alignment horizontal="left" vertical="center" wrapText="1"/>
    </xf>
    <xf numFmtId="186" fontId="49" fillId="2" borderId="174" xfId="0" applyNumberFormat="1" applyFont="1" applyFill="1" applyBorder="1" applyAlignment="1">
      <alignment vertical="center" wrapText="1"/>
    </xf>
    <xf numFmtId="186" fontId="49" fillId="2" borderId="174" xfId="0" applyNumberFormat="1" applyFont="1" applyFill="1" applyBorder="1" applyAlignment="1">
      <alignment horizontal="center" vertical="center"/>
    </xf>
    <xf numFmtId="0" fontId="49" fillId="2" borderId="174" xfId="0" applyFont="1" applyFill="1" applyBorder="1" applyAlignment="1">
      <alignment horizontal="center" vertical="center"/>
    </xf>
    <xf numFmtId="0" fontId="49" fillId="2" borderId="174" xfId="0" applyFont="1" applyFill="1" applyBorder="1" applyAlignment="1">
      <alignment horizontal="left" vertical="center" wrapText="1"/>
    </xf>
    <xf numFmtId="0" fontId="49" fillId="2" borderId="183" xfId="0" applyFont="1" applyFill="1" applyBorder="1" applyAlignment="1">
      <alignment horizontal="left" vertical="center" wrapText="1"/>
    </xf>
    <xf numFmtId="0" fontId="201" fillId="23" borderId="0" xfId="0" applyFont="1" applyFill="1" applyAlignment="1">
      <alignment vertical="center"/>
    </xf>
    <xf numFmtId="0" fontId="201" fillId="0" borderId="0" xfId="0" applyFont="1" applyAlignment="1">
      <alignment vertical="center"/>
    </xf>
    <xf numFmtId="0" fontId="201" fillId="5" borderId="0" xfId="0" applyFont="1" applyFill="1"/>
    <xf numFmtId="0" fontId="201" fillId="23" borderId="0" xfId="0" applyFont="1" applyFill="1"/>
    <xf numFmtId="0" fontId="201" fillId="0" borderId="0" xfId="0" applyFont="1"/>
    <xf numFmtId="0" fontId="53" fillId="2" borderId="182" xfId="0" applyFont="1" applyFill="1" applyBorder="1" applyAlignment="1">
      <alignment horizontal="left" vertical="center"/>
    </xf>
    <xf numFmtId="0" fontId="53" fillId="2" borderId="203" xfId="0" applyFont="1" applyFill="1" applyBorder="1" applyAlignment="1">
      <alignment horizontal="left" vertical="center"/>
    </xf>
    <xf numFmtId="0" fontId="49" fillId="2" borderId="174" xfId="0" applyFont="1" applyFill="1" applyBorder="1" applyAlignment="1">
      <alignment horizontal="left" vertical="center"/>
    </xf>
    <xf numFmtId="0" fontId="49" fillId="2" borderId="183" xfId="0" applyFont="1" applyFill="1" applyBorder="1" applyAlignment="1">
      <alignment vertical="center" wrapText="1"/>
    </xf>
    <xf numFmtId="0" fontId="53" fillId="2" borderId="167" xfId="0" applyFont="1" applyFill="1" applyBorder="1" applyAlignment="1">
      <alignment horizontal="left" vertical="center"/>
    </xf>
    <xf numFmtId="0" fontId="53" fillId="2" borderId="204" xfId="0" applyFont="1" applyFill="1" applyBorder="1" applyAlignment="1">
      <alignment horizontal="left" vertical="center"/>
    </xf>
    <xf numFmtId="186" fontId="49" fillId="2" borderId="169" xfId="0" applyNumberFormat="1" applyFont="1" applyFill="1" applyBorder="1" applyAlignment="1">
      <alignment vertical="center"/>
    </xf>
    <xf numFmtId="186" fontId="49" fillId="2" borderId="169" xfId="0" applyNumberFormat="1" applyFont="1" applyFill="1" applyBorder="1" applyAlignment="1">
      <alignment horizontal="center" vertical="center"/>
    </xf>
    <xf numFmtId="186" fontId="49" fillId="2" borderId="170" xfId="0" applyNumberFormat="1" applyFont="1" applyFill="1" applyBorder="1" applyAlignment="1">
      <alignment horizontal="center" vertical="center"/>
    </xf>
    <xf numFmtId="0" fontId="48" fillId="2" borderId="170" xfId="0" applyFont="1" applyFill="1" applyBorder="1" applyAlignment="1">
      <alignment horizontal="left" vertical="center"/>
    </xf>
    <xf numFmtId="0" fontId="48" fillId="2" borderId="171" xfId="0" applyFont="1" applyFill="1" applyBorder="1" applyAlignment="1">
      <alignment vertical="center"/>
    </xf>
    <xf numFmtId="0" fontId="53" fillId="5" borderId="151" xfId="0" applyFont="1" applyFill="1" applyBorder="1" applyAlignment="1">
      <alignment horizontal="left" vertical="center"/>
    </xf>
    <xf numFmtId="0" fontId="53" fillId="5" borderId="152" xfId="0" applyFont="1" applyFill="1" applyBorder="1" applyAlignment="1">
      <alignment horizontal="left" vertical="center"/>
    </xf>
    <xf numFmtId="186" fontId="53" fillId="5" borderId="172" xfId="0" applyNumberFormat="1" applyFont="1" applyFill="1" applyBorder="1" applyAlignment="1">
      <alignment horizontal="right" vertical="center"/>
    </xf>
    <xf numFmtId="186" fontId="53" fillId="5" borderId="172" xfId="0" applyNumberFormat="1" applyFont="1" applyFill="1" applyBorder="1" applyAlignment="1">
      <alignment horizontal="center" vertical="center"/>
    </xf>
    <xf numFmtId="186" fontId="52" fillId="5" borderId="172" xfId="0" applyNumberFormat="1" applyFont="1" applyFill="1" applyBorder="1" applyAlignment="1">
      <alignment horizontal="center" vertical="center"/>
    </xf>
    <xf numFmtId="0" fontId="52" fillId="5" borderId="172" xfId="0" applyFont="1" applyFill="1" applyBorder="1" applyAlignment="1">
      <alignment horizontal="left" vertical="center"/>
    </xf>
    <xf numFmtId="0" fontId="48" fillId="5" borderId="173" xfId="0" applyFont="1" applyFill="1" applyBorder="1"/>
    <xf numFmtId="0" fontId="190" fillId="5" borderId="0" xfId="0" applyFont="1" applyFill="1"/>
    <xf numFmtId="0" fontId="190" fillId="23" borderId="0" xfId="0" applyFont="1" applyFill="1"/>
    <xf numFmtId="0" fontId="190" fillId="0" borderId="0" xfId="0" applyFont="1"/>
    <xf numFmtId="174" fontId="48" fillId="2" borderId="4" xfId="0" applyNumberFormat="1" applyFont="1" applyFill="1" applyBorder="1" applyAlignment="1">
      <alignment horizontal="center" vertical="center"/>
    </xf>
    <xf numFmtId="0" fontId="194" fillId="5" borderId="0" xfId="0" applyFont="1" applyFill="1"/>
    <xf numFmtId="0" fontId="194" fillId="0" borderId="0" xfId="0" applyFont="1"/>
    <xf numFmtId="0" fontId="52" fillId="5" borderId="0" xfId="0" applyFont="1" applyFill="1" applyAlignment="1">
      <alignment horizontal="right"/>
    </xf>
    <xf numFmtId="174" fontId="52" fillId="5" borderId="0" xfId="0" applyNumberFormat="1" applyFont="1" applyFill="1" applyAlignment="1">
      <alignment horizontal="center" vertical="center"/>
    </xf>
    <xf numFmtId="0" fontId="194" fillId="23" borderId="0" xfId="0" applyFont="1" applyFill="1"/>
    <xf numFmtId="0" fontId="143" fillId="5" borderId="0" xfId="0" applyFont="1" applyFill="1"/>
    <xf numFmtId="0" fontId="104" fillId="5" borderId="0" xfId="0" applyFont="1" applyFill="1" applyAlignment="1">
      <alignment horizontal="center" vertical="center"/>
    </xf>
    <xf numFmtId="0" fontId="50" fillId="5" borderId="0" xfId="0" applyFont="1" applyFill="1" applyAlignment="1">
      <alignment vertical="center"/>
    </xf>
    <xf numFmtId="0" fontId="45" fillId="19" borderId="0" xfId="0" applyFont="1" applyFill="1" applyAlignment="1">
      <alignment vertical="top" wrapText="1"/>
    </xf>
    <xf numFmtId="0" fontId="46" fillId="19" borderId="0" xfId="0" applyFont="1" applyFill="1" applyAlignment="1">
      <alignment vertical="center"/>
    </xf>
    <xf numFmtId="0" fontId="46" fillId="19" borderId="0" xfId="0" applyFont="1" applyFill="1" applyAlignment="1">
      <alignment vertical="center" wrapText="1"/>
    </xf>
    <xf numFmtId="0" fontId="46" fillId="19" borderId="0" xfId="0" applyFont="1" applyFill="1" applyAlignment="1">
      <alignment horizontal="left" vertical="center" wrapText="1"/>
    </xf>
    <xf numFmtId="0" fontId="14" fillId="20" borderId="0" xfId="0" applyFont="1" applyFill="1" applyAlignment="1">
      <alignment horizontal="left" vertical="top" wrapText="1"/>
    </xf>
    <xf numFmtId="0" fontId="45" fillId="4" borderId="0" xfId="0" applyFont="1" applyFill="1" applyAlignment="1">
      <alignment vertical="top" wrapText="1"/>
    </xf>
    <xf numFmtId="0" fontId="46" fillId="4" borderId="0" xfId="0" applyFont="1" applyFill="1" applyAlignment="1">
      <alignment vertical="center"/>
    </xf>
    <xf numFmtId="0" fontId="46" fillId="4" borderId="0" xfId="0" applyFont="1" applyFill="1" applyAlignment="1">
      <alignment vertical="center" wrapText="1"/>
    </xf>
    <xf numFmtId="0" fontId="46" fillId="4" borderId="0" xfId="0" applyFont="1" applyFill="1" applyAlignment="1">
      <alignment horizontal="left" vertical="center" wrapText="1"/>
    </xf>
    <xf numFmtId="0" fontId="14" fillId="4" borderId="0" xfId="0" applyFont="1" applyFill="1" applyAlignment="1">
      <alignment horizontal="left" vertical="top" wrapText="1"/>
    </xf>
    <xf numFmtId="0" fontId="14" fillId="4" borderId="0" xfId="0" applyFont="1" applyFill="1" applyAlignment="1">
      <alignment vertical="top" wrapText="1"/>
    </xf>
    <xf numFmtId="0" fontId="43" fillId="4" borderId="0" xfId="0" applyFont="1" applyFill="1" applyAlignment="1">
      <alignment horizontal="center" vertical="top" wrapText="1"/>
    </xf>
    <xf numFmtId="0" fontId="49" fillId="4" borderId="0" xfId="0" applyFont="1" applyFill="1" applyAlignment="1">
      <alignment horizontal="left" vertical="center"/>
    </xf>
    <xf numFmtId="1" fontId="49" fillId="4" borderId="0" xfId="0" applyNumberFormat="1" applyFont="1" applyFill="1" applyAlignment="1">
      <alignment horizontal="center" vertical="center"/>
    </xf>
    <xf numFmtId="0" fontId="49" fillId="4" borderId="0" xfId="0" applyFont="1" applyFill="1" applyAlignment="1">
      <alignment vertical="center"/>
    </xf>
    <xf numFmtId="0" fontId="14" fillId="4" borderId="0" xfId="0" applyFont="1" applyFill="1" applyAlignment="1">
      <alignment horizontal="right" vertical="center"/>
    </xf>
    <xf numFmtId="0" fontId="49" fillId="4" borderId="0" xfId="0" applyFont="1" applyFill="1" applyAlignment="1">
      <alignment horizontal="right" vertical="center"/>
    </xf>
    <xf numFmtId="0" fontId="0" fillId="4" borderId="0" xfId="0" applyFill="1" applyAlignment="1">
      <alignment horizontal="center"/>
    </xf>
    <xf numFmtId="0" fontId="49" fillId="4" borderId="0" xfId="0" applyFont="1" applyFill="1" applyAlignment="1">
      <alignment vertical="top" wrapText="1"/>
    </xf>
    <xf numFmtId="0" fontId="0" fillId="23" borderId="0" xfId="0" applyFill="1" applyAlignment="1">
      <alignment horizontal="left" vertical="center"/>
    </xf>
    <xf numFmtId="0" fontId="53" fillId="4" borderId="0" xfId="0" applyFont="1" applyFill="1"/>
    <xf numFmtId="0" fontId="48" fillId="4" borderId="0" xfId="0" applyFont="1" applyFill="1" applyAlignment="1">
      <alignment horizontal="right" vertical="center"/>
    </xf>
    <xf numFmtId="0" fontId="0" fillId="4" borderId="0" xfId="0" applyFill="1" applyAlignment="1">
      <alignment horizontal="left" vertical="center"/>
    </xf>
    <xf numFmtId="0" fontId="49" fillId="3" borderId="9" xfId="0" applyFont="1" applyFill="1" applyBorder="1" applyAlignment="1">
      <alignment horizontal="center" vertical="center"/>
    </xf>
    <xf numFmtId="0" fontId="49" fillId="3" borderId="9" xfId="0" applyFont="1" applyFill="1" applyBorder="1" applyAlignment="1">
      <alignment horizontal="center" vertical="center" wrapText="1"/>
    </xf>
    <xf numFmtId="0" fontId="36" fillId="5" borderId="0" xfId="0" applyFont="1" applyFill="1"/>
    <xf numFmtId="0" fontId="48" fillId="4" borderId="0" xfId="0" applyFont="1" applyFill="1" applyAlignment="1">
      <alignment horizontal="center" vertical="center"/>
    </xf>
    <xf numFmtId="0" fontId="49" fillId="4" borderId="0" xfId="0" applyFont="1" applyFill="1" applyAlignment="1">
      <alignment horizontal="left" indent="4"/>
    </xf>
    <xf numFmtId="0" fontId="49" fillId="4" borderId="0" xfId="0" applyFont="1" applyFill="1" applyAlignment="1">
      <alignment horizontal="center" vertical="center" wrapText="1"/>
    </xf>
    <xf numFmtId="0" fontId="45" fillId="36" borderId="0" xfId="0" applyFont="1" applyFill="1" applyAlignment="1">
      <alignment vertical="top" wrapText="1"/>
    </xf>
    <xf numFmtId="0" fontId="65" fillId="4" borderId="0" xfId="0" applyFont="1" applyFill="1" applyAlignment="1">
      <alignment vertical="center"/>
    </xf>
    <xf numFmtId="0" fontId="69" fillId="5" borderId="6" xfId="0" applyFont="1" applyFill="1" applyBorder="1"/>
    <xf numFmtId="0" fontId="69" fillId="23" borderId="0" xfId="0" applyFont="1" applyFill="1"/>
    <xf numFmtId="0" fontId="49" fillId="5" borderId="13" xfId="0" applyFont="1" applyFill="1" applyBorder="1" applyAlignment="1">
      <alignment vertical="center" wrapText="1"/>
    </xf>
    <xf numFmtId="0" fontId="140" fillId="4" borderId="0" xfId="0" applyFont="1" applyFill="1" applyAlignment="1">
      <alignment horizontal="left" wrapText="1"/>
    </xf>
    <xf numFmtId="0" fontId="53" fillId="4" borderId="0" xfId="0" applyFont="1" applyFill="1" applyAlignment="1">
      <alignment horizontal="left" wrapText="1"/>
    </xf>
    <xf numFmtId="0" fontId="8" fillId="15" borderId="0" xfId="0" applyFont="1" applyFill="1" applyAlignment="1">
      <alignment horizontal="center" vertical="center"/>
    </xf>
    <xf numFmtId="0" fontId="3" fillId="23"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55" fillId="23" borderId="0" xfId="0" applyFont="1" applyFill="1"/>
    <xf numFmtId="0" fontId="97" fillId="16" borderId="4" xfId="0" applyFont="1" applyFill="1" applyBorder="1" applyAlignment="1">
      <alignment vertical="center"/>
    </xf>
    <xf numFmtId="0" fontId="155" fillId="23" borderId="4" xfId="0" applyFont="1" applyFill="1" applyBorder="1"/>
    <xf numFmtId="0" fontId="4" fillId="16" borderId="0" xfId="0" applyFont="1" applyFill="1" applyAlignment="1">
      <alignment horizontal="center"/>
    </xf>
    <xf numFmtId="0" fontId="0" fillId="16"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82" fillId="4" borderId="0" xfId="0" applyFont="1" applyFill="1" applyAlignment="1">
      <alignment horizontal="left" vertical="center"/>
    </xf>
    <xf numFmtId="174" fontId="4" fillId="4" borderId="0" xfId="0" applyNumberFormat="1" applyFont="1" applyFill="1" applyAlignment="1">
      <alignment horizontal="center" vertical="center"/>
    </xf>
    <xf numFmtId="0" fontId="143" fillId="5" borderId="6" xfId="0" applyFont="1" applyFill="1" applyBorder="1"/>
    <xf numFmtId="0" fontId="54" fillId="4" borderId="11" xfId="0" applyFont="1" applyFill="1" applyBorder="1" applyAlignment="1">
      <alignment vertical="center"/>
    </xf>
    <xf numFmtId="0" fontId="54" fillId="4" borderId="0" xfId="0" applyFont="1" applyFill="1" applyAlignment="1">
      <alignment vertical="center"/>
    </xf>
    <xf numFmtId="3" fontId="68" fillId="4" borderId="0" xfId="0" applyNumberFormat="1" applyFont="1" applyFill="1" applyAlignment="1">
      <alignment vertical="center"/>
    </xf>
    <xf numFmtId="0" fontId="68" fillId="4" borderId="0" xfId="0" applyFont="1" applyFill="1" applyAlignment="1">
      <alignment horizontal="center" vertical="center"/>
    </xf>
    <xf numFmtId="0" fontId="8" fillId="4" borderId="0" xfId="0" applyFont="1" applyFill="1" applyAlignment="1">
      <alignment vertical="center"/>
    </xf>
    <xf numFmtId="0" fontId="109" fillId="4" borderId="0" xfId="0" applyFont="1" applyFill="1"/>
    <xf numFmtId="0" fontId="0" fillId="23" borderId="0" xfId="0" applyFill="1" applyAlignment="1">
      <alignment horizontal="center"/>
    </xf>
    <xf numFmtId="0" fontId="0" fillId="23" borderId="0" xfId="0" applyFill="1" applyAlignment="1">
      <alignment horizontal="left"/>
    </xf>
    <xf numFmtId="0" fontId="45" fillId="5" borderId="0" xfId="0" applyFont="1" applyFill="1" applyAlignment="1">
      <alignment vertical="top" wrapText="1"/>
    </xf>
    <xf numFmtId="0" fontId="45" fillId="5" borderId="0" xfId="0" applyFont="1" applyFill="1" applyAlignment="1">
      <alignment wrapText="1"/>
    </xf>
    <xf numFmtId="0" fontId="46" fillId="5" borderId="0" xfId="0" applyFont="1" applyFill="1" applyAlignment="1">
      <alignment vertical="center" wrapText="1"/>
    </xf>
    <xf numFmtId="0" fontId="46" fillId="5" borderId="0" xfId="0" applyFont="1" applyFill="1" applyAlignment="1">
      <alignment horizontal="left" vertical="center" wrapText="1"/>
    </xf>
    <xf numFmtId="0" fontId="14" fillId="5" borderId="0" xfId="0" applyFont="1" applyFill="1" applyAlignment="1">
      <alignment horizontal="left" vertical="top" wrapText="1"/>
    </xf>
    <xf numFmtId="0" fontId="14" fillId="5" borderId="0" xfId="0" applyFont="1" applyFill="1" applyAlignment="1">
      <alignment vertical="top" wrapText="1"/>
    </xf>
    <xf numFmtId="0" fontId="45" fillId="19" borderId="0" xfId="0" applyFont="1" applyFill="1" applyAlignment="1">
      <alignment wrapText="1"/>
    </xf>
    <xf numFmtId="0" fontId="26" fillId="4" borderId="0" xfId="0" applyFont="1" applyFill="1"/>
    <xf numFmtId="0" fontId="26" fillId="4" borderId="0" xfId="0" applyFont="1" applyFill="1" applyAlignment="1">
      <alignment horizontal="left" vertical="center"/>
    </xf>
    <xf numFmtId="0" fontId="53" fillId="4" borderId="0" xfId="0" applyFont="1" applyFill="1" applyAlignment="1">
      <alignment vertical="center"/>
    </xf>
    <xf numFmtId="0" fontId="53"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52" fillId="4" borderId="0" xfId="0" applyFont="1" applyFill="1" applyAlignment="1">
      <alignment horizontal="center" vertical="center"/>
    </xf>
    <xf numFmtId="0" fontId="49" fillId="4" borderId="0" xfId="0" applyFont="1" applyFill="1" applyAlignment="1">
      <alignment horizontal="left" vertical="center" wrapText="1"/>
    </xf>
    <xf numFmtId="0" fontId="104" fillId="4" borderId="0" xfId="0" applyFont="1" applyFill="1" applyAlignment="1">
      <alignment horizontal="center" vertical="center"/>
    </xf>
    <xf numFmtId="0" fontId="104" fillId="4" borderId="0" xfId="0" applyFont="1" applyFill="1" applyAlignment="1">
      <alignment horizontal="center"/>
    </xf>
    <xf numFmtId="0" fontId="29" fillId="5" borderId="0" xfId="0" applyFont="1" applyFill="1"/>
    <xf numFmtId="3" fontId="136" fillId="4" borderId="0" xfId="0" applyNumberFormat="1" applyFont="1" applyFill="1" applyAlignment="1">
      <alignment horizontal="center" vertical="center"/>
    </xf>
    <xf numFmtId="3" fontId="136" fillId="4" borderId="0" xfId="0" applyNumberFormat="1" applyFont="1" applyFill="1" applyAlignment="1">
      <alignment horizontal="left" vertical="center" wrapText="1"/>
    </xf>
    <xf numFmtId="0" fontId="69" fillId="4" borderId="0" xfId="0" applyFont="1" applyFill="1" applyAlignment="1">
      <alignment horizontal="left" vertical="center" wrapText="1"/>
    </xf>
    <xf numFmtId="0" fontId="136" fillId="4" borderId="0" xfId="0" applyFont="1" applyFill="1" applyAlignment="1">
      <alignment horizontal="left" vertical="center"/>
    </xf>
    <xf numFmtId="0" fontId="66" fillId="5" borderId="0" xfId="0" quotePrefix="1" applyFont="1" applyFill="1" applyAlignment="1">
      <alignment horizontal="left" vertical="center"/>
    </xf>
    <xf numFmtId="3" fontId="49" fillId="4" borderId="0" xfId="0" applyNumberFormat="1" applyFont="1" applyFill="1" applyAlignment="1">
      <alignment horizontal="center" vertical="center"/>
    </xf>
    <xf numFmtId="0" fontId="63" fillId="5" borderId="0" xfId="0" quotePrefix="1" applyFont="1" applyFill="1"/>
    <xf numFmtId="167" fontId="49" fillId="4" borderId="0" xfId="0" applyNumberFormat="1" applyFont="1" applyFill="1" applyAlignment="1">
      <alignment horizontal="center" vertical="center"/>
    </xf>
    <xf numFmtId="0" fontId="49" fillId="4" borderId="0" xfId="0" applyFont="1" applyFill="1"/>
    <xf numFmtId="0" fontId="53" fillId="4" borderId="0" xfId="0" applyFont="1" applyFill="1" applyAlignment="1">
      <alignment horizontal="left" vertical="center" indent="3"/>
    </xf>
    <xf numFmtId="0" fontId="26" fillId="17" borderId="1" xfId="0" applyFont="1" applyFill="1" applyBorder="1"/>
    <xf numFmtId="0" fontId="54" fillId="17" borderId="2" xfId="0" applyFont="1" applyFill="1" applyBorder="1" applyAlignment="1">
      <alignment vertical="center"/>
    </xf>
    <xf numFmtId="0" fontId="48" fillId="17" borderId="2" xfId="0" applyFont="1" applyFill="1" applyBorder="1" applyAlignment="1">
      <alignment vertical="center"/>
    </xf>
    <xf numFmtId="0" fontId="26" fillId="17" borderId="2" xfId="0" applyFont="1" applyFill="1" applyBorder="1" applyAlignment="1">
      <alignment vertical="center"/>
    </xf>
    <xf numFmtId="0" fontId="26" fillId="17" borderId="3" xfId="0" applyFont="1" applyFill="1" applyBorder="1" applyAlignment="1">
      <alignment vertical="center"/>
    </xf>
    <xf numFmtId="0" fontId="0" fillId="4" borderId="11" xfId="0" applyFill="1" applyBorder="1"/>
    <xf numFmtId="0" fontId="0" fillId="16" borderId="6" xfId="0" applyFill="1" applyBorder="1"/>
    <xf numFmtId="0" fontId="126" fillId="16" borderId="0" xfId="0" applyFont="1" applyFill="1"/>
    <xf numFmtId="0" fontId="0" fillId="16" borderId="12" xfId="0" applyFill="1" applyBorder="1"/>
    <xf numFmtId="0" fontId="0" fillId="16" borderId="11" xfId="0" applyFill="1" applyBorder="1"/>
    <xf numFmtId="0" fontId="68" fillId="16" borderId="0" xfId="0" applyFont="1" applyFill="1"/>
    <xf numFmtId="0" fontId="0" fillId="16" borderId="0" xfId="0" applyFill="1"/>
    <xf numFmtId="0" fontId="0" fillId="16" borderId="11" xfId="0" applyFill="1" applyBorder="1" applyAlignment="1">
      <alignment horizontal="center" vertical="center"/>
    </xf>
    <xf numFmtId="0" fontId="49" fillId="16" borderId="0" xfId="0" applyFont="1" applyFill="1" applyAlignment="1">
      <alignment horizontal="left" vertical="center" wrapText="1" indent="3"/>
    </xf>
    <xf numFmtId="0" fontId="49" fillId="16" borderId="0" xfId="0" applyFont="1" applyFill="1" applyAlignment="1">
      <alignment vertical="center" wrapText="1"/>
    </xf>
    <xf numFmtId="0" fontId="49" fillId="16" borderId="0" xfId="0" applyFont="1" applyFill="1" applyAlignment="1">
      <alignment horizontal="right" vertical="center"/>
    </xf>
    <xf numFmtId="0" fontId="108" fillId="16" borderId="12" xfId="0" applyFont="1" applyFill="1" applyBorder="1" applyAlignment="1">
      <alignment vertical="center" wrapText="1"/>
    </xf>
    <xf numFmtId="0" fontId="49" fillId="16" borderId="0" xfId="0" applyFont="1" applyFill="1" applyAlignment="1">
      <alignment horizontal="right"/>
    </xf>
    <xf numFmtId="0" fontId="48" fillId="16" borderId="0" xfId="0" applyFont="1" applyFill="1"/>
    <xf numFmtId="2" fontId="44" fillId="16" borderId="0" xfId="0" applyNumberFormat="1" applyFont="1" applyFill="1"/>
    <xf numFmtId="0" fontId="108" fillId="16" borderId="0" xfId="0" applyFont="1" applyFill="1" applyAlignment="1">
      <alignment vertical="center" wrapText="1"/>
    </xf>
    <xf numFmtId="0" fontId="0" fillId="4" borderId="11" xfId="0" applyFill="1" applyBorder="1" applyAlignment="1">
      <alignment horizontal="left" vertical="center"/>
    </xf>
    <xf numFmtId="0" fontId="49" fillId="16" borderId="0" xfId="0" applyFont="1" applyFill="1" applyAlignment="1">
      <alignment horizontal="left" vertical="center"/>
    </xf>
    <xf numFmtId="0" fontId="49" fillId="16" borderId="0" xfId="0" applyFont="1" applyFill="1"/>
    <xf numFmtId="0" fontId="53" fillId="16" borderId="0" xfId="0" applyFont="1" applyFill="1" applyAlignment="1">
      <alignment horizontal="center" vertical="center"/>
    </xf>
    <xf numFmtId="0" fontId="104" fillId="16" borderId="11" xfId="0" applyFont="1" applyFill="1" applyBorder="1" applyAlignment="1">
      <alignment horizontal="center" vertical="top"/>
    </xf>
    <xf numFmtId="0" fontId="49" fillId="16" borderId="0" xfId="0" applyFont="1" applyFill="1" applyAlignment="1">
      <alignment horizontal="center" vertical="center"/>
    </xf>
    <xf numFmtId="0" fontId="43" fillId="16" borderId="0" xfId="0" applyFont="1" applyFill="1" applyAlignment="1">
      <alignment vertical="center" wrapText="1"/>
    </xf>
    <xf numFmtId="0" fontId="43" fillId="16" borderId="12" xfId="0" applyFont="1" applyFill="1" applyBorder="1" applyAlignment="1">
      <alignment vertical="center" wrapText="1"/>
    </xf>
    <xf numFmtId="0" fontId="48" fillId="4" borderId="11" xfId="0" applyFont="1" applyFill="1" applyBorder="1" applyAlignment="1">
      <alignment horizontal="left" vertical="center"/>
    </xf>
    <xf numFmtId="0" fontId="69" fillId="4" borderId="0" xfId="0" applyFont="1" applyFill="1"/>
    <xf numFmtId="0" fontId="69" fillId="16" borderId="11" xfId="0" applyFont="1" applyFill="1" applyBorder="1" applyAlignment="1">
      <alignment horizontal="center" vertical="top"/>
    </xf>
    <xf numFmtId="0" fontId="136" fillId="16" borderId="0" xfId="0" applyFont="1" applyFill="1" applyAlignment="1">
      <alignment horizontal="left" vertical="center" wrapText="1"/>
    </xf>
    <xf numFmtId="0" fontId="140" fillId="16" borderId="0" xfId="0" applyFont="1" applyFill="1" applyAlignment="1">
      <alignment horizontal="left" vertical="center"/>
    </xf>
    <xf numFmtId="0" fontId="136" fillId="16" borderId="0" xfId="0" applyFont="1" applyFill="1" applyAlignment="1">
      <alignment horizontal="right" vertical="center"/>
    </xf>
    <xf numFmtId="0" fontId="136" fillId="16" borderId="0" xfId="0" applyFont="1" applyFill="1" applyAlignment="1">
      <alignment horizontal="center" vertical="center"/>
    </xf>
    <xf numFmtId="0" fontId="136" fillId="16" borderId="12" xfId="0" applyFont="1" applyFill="1" applyBorder="1" applyAlignment="1">
      <alignment horizontal="left" vertical="center"/>
    </xf>
    <xf numFmtId="0" fontId="141" fillId="4" borderId="11" xfId="0" applyFont="1" applyFill="1" applyBorder="1" applyAlignment="1">
      <alignment horizontal="left" vertical="center"/>
    </xf>
    <xf numFmtId="0" fontId="127" fillId="5" borderId="0" xfId="0" applyFont="1" applyFill="1"/>
    <xf numFmtId="0" fontId="65" fillId="5" borderId="0" xfId="0" applyFont="1" applyFill="1"/>
    <xf numFmtId="0" fontId="65" fillId="5" borderId="0" xfId="0" applyFont="1" applyFill="1" applyAlignment="1">
      <alignment horizontal="center"/>
    </xf>
    <xf numFmtId="0" fontId="0" fillId="16" borderId="11" xfId="0" applyFill="1" applyBorder="1" applyAlignment="1">
      <alignment horizontal="center" vertical="top"/>
    </xf>
    <xf numFmtId="0" fontId="49" fillId="16" borderId="121" xfId="0" applyFont="1" applyFill="1" applyBorder="1" applyAlignment="1">
      <alignment horizontal="left" vertical="center"/>
    </xf>
    <xf numFmtId="0" fontId="49" fillId="16" borderId="12" xfId="0" applyFont="1" applyFill="1" applyBorder="1" applyAlignment="1">
      <alignment horizontal="left" vertical="center"/>
    </xf>
    <xf numFmtId="0" fontId="48" fillId="4" borderId="11" xfId="0" applyFont="1" applyFill="1" applyBorder="1"/>
    <xf numFmtId="0" fontId="49" fillId="16" borderId="0" xfId="0" applyFont="1" applyFill="1" applyAlignment="1">
      <alignment horizontal="left" vertical="center" indent="2"/>
    </xf>
    <xf numFmtId="0" fontId="49" fillId="16" borderId="0" xfId="0" applyFont="1" applyFill="1" applyAlignment="1">
      <alignment horizontal="left" indent="1"/>
    </xf>
    <xf numFmtId="0" fontId="0" fillId="4" borderId="0" xfId="0" applyFill="1" applyAlignment="1">
      <alignment vertical="center"/>
    </xf>
    <xf numFmtId="0" fontId="0" fillId="16" borderId="11" xfId="0" applyFill="1" applyBorder="1" applyAlignment="1">
      <alignment vertical="top"/>
    </xf>
    <xf numFmtId="0" fontId="68" fillId="16" borderId="0" xfId="0" applyFont="1" applyFill="1" applyAlignment="1">
      <alignment vertical="center"/>
    </xf>
    <xf numFmtId="0" fontId="48" fillId="16" borderId="0" xfId="0" applyFont="1" applyFill="1" applyAlignment="1">
      <alignment vertical="center"/>
    </xf>
    <xf numFmtId="0" fontId="0" fillId="23" borderId="0" xfId="0" applyFill="1" applyAlignment="1">
      <alignment vertical="center"/>
    </xf>
    <xf numFmtId="0" fontId="49" fillId="16" borderId="0" xfId="0" applyFont="1" applyFill="1" applyAlignment="1">
      <alignment horizontal="left" vertical="top"/>
    </xf>
    <xf numFmtId="0" fontId="49" fillId="16" borderId="102" xfId="0" applyFont="1" applyFill="1" applyBorder="1" applyAlignment="1">
      <alignment vertical="center"/>
    </xf>
    <xf numFmtId="0" fontId="49" fillId="16" borderId="103" xfId="0" applyFont="1" applyFill="1" applyBorder="1" applyAlignment="1">
      <alignment horizontal="left" vertical="top"/>
    </xf>
    <xf numFmtId="0" fontId="49" fillId="16" borderId="0" xfId="0" applyFont="1" applyFill="1" applyAlignment="1">
      <alignment wrapText="1"/>
    </xf>
    <xf numFmtId="0" fontId="49" fillId="16" borderId="0" xfId="0" applyFont="1" applyFill="1" applyAlignment="1">
      <alignment horizontal="center" vertical="center" wrapText="1"/>
    </xf>
    <xf numFmtId="0" fontId="0" fillId="16" borderId="13" xfId="0" applyFill="1" applyBorder="1"/>
    <xf numFmtId="0" fontId="49" fillId="16" borderId="15" xfId="0" applyFont="1" applyFill="1" applyBorder="1"/>
    <xf numFmtId="0" fontId="51" fillId="16" borderId="15" xfId="0" applyFont="1" applyFill="1" applyBorder="1" applyAlignment="1">
      <alignment vertical="center"/>
    </xf>
    <xf numFmtId="0" fontId="49" fillId="16" borderId="14" xfId="0" applyFont="1" applyFill="1" applyBorder="1" applyAlignment="1">
      <alignment horizontal="left" vertical="center"/>
    </xf>
    <xf numFmtId="0" fontId="0" fillId="16" borderId="7" xfId="0" applyFill="1" applyBorder="1" applyAlignment="1">
      <alignment horizontal="right" vertical="center"/>
    </xf>
    <xf numFmtId="0" fontId="0" fillId="16" borderId="8" xfId="0" applyFill="1" applyBorder="1" applyAlignment="1">
      <alignment horizontal="left" vertical="center"/>
    </xf>
    <xf numFmtId="0" fontId="0" fillId="16" borderId="0" xfId="0" applyFill="1" applyAlignment="1">
      <alignment horizontal="right" vertical="center"/>
    </xf>
    <xf numFmtId="0" fontId="0" fillId="16" borderId="12" xfId="0" applyFill="1" applyBorder="1" applyAlignment="1">
      <alignment horizontal="left" vertical="center"/>
    </xf>
    <xf numFmtId="2" fontId="49" fillId="16" borderId="0" xfId="0" applyNumberFormat="1" applyFont="1" applyFill="1" applyAlignment="1">
      <alignment horizontal="center" vertical="center" wrapText="1"/>
    </xf>
    <xf numFmtId="0" fontId="82" fillId="16" borderId="0" xfId="0" applyFont="1" applyFill="1"/>
    <xf numFmtId="0" fontId="0" fillId="16" borderId="0" xfId="0" applyFill="1" applyAlignment="1">
      <alignment vertical="center"/>
    </xf>
    <xf numFmtId="3" fontId="50" fillId="16" borderId="0" xfId="0" applyNumberFormat="1" applyFont="1" applyFill="1" applyAlignment="1">
      <alignment horizontal="center" vertical="center" wrapText="1"/>
    </xf>
    <xf numFmtId="0" fontId="49" fillId="16" borderId="0" xfId="0" applyFont="1" applyFill="1" applyAlignment="1">
      <alignment vertical="center"/>
    </xf>
    <xf numFmtId="0" fontId="104" fillId="16" borderId="11" xfId="0" applyFont="1" applyFill="1" applyBorder="1" applyAlignment="1">
      <alignment horizontal="center"/>
    </xf>
    <xf numFmtId="2" fontId="44" fillId="16" borderId="0" xfId="0" applyNumberFormat="1" applyFont="1" applyFill="1" applyAlignment="1">
      <alignment horizontal="center" vertical="center"/>
    </xf>
    <xf numFmtId="0" fontId="48" fillId="16" borderId="0" xfId="0" applyFont="1" applyFill="1" applyAlignment="1">
      <alignment horizontal="center" vertical="center"/>
    </xf>
    <xf numFmtId="0" fontId="0" fillId="4" borderId="12" xfId="0" applyFill="1" applyBorder="1"/>
    <xf numFmtId="0" fontId="0" fillId="16" borderId="15" xfId="0" applyFill="1" applyBorder="1" applyAlignment="1">
      <alignment horizontal="center"/>
    </xf>
    <xf numFmtId="0" fontId="0" fillId="16" borderId="15" xfId="0" applyFill="1" applyBorder="1" applyAlignment="1">
      <alignment horizontal="right" vertical="center" wrapText="1"/>
    </xf>
    <xf numFmtId="0" fontId="0" fillId="16" borderId="14" xfId="0" applyFill="1" applyBorder="1" applyAlignment="1">
      <alignment horizontal="right" vertical="center" wrapText="1"/>
    </xf>
    <xf numFmtId="0" fontId="0" fillId="4" borderId="0" xfId="0" applyFill="1" applyAlignment="1">
      <alignment horizontal="right" vertical="center" wrapText="1"/>
    </xf>
    <xf numFmtId="0" fontId="45" fillId="4" borderId="0" xfId="0" applyFont="1" applyFill="1" applyAlignment="1">
      <alignment wrapText="1"/>
    </xf>
    <xf numFmtId="0" fontId="14" fillId="4" borderId="0" xfId="0" applyFont="1" applyFill="1" applyAlignment="1">
      <alignment vertical="center"/>
    </xf>
    <xf numFmtId="0" fontId="29" fillId="5" borderId="6" xfId="0" applyFont="1" applyFill="1" applyBorder="1" applyAlignment="1">
      <alignment horizontal="left"/>
    </xf>
    <xf numFmtId="0" fontId="29" fillId="5" borderId="7" xfId="0" applyFont="1" applyFill="1" applyBorder="1" applyAlignment="1">
      <alignment horizontal="left"/>
    </xf>
    <xf numFmtId="0" fontId="0" fillId="5" borderId="8" xfId="0" applyFill="1" applyBorder="1" applyAlignment="1">
      <alignment horizontal="left"/>
    </xf>
    <xf numFmtId="0" fontId="29" fillId="5" borderId="4" xfId="0" applyFont="1" applyFill="1" applyBorder="1" applyAlignment="1">
      <alignment horizontal="left"/>
    </xf>
    <xf numFmtId="0" fontId="70" fillId="5" borderId="4" xfId="0" applyFont="1" applyFill="1" applyBorder="1" applyAlignment="1">
      <alignment horizontal="left"/>
    </xf>
    <xf numFmtId="0" fontId="0" fillId="4" borderId="19" xfId="0" applyFill="1" applyBorder="1"/>
    <xf numFmtId="0" fontId="70" fillId="5" borderId="12" xfId="0" applyFont="1" applyFill="1" applyBorder="1" applyAlignment="1">
      <alignment horizontal="left"/>
    </xf>
    <xf numFmtId="0" fontId="0" fillId="5" borderId="12" xfId="0" applyFill="1" applyBorder="1" applyAlignment="1">
      <alignment horizontal="left"/>
    </xf>
    <xf numFmtId="0" fontId="29" fillId="5" borderId="10" xfId="0" applyFont="1" applyFill="1" applyBorder="1" applyAlignment="1">
      <alignment horizontal="left"/>
    </xf>
    <xf numFmtId="0" fontId="29" fillId="4" borderId="0" xfId="0" applyFont="1" applyFill="1"/>
    <xf numFmtId="0" fontId="0" fillId="5" borderId="14" xfId="0" applyFill="1" applyBorder="1" applyAlignment="1">
      <alignment horizontal="left"/>
    </xf>
    <xf numFmtId="0" fontId="46"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7" borderId="4" xfId="0" applyFont="1" applyFill="1" applyBorder="1" applyAlignment="1">
      <alignment horizontal="center" vertical="center"/>
    </xf>
    <xf numFmtId="0" fontId="5" fillId="5" borderId="0" xfId="0" applyFont="1" applyFill="1" applyAlignment="1">
      <alignment horizontal="center" vertical="center"/>
    </xf>
    <xf numFmtId="0" fontId="0" fillId="30" borderId="4" xfId="0" applyFill="1" applyBorder="1" applyAlignment="1">
      <alignment horizontal="center" vertical="center"/>
    </xf>
    <xf numFmtId="0" fontId="45" fillId="4" borderId="0" xfId="0" applyFont="1" applyFill="1" applyAlignment="1">
      <alignment vertical="center" wrapText="1"/>
    </xf>
    <xf numFmtId="9" fontId="97" fillId="30" borderId="4" xfId="0" applyNumberFormat="1" applyFont="1" applyFill="1" applyBorder="1" applyAlignment="1">
      <alignment horizontal="center" vertical="center" wrapText="1"/>
    </xf>
    <xf numFmtId="0" fontId="14" fillId="4" borderId="0" xfId="0" applyFont="1" applyFill="1" applyAlignment="1">
      <alignment horizontal="left" vertical="center" wrapText="1"/>
    </xf>
    <xf numFmtId="0" fontId="14" fillId="4" borderId="0" xfId="0" applyFont="1" applyFill="1" applyAlignment="1">
      <alignment vertical="center" wrapText="1"/>
    </xf>
    <xf numFmtId="0" fontId="0" fillId="27" borderId="4" xfId="0" applyFill="1" applyBorder="1" applyAlignment="1">
      <alignment horizontal="center" vertical="center"/>
    </xf>
    <xf numFmtId="0" fontId="69" fillId="5" borderId="4" xfId="0" applyFont="1" applyFill="1" applyBorder="1" applyAlignment="1">
      <alignment horizontal="center" vertical="center"/>
    </xf>
    <xf numFmtId="0" fontId="49" fillId="5" borderId="13" xfId="0" applyFont="1" applyFill="1" applyBorder="1" applyAlignment="1">
      <alignment wrapText="1"/>
    </xf>
    <xf numFmtId="0" fontId="14" fillId="4" borderId="0" xfId="0" applyFont="1" applyFill="1"/>
    <xf numFmtId="0" fontId="2" fillId="4" borderId="11" xfId="0" applyFont="1" applyFill="1" applyBorder="1" applyAlignment="1">
      <alignment vertical="center"/>
    </xf>
    <xf numFmtId="0" fontId="8" fillId="4" borderId="11" xfId="0" applyFont="1" applyFill="1" applyBorder="1" applyAlignment="1">
      <alignment vertical="center"/>
    </xf>
    <xf numFmtId="0" fontId="4" fillId="16" borderId="0" xfId="0" applyFont="1" applyFill="1" applyAlignment="1">
      <alignment horizontal="right" vertical="center"/>
    </xf>
    <xf numFmtId="0" fontId="0" fillId="16" borderId="0" xfId="0" applyFill="1" applyAlignment="1">
      <alignment horizontal="left" vertical="center"/>
    </xf>
    <xf numFmtId="174" fontId="4" fillId="16" borderId="0" xfId="0" applyNumberFormat="1" applyFont="1" applyFill="1" applyAlignment="1">
      <alignment horizontal="center" vertical="center"/>
    </xf>
    <xf numFmtId="0" fontId="8" fillId="16" borderId="0" xfId="0" applyFont="1" applyFill="1" applyAlignment="1">
      <alignment vertical="center"/>
    </xf>
    <xf numFmtId="3" fontId="4" fillId="16" borderId="0" xfId="0" applyNumberFormat="1" applyFont="1" applyFill="1" applyAlignment="1">
      <alignment horizontal="center" vertical="center"/>
    </xf>
    <xf numFmtId="0" fontId="8" fillId="4" borderId="0" xfId="0" applyFont="1" applyFill="1" applyAlignment="1">
      <alignment horizontal="left" vertical="center"/>
    </xf>
    <xf numFmtId="0" fontId="82" fillId="16" borderId="0" xfId="0" applyFont="1" applyFill="1" applyAlignment="1">
      <alignment horizontal="left" vertical="center"/>
    </xf>
    <xf numFmtId="0" fontId="4" fillId="16" borderId="0" xfId="0" applyFont="1" applyFill="1" applyAlignment="1">
      <alignment horizontal="right"/>
    </xf>
    <xf numFmtId="0" fontId="49" fillId="4" borderId="0" xfId="0" applyFont="1" applyFill="1" applyAlignment="1">
      <alignment horizontal="left"/>
    </xf>
    <xf numFmtId="0" fontId="45" fillId="4" borderId="0" xfId="0" applyFont="1" applyFill="1" applyAlignment="1">
      <alignment horizontal="left" wrapText="1"/>
    </xf>
    <xf numFmtId="0" fontId="46" fillId="4" borderId="0" xfId="0" applyFont="1" applyFill="1" applyAlignment="1">
      <alignment horizontal="left" vertical="center"/>
    </xf>
    <xf numFmtId="3" fontId="68" fillId="4" borderId="0" xfId="0" applyNumberFormat="1" applyFont="1" applyFill="1" applyAlignment="1">
      <alignment horizontal="center" vertical="center"/>
    </xf>
    <xf numFmtId="0" fontId="34" fillId="4" borderId="0" xfId="0" applyFont="1" applyFill="1"/>
    <xf numFmtId="0" fontId="68" fillId="4" borderId="0" xfId="0" applyFont="1" applyFill="1" applyAlignment="1">
      <alignment vertical="center"/>
    </xf>
    <xf numFmtId="3" fontId="0" fillId="23" borderId="0" xfId="0" applyNumberFormat="1" applyFill="1"/>
    <xf numFmtId="0" fontId="8" fillId="23" borderId="0" xfId="0" applyFont="1" applyFill="1" applyAlignment="1">
      <alignment horizontal="center" vertical="center"/>
    </xf>
    <xf numFmtId="173" fontId="0" fillId="23" borderId="0" xfId="0" applyNumberFormat="1" applyFill="1"/>
    <xf numFmtId="0" fontId="4" fillId="23" borderId="0" xfId="0" applyFont="1" applyFill="1"/>
    <xf numFmtId="0" fontId="0" fillId="23" borderId="0" xfId="0" applyFill="1" applyAlignment="1">
      <alignment horizontal="center" vertical="center"/>
    </xf>
    <xf numFmtId="0" fontId="142" fillId="5" borderId="0" xfId="0" applyFont="1" applyFill="1" applyAlignment="1">
      <alignment horizontal="left" vertical="center" wrapText="1" indent="6"/>
    </xf>
    <xf numFmtId="0" fontId="0" fillId="36" borderId="0" xfId="0" applyFill="1"/>
    <xf numFmtId="0" fontId="4" fillId="27" borderId="4" xfId="0" applyFont="1" applyFill="1" applyBorder="1" applyAlignment="1">
      <alignment horizontal="center" vertical="center"/>
    </xf>
    <xf numFmtId="0" fontId="0" fillId="23" borderId="0" xfId="0" quotePrefix="1" applyFill="1"/>
    <xf numFmtId="0" fontId="162" fillId="37" borderId="61" xfId="0" applyFont="1" applyFill="1" applyBorder="1" applyAlignment="1">
      <alignment horizontal="center" vertical="center"/>
    </xf>
    <xf numFmtId="0" fontId="162" fillId="37" borderId="200" xfId="0" applyFont="1" applyFill="1" applyBorder="1" applyAlignment="1">
      <alignment horizontal="center" vertical="center"/>
    </xf>
    <xf numFmtId="0" fontId="162" fillId="37" borderId="20" xfId="0" applyFont="1" applyFill="1" applyBorder="1" applyAlignment="1">
      <alignment horizontal="center" vertical="center"/>
    </xf>
    <xf numFmtId="0" fontId="161" fillId="4" borderId="0" xfId="0" applyFont="1" applyFill="1"/>
    <xf numFmtId="0" fontId="14" fillId="5" borderId="0" xfId="0" applyFont="1" applyFill="1" applyAlignment="1">
      <alignment horizontal="left" vertical="center" wrapText="1"/>
    </xf>
    <xf numFmtId="0" fontId="14" fillId="23" borderId="0" xfId="0" applyFont="1" applyFill="1" applyAlignment="1">
      <alignment vertical="center" wrapText="1"/>
    </xf>
    <xf numFmtId="0" fontId="102" fillId="6" borderId="1" xfId="0" applyFont="1" applyFill="1" applyBorder="1" applyAlignment="1">
      <alignment vertical="center"/>
    </xf>
    <xf numFmtId="0" fontId="130" fillId="23" borderId="0" xfId="0" applyFont="1" applyFill="1" applyAlignment="1">
      <alignment vertical="center"/>
    </xf>
    <xf numFmtId="0" fontId="162" fillId="37" borderId="22" xfId="0" applyFont="1" applyFill="1" applyBorder="1" applyAlignment="1">
      <alignment horizontal="center" vertical="center"/>
    </xf>
    <xf numFmtId="0" fontId="162" fillId="37" borderId="27" xfId="0" applyFont="1" applyFill="1" applyBorder="1" applyAlignment="1">
      <alignment horizontal="center" vertical="center"/>
    </xf>
    <xf numFmtId="0" fontId="2" fillId="4" borderId="0" xfId="0" applyFont="1" applyFill="1" applyAlignment="1">
      <alignment horizontal="left" vertical="center"/>
    </xf>
    <xf numFmtId="0" fontId="68" fillId="16" borderId="7" xfId="0" applyFont="1" applyFill="1" applyBorder="1" applyAlignment="1">
      <alignment horizontal="right" vertical="center"/>
    </xf>
    <xf numFmtId="174" fontId="68" fillId="16" borderId="0" xfId="0" applyNumberFormat="1" applyFont="1" applyFill="1" applyAlignment="1">
      <alignment horizontal="right" vertical="center"/>
    </xf>
    <xf numFmtId="0" fontId="82" fillId="16" borderId="0" xfId="0" applyFont="1" applyFill="1" applyAlignment="1">
      <alignment horizontal="left" vertical="center" indent="1"/>
    </xf>
    <xf numFmtId="0" fontId="45" fillId="5" borderId="0" xfId="0" applyFont="1" applyFill="1" applyAlignment="1">
      <alignment vertical="center" wrapText="1"/>
    </xf>
    <xf numFmtId="0" fontId="2" fillId="5" borderId="0" xfId="0" applyFont="1" applyFill="1" applyAlignment="1">
      <alignment horizontal="left" vertical="center"/>
    </xf>
    <xf numFmtId="0" fontId="184" fillId="4" borderId="0" xfId="0" applyFont="1" applyFill="1" applyAlignment="1">
      <alignment vertical="top" wrapText="1"/>
    </xf>
    <xf numFmtId="0" fontId="182" fillId="4" borderId="0" xfId="0" applyFont="1" applyFill="1" applyAlignment="1">
      <alignment horizontal="right"/>
    </xf>
    <xf numFmtId="0" fontId="54" fillId="17" borderId="186" xfId="0" applyFont="1" applyFill="1" applyBorder="1" applyAlignment="1">
      <alignment horizontal="center" vertical="center" wrapText="1"/>
    </xf>
    <xf numFmtId="0" fontId="177" fillId="4" borderId="0" xfId="0" applyFont="1" applyFill="1" applyAlignment="1">
      <alignment horizontal="left" vertical="center" wrapText="1" indent="1"/>
    </xf>
    <xf numFmtId="0" fontId="183" fillId="4" borderId="0" xfId="0" applyFont="1" applyFill="1" applyAlignment="1">
      <alignment vertical="top" wrapText="1"/>
    </xf>
    <xf numFmtId="0" fontId="184" fillId="4" borderId="0" xfId="0" applyFont="1" applyFill="1" applyAlignment="1">
      <alignment vertical="center" wrapText="1"/>
    </xf>
    <xf numFmtId="0" fontId="158" fillId="4" borderId="0" xfId="0" applyFont="1" applyFill="1" applyAlignment="1">
      <alignment horizontal="left" vertical="center" wrapText="1"/>
    </xf>
    <xf numFmtId="0" fontId="158" fillId="4" borderId="0" xfId="0" applyFont="1" applyFill="1" applyAlignment="1">
      <alignment horizontal="left" vertical="center"/>
    </xf>
    <xf numFmtId="0" fontId="54" fillId="17" borderId="196" xfId="0" applyFont="1" applyFill="1" applyBorder="1" applyAlignment="1">
      <alignment horizontal="left" vertical="center" wrapText="1" indent="1"/>
    </xf>
    <xf numFmtId="0" fontId="54" fillId="17" borderId="197" xfId="0" applyFont="1" applyFill="1" applyBorder="1" applyAlignment="1">
      <alignment horizontal="center" vertical="center"/>
    </xf>
    <xf numFmtId="0" fontId="54" fillId="17" borderId="198" xfId="0" applyFont="1" applyFill="1" applyBorder="1" applyAlignment="1">
      <alignment horizontal="center" vertical="center" wrapText="1"/>
    </xf>
    <xf numFmtId="0" fontId="211" fillId="20" borderId="199" xfId="0" applyFont="1" applyFill="1" applyBorder="1" applyAlignment="1">
      <alignment horizontal="left" vertical="center" wrapText="1" indent="1"/>
    </xf>
    <xf numFmtId="174" fontId="49" fillId="2" borderId="4" xfId="0" applyNumberFormat="1" applyFont="1" applyFill="1" applyBorder="1" applyAlignment="1">
      <alignment horizontal="center" vertical="center"/>
    </xf>
    <xf numFmtId="0" fontId="53" fillId="37" borderId="1" xfId="0" applyFont="1" applyFill="1" applyBorder="1" applyAlignment="1">
      <alignment horizontal="center" vertical="center"/>
    </xf>
    <xf numFmtId="0" fontId="53" fillId="37" borderId="4" xfId="0" applyFont="1" applyFill="1" applyBorder="1" applyAlignment="1">
      <alignment horizontal="center" vertical="center"/>
    </xf>
    <xf numFmtId="0" fontId="211" fillId="20" borderId="199" xfId="0" applyFont="1" applyFill="1" applyBorder="1" applyAlignment="1">
      <alignment horizontal="right" vertical="center" wrapText="1" indent="1"/>
    </xf>
    <xf numFmtId="0" fontId="49" fillId="2" borderId="4" xfId="0" applyFont="1" applyFill="1" applyBorder="1" applyAlignment="1">
      <alignment horizontal="center" vertical="center"/>
    </xf>
    <xf numFmtId="0" fontId="212" fillId="20" borderId="199" xfId="0" applyFont="1" applyFill="1" applyBorder="1" applyAlignment="1">
      <alignment horizontal="left" vertical="center" wrapText="1" indent="1"/>
    </xf>
    <xf numFmtId="0" fontId="156" fillId="4" borderId="0" xfId="0" applyFont="1" applyFill="1" applyAlignment="1">
      <alignment horizontal="right" vertical="center" wrapText="1"/>
    </xf>
    <xf numFmtId="0" fontId="178" fillId="4" borderId="0" xfId="0" applyFont="1" applyFill="1" applyAlignment="1">
      <alignment vertical="center"/>
    </xf>
    <xf numFmtId="0" fontId="177" fillId="4" borderId="0" xfId="0" applyFont="1" applyFill="1" applyAlignment="1">
      <alignment vertical="top"/>
    </xf>
    <xf numFmtId="0" fontId="177" fillId="4" borderId="0" xfId="0" applyFont="1" applyFill="1" applyAlignment="1">
      <alignment vertical="top" wrapText="1"/>
    </xf>
    <xf numFmtId="0" fontId="177" fillId="4" borderId="0" xfId="0" applyFont="1" applyFill="1" applyAlignment="1">
      <alignment horizontal="right" vertical="top" wrapText="1"/>
    </xf>
    <xf numFmtId="0" fontId="205" fillId="4" borderId="0" xfId="0" applyFont="1" applyFill="1" applyAlignment="1">
      <alignment horizontal="center" vertical="center" wrapText="1"/>
    </xf>
    <xf numFmtId="0" fontId="177" fillId="4" borderId="0" xfId="0" applyFont="1" applyFill="1" applyAlignment="1">
      <alignment horizontal="left" vertical="center" indent="2"/>
    </xf>
    <xf numFmtId="0" fontId="49" fillId="4" borderId="0" xfId="0" applyFont="1" applyFill="1" applyAlignment="1">
      <alignment horizontal="left" indent="2"/>
    </xf>
    <xf numFmtId="0" fontId="178" fillId="4" borderId="0" xfId="0" applyFont="1" applyFill="1" applyAlignment="1">
      <alignment horizontal="left" vertical="top"/>
    </xf>
    <xf numFmtId="0" fontId="182" fillId="4" borderId="0" xfId="0" applyFont="1" applyFill="1" applyAlignment="1">
      <alignment horizontal="left" vertical="top"/>
    </xf>
    <xf numFmtId="0" fontId="48" fillId="4" borderId="0" xfId="0" applyFont="1" applyFill="1" applyAlignment="1">
      <alignment horizontal="left" vertical="top" wrapText="1" indent="2"/>
    </xf>
    <xf numFmtId="0" fontId="49" fillId="4" borderId="0" xfId="0" applyFont="1" applyFill="1" applyAlignment="1">
      <alignment horizontal="left" vertical="top" indent="2"/>
    </xf>
    <xf numFmtId="0" fontId="48" fillId="4" borderId="0" xfId="0" applyFont="1" applyFill="1" applyAlignment="1">
      <alignment horizontal="left" vertical="top" indent="3"/>
    </xf>
    <xf numFmtId="0" fontId="54" fillId="17" borderId="1" xfId="0" applyFont="1" applyFill="1" applyBorder="1" applyAlignment="1">
      <alignment horizontal="center" vertical="top" wrapText="1"/>
    </xf>
    <xf numFmtId="0" fontId="48" fillId="16" borderId="4" xfId="0" applyFont="1" applyFill="1" applyBorder="1" applyAlignment="1">
      <alignment horizontal="center" vertical="center" wrapText="1"/>
    </xf>
    <xf numFmtId="0" fontId="48" fillId="4" borderId="0" xfId="0" applyFont="1" applyFill="1" applyAlignment="1">
      <alignment horizontal="left" vertical="top" indent="2"/>
    </xf>
    <xf numFmtId="0" fontId="184" fillId="19" borderId="0" xfId="0" applyFont="1" applyFill="1" applyAlignment="1">
      <alignment vertical="top" wrapText="1"/>
    </xf>
    <xf numFmtId="0" fontId="190" fillId="4" borderId="0" xfId="0" applyFont="1" applyFill="1" applyAlignment="1">
      <alignment horizontal="center" vertical="top"/>
    </xf>
    <xf numFmtId="0" fontId="44" fillId="4" borderId="0" xfId="0" applyFont="1" applyFill="1" applyAlignment="1">
      <alignment horizontal="left" vertical="center"/>
    </xf>
    <xf numFmtId="0" fontId="177" fillId="5" borderId="0" xfId="0" applyFont="1" applyFill="1" applyAlignment="1">
      <alignment horizontal="left" vertical="center"/>
    </xf>
    <xf numFmtId="0" fontId="183" fillId="5" borderId="0" xfId="0" applyFont="1" applyFill="1" applyAlignment="1">
      <alignment horizontal="left" vertical="center"/>
    </xf>
    <xf numFmtId="0" fontId="178" fillId="5" borderId="0" xfId="0" applyFont="1" applyFill="1" applyAlignment="1">
      <alignment horizontal="left" vertical="top"/>
    </xf>
    <xf numFmtId="0" fontId="171" fillId="4" borderId="0" xfId="0" applyFont="1" applyFill="1" applyAlignment="1" applyProtection="1">
      <alignment horizontal="center"/>
      <protection locked="0"/>
    </xf>
    <xf numFmtId="0" fontId="49" fillId="5" borderId="0" xfId="0" applyFont="1" applyFill="1" applyAlignment="1">
      <alignment vertical="center"/>
    </xf>
    <xf numFmtId="1" fontId="49" fillId="5" borderId="0" xfId="0" applyNumberFormat="1" applyFont="1" applyFill="1" applyAlignment="1">
      <alignment horizontal="center" vertical="center"/>
    </xf>
    <xf numFmtId="0" fontId="4" fillId="16" borderId="0" xfId="0" applyFont="1" applyFill="1" applyAlignment="1">
      <alignment vertical="center"/>
    </xf>
    <xf numFmtId="0" fontId="133" fillId="41" borderId="251" xfId="0" applyFont="1" applyFill="1" applyBorder="1" applyAlignment="1">
      <alignment horizontal="left" vertical="center" wrapText="1"/>
    </xf>
    <xf numFmtId="0" fontId="133" fillId="41" borderId="252" xfId="0" applyFont="1" applyFill="1" applyBorder="1" applyAlignment="1">
      <alignment horizontal="left" vertical="center" wrapText="1"/>
    </xf>
    <xf numFmtId="0" fontId="26" fillId="41" borderId="251" xfId="0" applyFont="1" applyFill="1" applyBorder="1" applyAlignment="1">
      <alignment vertical="center"/>
    </xf>
    <xf numFmtId="0" fontId="26" fillId="41" borderId="253" xfId="0" applyFont="1" applyFill="1" applyBorder="1" applyAlignment="1">
      <alignment horizontal="left" vertical="center"/>
    </xf>
    <xf numFmtId="0" fontId="0" fillId="0" borderId="0" xfId="0" applyAlignment="1">
      <alignment vertical="center"/>
    </xf>
    <xf numFmtId="0" fontId="0" fillId="5" borderId="0" xfId="0" applyFill="1" applyAlignment="1" applyProtection="1">
      <alignment horizontal="center"/>
      <protection locked="0"/>
    </xf>
    <xf numFmtId="0" fontId="4" fillId="5" borderId="0" xfId="0" applyFont="1" applyFill="1" applyAlignment="1">
      <alignment horizontal="right" indent="1"/>
    </xf>
    <xf numFmtId="0" fontId="26" fillId="5" borderId="19" xfId="0" applyFont="1" applyFill="1" applyBorder="1" applyAlignment="1">
      <alignment horizontal="left"/>
    </xf>
    <xf numFmtId="0" fontId="150" fillId="42" borderId="254" xfId="0" applyFont="1" applyFill="1" applyBorder="1" applyAlignment="1">
      <alignment horizontal="center" vertical="center" wrapText="1"/>
    </xf>
    <xf numFmtId="0" fontId="222" fillId="0" borderId="20" xfId="0" applyFont="1" applyBorder="1" applyAlignment="1">
      <alignment horizontal="right"/>
    </xf>
    <xf numFmtId="0" fontId="166" fillId="6" borderId="255" xfId="0" applyFont="1" applyFill="1" applyBorder="1" applyAlignment="1">
      <alignment vertical="center" wrapText="1"/>
    </xf>
    <xf numFmtId="0" fontId="26" fillId="5" borderId="20" xfId="0" applyFont="1" applyFill="1" applyBorder="1" applyAlignment="1">
      <alignment vertical="center"/>
    </xf>
    <xf numFmtId="0" fontId="166" fillId="6" borderId="255" xfId="0" applyFont="1" applyFill="1" applyBorder="1"/>
    <xf numFmtId="0" fontId="0" fillId="2" borderId="0" xfId="0" applyFill="1" applyAlignment="1">
      <alignment horizontal="center" vertical="center"/>
    </xf>
    <xf numFmtId="0" fontId="0" fillId="5" borderId="25" xfId="0" applyFill="1" applyBorder="1"/>
    <xf numFmtId="0" fontId="0" fillId="5" borderId="26" xfId="0" applyFill="1" applyBorder="1"/>
    <xf numFmtId="0" fontId="0" fillId="5" borderId="27" xfId="0" applyFill="1" applyBorder="1"/>
    <xf numFmtId="0" fontId="0" fillId="5" borderId="20" xfId="0" applyFill="1" applyBorder="1" applyAlignment="1">
      <alignment vertical="center"/>
    </xf>
    <xf numFmtId="0" fontId="175" fillId="5" borderId="0" xfId="0" applyFont="1" applyFill="1" applyAlignment="1">
      <alignment horizontal="left" vertical="top"/>
    </xf>
    <xf numFmtId="0" fontId="0" fillId="5" borderId="20" xfId="0" applyFill="1" applyBorder="1"/>
    <xf numFmtId="0" fontId="221" fillId="5" borderId="19" xfId="0" applyFont="1" applyFill="1" applyBorder="1" applyAlignment="1">
      <alignment vertical="center"/>
    </xf>
    <xf numFmtId="0" fontId="174" fillId="5" borderId="0" xfId="0" applyFont="1" applyFill="1" applyAlignment="1">
      <alignment horizontal="left" vertical="top"/>
    </xf>
    <xf numFmtId="0" fontId="4" fillId="0" borderId="19" xfId="0" applyFont="1" applyBorder="1" applyAlignment="1">
      <alignment vertical="center"/>
    </xf>
    <xf numFmtId="0" fontId="0" fillId="5" borderId="19" xfId="0" applyFill="1" applyBorder="1" applyAlignment="1">
      <alignment vertical="center"/>
    </xf>
    <xf numFmtId="0" fontId="26" fillId="41" borderId="2" xfId="0" applyFont="1" applyFill="1" applyBorder="1" applyAlignment="1">
      <alignment horizontal="left" vertical="center"/>
    </xf>
    <xf numFmtId="0" fontId="54" fillId="17" borderId="9" xfId="0" applyFont="1" applyFill="1" applyBorder="1" applyAlignment="1">
      <alignment horizontal="center" vertical="center" wrapText="1"/>
    </xf>
    <xf numFmtId="0" fontId="26" fillId="0" borderId="263" xfId="0" applyFont="1" applyBorder="1" applyAlignment="1" applyProtection="1">
      <alignment horizontal="center" vertical="center"/>
      <protection locked="0"/>
    </xf>
    <xf numFmtId="0" fontId="26" fillId="0" borderId="264" xfId="0" applyFont="1" applyBorder="1" applyAlignment="1" applyProtection="1">
      <alignment horizontal="center" vertical="center"/>
      <protection locked="0"/>
    </xf>
    <xf numFmtId="0" fontId="26" fillId="0" borderId="265" xfId="0" applyFont="1" applyBorder="1" applyAlignment="1" applyProtection="1">
      <alignment horizontal="center" vertical="center"/>
      <protection locked="0"/>
    </xf>
    <xf numFmtId="0" fontId="163" fillId="30" borderId="60" xfId="1" applyNumberFormat="1" applyFont="1" applyFill="1" applyBorder="1" applyAlignment="1" applyProtection="1">
      <alignment horizontal="center" vertical="center" wrapText="1"/>
      <protection hidden="1"/>
    </xf>
    <xf numFmtId="0" fontId="163" fillId="30" borderId="4" xfId="1" applyNumberFormat="1" applyFont="1" applyFill="1" applyBorder="1" applyAlignment="1" applyProtection="1">
      <alignment horizontal="center" vertical="center" wrapText="1"/>
      <protection hidden="1"/>
    </xf>
    <xf numFmtId="0" fontId="163" fillId="30" borderId="201" xfId="1" applyNumberFormat="1" applyFont="1" applyFill="1" applyBorder="1" applyAlignment="1" applyProtection="1">
      <alignment horizontal="center" vertical="center" wrapText="1"/>
      <protection hidden="1"/>
    </xf>
    <xf numFmtId="0" fontId="163" fillId="30" borderId="202" xfId="1" applyNumberFormat="1" applyFont="1" applyFill="1" applyBorder="1" applyAlignment="1" applyProtection="1">
      <alignment horizontal="center" vertical="center" wrapText="1"/>
      <protection hidden="1"/>
    </xf>
    <xf numFmtId="0" fontId="163" fillId="30" borderId="62" xfId="1" applyNumberFormat="1" applyFont="1" applyFill="1" applyBorder="1" applyAlignment="1" applyProtection="1">
      <alignment horizontal="center" vertical="center" wrapText="1"/>
      <protection hidden="1"/>
    </xf>
    <xf numFmtId="173" fontId="8" fillId="16" borderId="244" xfId="4" applyNumberFormat="1" applyFont="1" applyFill="1" applyBorder="1" applyAlignment="1" applyProtection="1">
      <alignment horizontal="center" vertical="center"/>
      <protection hidden="1"/>
    </xf>
    <xf numFmtId="173" fontId="8" fillId="16" borderId="6" xfId="4" applyNumberFormat="1" applyFont="1" applyFill="1" applyBorder="1" applyAlignment="1" applyProtection="1">
      <alignment horizontal="center" vertical="center"/>
      <protection hidden="1"/>
    </xf>
    <xf numFmtId="173" fontId="8" fillId="16" borderId="9" xfId="4" applyNumberFormat="1" applyFont="1" applyFill="1" applyBorder="1" applyAlignment="1" applyProtection="1">
      <alignment horizontal="center" vertical="center"/>
      <protection hidden="1"/>
    </xf>
    <xf numFmtId="0" fontId="152" fillId="16" borderId="216" xfId="0" applyFont="1" applyFill="1" applyBorder="1" applyAlignment="1" applyProtection="1">
      <alignment horizontal="center" vertical="center"/>
      <protection hidden="1"/>
    </xf>
    <xf numFmtId="0" fontId="152" fillId="16" borderId="5" xfId="0" applyFont="1" applyFill="1" applyBorder="1" applyAlignment="1" applyProtection="1">
      <alignment horizontal="center" vertical="center"/>
      <protection hidden="1"/>
    </xf>
    <xf numFmtId="0" fontId="152" fillId="16" borderId="201" xfId="0" applyFont="1" applyFill="1" applyBorder="1" applyAlignment="1" applyProtection="1">
      <alignment horizontal="center" vertical="center"/>
      <protection hidden="1"/>
    </xf>
    <xf numFmtId="0" fontId="152" fillId="16" borderId="202" xfId="0" applyFont="1" applyFill="1" applyBorder="1" applyAlignment="1" applyProtection="1">
      <alignment horizontal="center" vertical="center"/>
      <protection hidden="1"/>
    </xf>
    <xf numFmtId="3" fontId="152" fillId="16" borderId="23" xfId="0" applyNumberFormat="1" applyFont="1" applyFill="1" applyBorder="1" applyAlignment="1" applyProtection="1">
      <alignment horizontal="center" vertical="center"/>
      <protection hidden="1"/>
    </xf>
    <xf numFmtId="173" fontId="8" fillId="16" borderId="243" xfId="4" applyNumberFormat="1" applyFont="1" applyFill="1" applyBorder="1" applyAlignment="1" applyProtection="1">
      <alignment horizontal="center" vertical="center"/>
      <protection hidden="1"/>
    </xf>
    <xf numFmtId="174" fontId="49" fillId="2" borderId="4" xfId="0" applyNumberFormat="1" applyFont="1" applyFill="1" applyBorder="1" applyAlignment="1" applyProtection="1">
      <alignment horizontal="center" vertical="center"/>
      <protection hidden="1"/>
    </xf>
    <xf numFmtId="174" fontId="49" fillId="2" borderId="1" xfId="0" applyNumberFormat="1" applyFont="1" applyFill="1" applyBorder="1" applyAlignment="1" applyProtection="1">
      <alignment horizontal="center" vertical="center"/>
      <protection hidden="1"/>
    </xf>
    <xf numFmtId="0" fontId="53" fillId="37" borderId="4" xfId="0" applyFont="1" applyFill="1" applyBorder="1" applyAlignment="1" applyProtection="1">
      <alignment horizontal="center" vertical="center"/>
      <protection hidden="1"/>
    </xf>
    <xf numFmtId="0" fontId="53" fillId="37" borderId="1" xfId="0" applyFont="1" applyFill="1" applyBorder="1" applyAlignment="1" applyProtection="1">
      <alignment horizontal="center" vertical="center"/>
      <protection hidden="1"/>
    </xf>
    <xf numFmtId="174" fontId="49" fillId="2" borderId="6" xfId="0" applyNumberFormat="1" applyFont="1" applyFill="1" applyBorder="1" applyAlignment="1" applyProtection="1">
      <alignment horizontal="center" vertical="center"/>
      <protection hidden="1"/>
    </xf>
    <xf numFmtId="174" fontId="49" fillId="2" borderId="9" xfId="0" applyNumberFormat="1" applyFont="1" applyFill="1" applyBorder="1" applyAlignment="1" applyProtection="1">
      <alignment horizontal="center" vertical="center"/>
      <protection hidden="1"/>
    </xf>
    <xf numFmtId="174" fontId="53" fillId="4" borderId="0" xfId="1" applyNumberFormat="1" applyFont="1" applyFill="1" applyBorder="1" applyAlignment="1" applyProtection="1">
      <alignment horizontal="center" vertical="center" wrapText="1"/>
      <protection hidden="1"/>
    </xf>
    <xf numFmtId="3" fontId="68" fillId="16" borderId="3" xfId="0" applyNumberFormat="1" applyFont="1" applyFill="1" applyBorder="1" applyAlignment="1" applyProtection="1">
      <alignment horizontal="center" vertical="center"/>
      <protection hidden="1"/>
    </xf>
    <xf numFmtId="0" fontId="68" fillId="4" borderId="0" xfId="0" applyFont="1" applyFill="1" applyAlignment="1" applyProtection="1">
      <alignment horizontal="center"/>
      <protection hidden="1"/>
    </xf>
    <xf numFmtId="3" fontId="68" fillId="4" borderId="0" xfId="0" applyNumberFormat="1" applyFont="1" applyFill="1" applyAlignment="1" applyProtection="1">
      <alignment horizontal="center" vertical="center"/>
      <protection hidden="1"/>
    </xf>
    <xf numFmtId="0" fontId="34" fillId="4" borderId="0" xfId="0" applyFont="1" applyFill="1" applyProtection="1">
      <protection hidden="1"/>
    </xf>
    <xf numFmtId="3" fontId="68" fillId="23" borderId="0" xfId="0" applyNumberFormat="1" applyFont="1" applyFill="1" applyAlignment="1" applyProtection="1">
      <alignment horizontal="center"/>
      <protection hidden="1"/>
    </xf>
    <xf numFmtId="9" fontId="49" fillId="0" borderId="4" xfId="1"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56" fillId="0" borderId="0" xfId="0" applyFont="1" applyAlignment="1">
      <alignment vertical="center"/>
    </xf>
    <xf numFmtId="0" fontId="31" fillId="0" borderId="4" xfId="0" applyFont="1" applyBorder="1" applyAlignment="1">
      <alignment horizontal="left" vertical="center"/>
    </xf>
    <xf numFmtId="1" fontId="0" fillId="5" borderId="0" xfId="0" applyNumberFormat="1" applyFill="1" applyAlignment="1">
      <alignment horizontal="center" vertical="center"/>
    </xf>
    <xf numFmtId="2" fontId="0" fillId="0" borderId="4" xfId="0" applyNumberFormat="1" applyBorder="1" applyAlignment="1">
      <alignment vertical="center"/>
    </xf>
    <xf numFmtId="2" fontId="225" fillId="0" borderId="4" xfId="0" applyNumberFormat="1" applyFont="1" applyBorder="1" applyAlignment="1">
      <alignment vertical="center"/>
    </xf>
    <xf numFmtId="0" fontId="2" fillId="6" borderId="4" xfId="0" applyFont="1" applyFill="1" applyBorder="1" applyAlignment="1">
      <alignment vertical="center" wrapText="1"/>
    </xf>
    <xf numFmtId="0" fontId="2" fillId="6" borderId="4" xfId="0" applyFont="1" applyFill="1" applyBorder="1" applyAlignment="1">
      <alignment vertical="center"/>
    </xf>
    <xf numFmtId="0" fontId="2" fillId="5" borderId="0" xfId="0" applyFont="1" applyFill="1" applyAlignment="1">
      <alignment horizontal="center" vertical="center"/>
    </xf>
    <xf numFmtId="0" fontId="2" fillId="5" borderId="0" xfId="0" applyFont="1" applyFill="1" applyAlignment="1">
      <alignment horizontal="center" vertical="center" wrapText="1"/>
    </xf>
    <xf numFmtId="2" fontId="0" fillId="5" borderId="0" xfId="0" applyNumberFormat="1" applyFill="1" applyAlignment="1">
      <alignment horizontal="center" vertical="center"/>
    </xf>
    <xf numFmtId="2" fontId="0" fillId="14" borderId="0" xfId="0" applyNumberFormat="1" applyFill="1" applyAlignment="1">
      <alignment horizontal="center" vertical="center"/>
    </xf>
    <xf numFmtId="0" fontId="95" fillId="5" borderId="0" xfId="0" quotePrefix="1" applyFont="1" applyFill="1"/>
    <xf numFmtId="0" fontId="2" fillId="23" borderId="4" xfId="0" applyFont="1" applyFill="1" applyBorder="1" applyAlignment="1">
      <alignment horizontal="centerContinuous" vertical="center" wrapText="1"/>
    </xf>
    <xf numFmtId="2" fontId="0" fillId="14" borderId="4" xfId="0" applyNumberFormat="1" applyFill="1" applyBorder="1" applyAlignment="1">
      <alignment horizontal="center" vertical="center"/>
    </xf>
    <xf numFmtId="2" fontId="0" fillId="14" borderId="3" xfId="0" applyNumberFormat="1" applyFill="1" applyBorder="1" applyAlignment="1">
      <alignment horizontal="center" vertical="center"/>
    </xf>
    <xf numFmtId="0" fontId="133" fillId="4" borderId="0" xfId="0" applyFont="1" applyFill="1" applyAlignment="1">
      <alignment horizontal="center"/>
    </xf>
    <xf numFmtId="0" fontId="0" fillId="0" borderId="262" xfId="0" applyBorder="1" applyAlignment="1" applyProtection="1">
      <alignment horizontal="center"/>
      <protection locked="0"/>
    </xf>
    <xf numFmtId="168" fontId="34" fillId="2" borderId="3" xfId="0" applyNumberFormat="1" applyFont="1" applyFill="1" applyBorder="1" applyAlignment="1">
      <alignment horizontal="center"/>
    </xf>
    <xf numFmtId="0" fontId="172" fillId="5" borderId="0" xfId="0" applyFont="1" applyFill="1"/>
    <xf numFmtId="0" fontId="172" fillId="5" borderId="0" xfId="0" applyFont="1" applyFill="1" applyAlignment="1">
      <alignment horizontal="left" wrapText="1"/>
    </xf>
    <xf numFmtId="0" fontId="173" fillId="5" borderId="0" xfId="0" applyFont="1" applyFill="1" applyAlignment="1">
      <alignment horizontal="left"/>
    </xf>
    <xf numFmtId="0" fontId="180" fillId="5" borderId="0" xfId="0" applyFont="1" applyFill="1" applyAlignment="1">
      <alignment horizontal="left" vertical="top"/>
    </xf>
    <xf numFmtId="0" fontId="188" fillId="5" borderId="0" xfId="0" applyFont="1" applyFill="1"/>
    <xf numFmtId="0" fontId="48" fillId="5" borderId="0" xfId="0" applyFont="1" applyFill="1"/>
    <xf numFmtId="0" fontId="179" fillId="5" borderId="0" xfId="0" applyFont="1" applyFill="1" applyAlignment="1">
      <alignment horizontal="left" vertical="top"/>
    </xf>
    <xf numFmtId="0" fontId="176" fillId="5" borderId="0" xfId="0" applyFont="1" applyFill="1" applyAlignment="1">
      <alignment horizontal="left" vertical="center" indent="2"/>
    </xf>
    <xf numFmtId="0" fontId="46" fillId="17" borderId="4" xfId="0" applyFont="1" applyFill="1" applyBorder="1" applyAlignment="1">
      <alignment horizontal="center" vertical="center" wrapText="1"/>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174" fontId="0" fillId="5" borderId="4" xfId="4" applyNumberFormat="1" applyFont="1" applyFill="1" applyBorder="1" applyAlignment="1">
      <alignment horizontal="center" vertical="center"/>
    </xf>
    <xf numFmtId="0" fontId="0" fillId="0" borderId="8" xfId="0" applyBorder="1"/>
    <xf numFmtId="0" fontId="0" fillId="5" borderId="14" xfId="0" applyFill="1" applyBorder="1"/>
    <xf numFmtId="174" fontId="227" fillId="4" borderId="0" xfId="1" applyNumberFormat="1" applyFont="1" applyFill="1" applyBorder="1" applyAlignment="1" applyProtection="1">
      <alignment vertical="center" wrapText="1"/>
    </xf>
    <xf numFmtId="0" fontId="52" fillId="43" borderId="9" xfId="0" applyFont="1" applyFill="1" applyBorder="1" applyAlignment="1">
      <alignment horizontal="center" vertical="center" wrapText="1"/>
    </xf>
    <xf numFmtId="0" fontId="52" fillId="43" borderId="5" xfId="0" applyFont="1" applyFill="1" applyBorder="1" applyAlignment="1">
      <alignment horizontal="center" vertical="center" wrapText="1"/>
    </xf>
    <xf numFmtId="3" fontId="0" fillId="44" borderId="4" xfId="0" applyNumberFormat="1" applyFill="1" applyBorder="1" applyAlignment="1">
      <alignment horizontal="center" vertical="center"/>
    </xf>
    <xf numFmtId="0" fontId="0" fillId="5" borderId="12" xfId="0" applyFill="1" applyBorder="1"/>
    <xf numFmtId="0" fontId="49" fillId="5" borderId="278" xfId="0" applyFont="1" applyFill="1" applyBorder="1" applyAlignment="1" applyProtection="1">
      <alignment horizontal="center" vertical="center"/>
      <protection locked="0"/>
    </xf>
    <xf numFmtId="0" fontId="49" fillId="3" borderId="272" xfId="0" applyFont="1" applyFill="1" applyBorder="1" applyAlignment="1">
      <alignment horizontal="center" vertical="center"/>
    </xf>
    <xf numFmtId="2" fontId="49" fillId="5" borderId="14" xfId="0" applyNumberFormat="1" applyFont="1" applyFill="1" applyBorder="1" applyAlignment="1" applyProtection="1">
      <alignment horizontal="center" vertical="center"/>
      <protection locked="0"/>
    </xf>
    <xf numFmtId="0" fontId="49" fillId="3" borderId="272" xfId="0" applyFont="1" applyFill="1" applyBorder="1" applyAlignment="1">
      <alignment horizontal="center" vertical="center" wrapText="1"/>
    </xf>
    <xf numFmtId="0" fontId="230" fillId="4" borderId="1" xfId="0" applyFont="1" applyFill="1" applyBorder="1" applyAlignment="1">
      <alignment horizontal="left" vertical="center" wrapText="1" indent="1"/>
    </xf>
    <xf numFmtId="3" fontId="230" fillId="0" borderId="273" xfId="0" applyNumberFormat="1" applyFont="1" applyBorder="1" applyAlignment="1" applyProtection="1">
      <alignment horizontal="center" vertical="center" wrapText="1"/>
      <protection locked="0"/>
    </xf>
    <xf numFmtId="3" fontId="230" fillId="0" borderId="274" xfId="0" applyNumberFormat="1" applyFont="1" applyBorder="1" applyAlignment="1" applyProtection="1">
      <alignment horizontal="center" vertical="center" wrapText="1"/>
      <protection locked="0"/>
    </xf>
    <xf numFmtId="3" fontId="230" fillId="0" borderId="275" xfId="0" applyNumberFormat="1" applyFont="1" applyBorder="1" applyAlignment="1" applyProtection="1">
      <alignment horizontal="center" vertical="center" wrapText="1"/>
      <protection locked="0"/>
    </xf>
    <xf numFmtId="3" fontId="230" fillId="0" borderId="276" xfId="0" applyNumberFormat="1" applyFont="1" applyBorder="1" applyAlignment="1" applyProtection="1">
      <alignment horizontal="center" vertical="center" wrapText="1"/>
      <protection locked="0"/>
    </xf>
    <xf numFmtId="3" fontId="230" fillId="0" borderId="272" xfId="0" applyNumberFormat="1" applyFont="1" applyBorder="1" applyAlignment="1" applyProtection="1">
      <alignment horizontal="center" vertical="center" wrapText="1"/>
      <protection locked="0"/>
    </xf>
    <xf numFmtId="3" fontId="230" fillId="0" borderId="277" xfId="0" applyNumberFormat="1" applyFont="1" applyBorder="1" applyAlignment="1" applyProtection="1">
      <alignment horizontal="center" vertical="center" wrapText="1"/>
      <protection locked="0"/>
    </xf>
    <xf numFmtId="3" fontId="48" fillId="5" borderId="4" xfId="0" applyNumberFormat="1" applyFont="1" applyFill="1" applyBorder="1" applyAlignment="1">
      <alignment vertical="center"/>
    </xf>
    <xf numFmtId="3" fontId="53" fillId="5" borderId="4" xfId="0" applyNumberFormat="1" applyFont="1" applyFill="1" applyBorder="1" applyAlignment="1" applyProtection="1">
      <alignment horizontal="right" vertical="center"/>
      <protection locked="0"/>
    </xf>
    <xf numFmtId="0" fontId="54" fillId="17" borderId="200" xfId="0" applyFont="1" applyFill="1" applyBorder="1" applyAlignment="1">
      <alignment horizontal="center" vertical="center" wrapText="1"/>
    </xf>
    <xf numFmtId="0" fontId="54" fillId="17" borderId="62" xfId="0" applyFont="1" applyFill="1" applyBorder="1" applyAlignment="1">
      <alignment horizontal="center" vertical="center" wrapText="1"/>
    </xf>
    <xf numFmtId="3" fontId="49" fillId="23" borderId="58" xfId="0" applyNumberFormat="1" applyFont="1" applyFill="1" applyBorder="1" applyAlignment="1">
      <alignment horizontal="center" vertical="center"/>
    </xf>
    <xf numFmtId="0" fontId="49" fillId="36" borderId="30" xfId="0" applyFont="1" applyFill="1" applyBorder="1" applyAlignment="1">
      <alignment horizontal="right" vertical="center"/>
    </xf>
    <xf numFmtId="3" fontId="142" fillId="5" borderId="58" xfId="0" applyNumberFormat="1" applyFont="1" applyFill="1" applyBorder="1" applyAlignment="1" applyProtection="1">
      <alignment horizontal="center" vertical="center"/>
      <protection locked="0"/>
    </xf>
    <xf numFmtId="174" fontId="49" fillId="5" borderId="26" xfId="4" applyNumberFormat="1" applyFont="1" applyFill="1" applyBorder="1" applyAlignment="1">
      <alignment horizontal="center" vertical="center"/>
    </xf>
    <xf numFmtId="3" fontId="48" fillId="5" borderId="26" xfId="0" applyNumberFormat="1" applyFont="1" applyFill="1" applyBorder="1" applyAlignment="1">
      <alignment vertical="center"/>
    </xf>
    <xf numFmtId="0" fontId="49" fillId="5" borderId="26" xfId="0" applyFont="1" applyFill="1" applyBorder="1" applyAlignment="1">
      <alignment horizontal="right" vertical="center"/>
    </xf>
    <xf numFmtId="3" fontId="53" fillId="5" borderId="26" xfId="0" applyNumberFormat="1" applyFont="1" applyFill="1" applyBorder="1" applyAlignment="1" applyProtection="1">
      <alignment horizontal="right" vertical="center"/>
      <protection locked="0"/>
    </xf>
    <xf numFmtId="0" fontId="142" fillId="5" borderId="27" xfId="0" applyFont="1" applyFill="1" applyBorder="1" applyAlignment="1" applyProtection="1">
      <alignment horizontal="center" vertical="center"/>
      <protection locked="0"/>
    </xf>
    <xf numFmtId="0" fontId="48" fillId="5" borderId="3" xfId="0" applyFont="1" applyFill="1" applyBorder="1" applyAlignment="1">
      <alignment vertical="center"/>
    </xf>
    <xf numFmtId="3" fontId="49" fillId="5" borderId="4" xfId="0" applyNumberFormat="1" applyFont="1" applyFill="1" applyBorder="1" applyAlignment="1">
      <alignment horizontal="right" vertical="center"/>
    </xf>
    <xf numFmtId="0" fontId="8" fillId="23" borderId="0" xfId="0" applyFont="1" applyFill="1" applyAlignment="1" applyProtection="1">
      <alignment horizontal="center"/>
      <protection hidden="1"/>
    </xf>
    <xf numFmtId="9" fontId="8" fillId="23" borderId="0" xfId="1" applyFont="1" applyFill="1" applyAlignment="1" applyProtection="1">
      <alignment horizontal="center"/>
      <protection hidden="1"/>
    </xf>
    <xf numFmtId="0" fontId="0" fillId="5" borderId="279" xfId="0" applyFill="1" applyBorder="1"/>
    <xf numFmtId="9" fontId="49" fillId="23" borderId="145" xfId="1" applyFont="1" applyFill="1" applyBorder="1" applyAlignment="1" applyProtection="1">
      <alignment horizontal="center" vertical="center"/>
      <protection locked="0"/>
    </xf>
    <xf numFmtId="0" fontId="142" fillId="5" borderId="280" xfId="0" applyFont="1" applyFill="1" applyBorder="1" applyAlignment="1" applyProtection="1">
      <alignment horizontal="center" vertical="center"/>
      <protection locked="0"/>
    </xf>
    <xf numFmtId="9" fontId="49" fillId="23" borderId="139" xfId="1" applyFont="1" applyFill="1" applyBorder="1" applyAlignment="1" applyProtection="1">
      <alignment horizontal="center" vertical="center"/>
      <protection locked="0"/>
    </xf>
    <xf numFmtId="9" fontId="49" fillId="23" borderId="143" xfId="1" applyFont="1" applyFill="1" applyBorder="1" applyAlignment="1">
      <alignment horizontal="center" vertical="center"/>
    </xf>
    <xf numFmtId="0" fontId="53" fillId="5" borderId="0" xfId="0" applyFont="1" applyFill="1" applyAlignment="1">
      <alignment horizontal="center" vertical="center" wrapText="1"/>
    </xf>
    <xf numFmtId="0" fontId="49" fillId="36" borderId="1" xfId="0" applyFont="1" applyFill="1" applyBorder="1" applyAlignment="1">
      <alignment horizontal="left" vertical="center" wrapText="1"/>
    </xf>
    <xf numFmtId="0" fontId="49" fillId="36" borderId="3" xfId="0" applyFont="1" applyFill="1" applyBorder="1" applyAlignment="1">
      <alignment horizontal="left" vertical="center" wrapText="1"/>
    </xf>
    <xf numFmtId="0" fontId="54" fillId="17" borderId="4" xfId="0" applyFont="1" applyFill="1" applyBorder="1" applyAlignment="1">
      <alignment horizontal="center" vertical="center"/>
    </xf>
    <xf numFmtId="0" fontId="49" fillId="5" borderId="1" xfId="0" applyFont="1" applyFill="1" applyBorder="1" applyAlignment="1">
      <alignment horizontal="center" vertical="center"/>
    </xf>
    <xf numFmtId="0" fontId="49" fillId="5" borderId="3" xfId="0" applyFont="1" applyFill="1" applyBorder="1" applyAlignment="1">
      <alignment horizontal="center" vertical="center"/>
    </xf>
    <xf numFmtId="0" fontId="53" fillId="36" borderId="139" xfId="0" applyFont="1" applyFill="1" applyBorder="1" applyAlignment="1">
      <alignment horizontal="center" vertical="center"/>
    </xf>
    <xf numFmtId="0" fontId="53" fillId="36" borderId="30" xfId="0" applyFont="1" applyFill="1" applyBorder="1" applyAlignment="1">
      <alignment horizontal="left" vertical="center"/>
    </xf>
    <xf numFmtId="0" fontId="53" fillId="36" borderId="2" xfId="0" applyFont="1" applyFill="1" applyBorder="1" applyAlignment="1">
      <alignment horizontal="left" vertical="center"/>
    </xf>
    <xf numFmtId="0" fontId="53" fillId="36" borderId="3" xfId="0" applyFont="1" applyFill="1" applyBorder="1" applyAlignment="1">
      <alignment horizontal="left" vertical="center"/>
    </xf>
    <xf numFmtId="0" fontId="53" fillId="36" borderId="60" xfId="0" applyFont="1" applyFill="1" applyBorder="1" applyAlignment="1">
      <alignment horizontal="left" vertical="center"/>
    </xf>
    <xf numFmtId="0" fontId="53" fillId="36" borderId="4" xfId="0" applyFont="1" applyFill="1" applyBorder="1" applyAlignment="1">
      <alignment horizontal="left" vertical="center"/>
    </xf>
    <xf numFmtId="0" fontId="53" fillId="36" borderId="140" xfId="0" applyFont="1" applyFill="1" applyBorder="1" applyAlignment="1">
      <alignment horizontal="center" vertical="center" wrapText="1"/>
    </xf>
    <xf numFmtId="0" fontId="53" fillId="36" borderId="141" xfId="0" applyFont="1" applyFill="1" applyBorder="1" applyAlignment="1">
      <alignment horizontal="center" vertical="center" wrapText="1"/>
    </xf>
    <xf numFmtId="0" fontId="53" fillId="36" borderId="142" xfId="0" applyFont="1" applyFill="1" applyBorder="1" applyAlignment="1">
      <alignment horizontal="center" vertical="center" wrapText="1"/>
    </xf>
    <xf numFmtId="0" fontId="53" fillId="36" borderId="140" xfId="0" applyFont="1" applyFill="1" applyBorder="1" applyAlignment="1">
      <alignment horizontal="center" vertical="center"/>
    </xf>
    <xf numFmtId="0" fontId="53" fillId="36" borderId="141" xfId="0" applyFont="1" applyFill="1" applyBorder="1" applyAlignment="1">
      <alignment horizontal="center" vertical="center"/>
    </xf>
    <xf numFmtId="0" fontId="53" fillId="36" borderId="142" xfId="0" applyFont="1" applyFill="1" applyBorder="1" applyAlignment="1">
      <alignment horizontal="center" vertical="center"/>
    </xf>
    <xf numFmtId="0" fontId="49" fillId="23" borderId="9" xfId="1" applyNumberFormat="1" applyFont="1" applyFill="1" applyBorder="1" applyAlignment="1">
      <alignment horizontal="center" vertical="center"/>
    </xf>
    <xf numFmtId="0" fontId="49" fillId="23" borderId="10" xfId="1" applyNumberFormat="1" applyFont="1" applyFill="1" applyBorder="1" applyAlignment="1">
      <alignment horizontal="center" vertical="center"/>
    </xf>
    <xf numFmtId="0" fontId="49" fillId="23" borderId="5" xfId="1" applyNumberFormat="1" applyFont="1" applyFill="1" applyBorder="1" applyAlignment="1">
      <alignment horizontal="center" vertical="center"/>
    </xf>
    <xf numFmtId="0" fontId="54" fillId="17" borderId="1" xfId="0" applyFont="1" applyFill="1" applyBorder="1" applyAlignment="1">
      <alignment horizontal="center" vertical="center" wrapText="1"/>
    </xf>
    <xf numFmtId="0" fontId="54" fillId="17" borderId="3" xfId="0" applyFont="1" applyFill="1" applyBorder="1" applyAlignment="1">
      <alignment horizontal="center" vertical="center" wrapText="1"/>
    </xf>
    <xf numFmtId="0" fontId="49" fillId="36" borderId="60" xfId="0" applyFont="1" applyFill="1" applyBorder="1" applyAlignment="1">
      <alignment horizontal="right" vertical="center"/>
    </xf>
    <xf numFmtId="0" fontId="49" fillId="36" borderId="4" xfId="0" applyFont="1" applyFill="1" applyBorder="1" applyAlignment="1">
      <alignment horizontal="right" vertical="center"/>
    </xf>
    <xf numFmtId="10" fontId="49" fillId="5" borderId="0" xfId="1" applyNumberFormat="1" applyFont="1" applyFill="1" applyBorder="1" applyAlignment="1">
      <alignment horizontal="center"/>
    </xf>
    <xf numFmtId="9" fontId="49" fillId="23" borderId="4" xfId="1" applyFont="1" applyFill="1" applyBorder="1" applyAlignment="1">
      <alignment horizontal="center" vertical="center"/>
    </xf>
    <xf numFmtId="9" fontId="49" fillId="23" borderId="144" xfId="1" applyFont="1" applyFill="1" applyBorder="1" applyAlignment="1">
      <alignment horizontal="center" vertical="center"/>
    </xf>
    <xf numFmtId="9" fontId="49" fillId="23" borderId="145" xfId="1" applyFont="1" applyFill="1" applyBorder="1" applyAlignment="1">
      <alignment horizontal="center" vertical="center"/>
    </xf>
    <xf numFmtId="0" fontId="54" fillId="17" borderId="139" xfId="0" applyFont="1" applyFill="1" applyBorder="1" applyAlignment="1">
      <alignment horizontal="center" vertical="center" wrapText="1"/>
    </xf>
    <xf numFmtId="0" fontId="49" fillId="5" borderId="1" xfId="1" applyNumberFormat="1" applyFont="1" applyFill="1" applyBorder="1" applyAlignment="1">
      <alignment horizontal="center" vertical="center"/>
    </xf>
    <xf numFmtId="0" fontId="49" fillId="5" borderId="3" xfId="1" applyNumberFormat="1" applyFont="1" applyFill="1" applyBorder="1" applyAlignment="1">
      <alignment horizontal="center" vertical="center"/>
    </xf>
    <xf numFmtId="0" fontId="49" fillId="36" borderId="30" xfId="0" applyFont="1" applyFill="1" applyBorder="1" applyAlignment="1">
      <alignment horizontal="right" vertical="center"/>
    </xf>
    <xf numFmtId="0" fontId="49" fillId="36" borderId="2" xfId="0" applyFont="1" applyFill="1" applyBorder="1" applyAlignment="1">
      <alignment horizontal="right" vertical="center"/>
    </xf>
    <xf numFmtId="0" fontId="49" fillId="36" borderId="3" xfId="0" applyFont="1" applyFill="1" applyBorder="1" applyAlignment="1">
      <alignment horizontal="right" vertical="center"/>
    </xf>
    <xf numFmtId="0" fontId="233" fillId="5" borderId="60" xfId="0" applyFont="1" applyFill="1" applyBorder="1" applyAlignment="1">
      <alignment horizontal="left" indent="10"/>
    </xf>
    <xf numFmtId="0" fontId="233" fillId="5" borderId="1" xfId="0" applyFont="1" applyFill="1" applyBorder="1" applyAlignment="1">
      <alignment horizontal="left" indent="10"/>
    </xf>
    <xf numFmtId="9" fontId="49" fillId="23" borderId="143" xfId="1" applyFont="1" applyFill="1" applyBorder="1" applyAlignment="1">
      <alignment horizontal="center" vertical="center"/>
    </xf>
    <xf numFmtId="0" fontId="53" fillId="36" borderId="30" xfId="0" applyFont="1" applyFill="1" applyBorder="1" applyAlignment="1">
      <alignment horizontal="left"/>
    </xf>
    <xf numFmtId="0" fontId="53" fillId="36" borderId="2" xfId="0" applyFont="1" applyFill="1" applyBorder="1" applyAlignment="1">
      <alignment horizontal="left"/>
    </xf>
    <xf numFmtId="0" fontId="53" fillId="36" borderId="3" xfId="0" applyFont="1" applyFill="1" applyBorder="1" applyAlignment="1">
      <alignment horizontal="left"/>
    </xf>
    <xf numFmtId="0" fontId="68" fillId="5" borderId="25" xfId="0" applyFont="1" applyFill="1" applyBorder="1" applyAlignment="1">
      <alignment horizontal="right" vertical="center"/>
    </xf>
    <xf numFmtId="0" fontId="68" fillId="5" borderId="26" xfId="0" applyFont="1" applyFill="1" applyBorder="1" applyAlignment="1">
      <alignment horizontal="right" vertical="center"/>
    </xf>
    <xf numFmtId="0" fontId="53" fillId="36" borderId="4" xfId="0" applyFont="1" applyFill="1" applyBorder="1" applyAlignment="1">
      <alignment horizontal="center" vertical="center"/>
    </xf>
    <xf numFmtId="0" fontId="53" fillId="36" borderId="1" xfId="0" applyFont="1" applyFill="1" applyBorder="1" applyAlignment="1">
      <alignment horizontal="center" vertical="center"/>
    </xf>
    <xf numFmtId="0" fontId="53" fillId="36" borderId="3" xfId="0" applyFont="1" applyFill="1" applyBorder="1" applyAlignment="1">
      <alignment horizontal="center" vertical="center"/>
    </xf>
    <xf numFmtId="9" fontId="49" fillId="5" borderId="0" xfId="1" applyFont="1" applyFill="1" applyBorder="1" applyAlignment="1">
      <alignment horizontal="center" vertical="center"/>
    </xf>
    <xf numFmtId="0" fontId="49" fillId="5" borderId="4" xfId="0" applyFont="1" applyFill="1" applyBorder="1" applyAlignment="1">
      <alignment horizontal="center" vertical="center"/>
    </xf>
    <xf numFmtId="0" fontId="54" fillId="5" borderId="0" xfId="0" applyFont="1" applyFill="1" applyAlignment="1">
      <alignment horizontal="center"/>
    </xf>
    <xf numFmtId="0" fontId="54" fillId="17" borderId="4" xfId="0" applyFont="1" applyFill="1" applyBorder="1" applyAlignment="1">
      <alignment horizontal="center" vertical="center" wrapText="1"/>
    </xf>
    <xf numFmtId="0" fontId="54" fillId="5" borderId="0" xfId="0" applyFont="1" applyFill="1" applyAlignment="1">
      <alignment horizontal="center" vertical="center" wrapText="1"/>
    </xf>
    <xf numFmtId="0" fontId="54" fillId="17" borderId="4" xfId="0" applyFont="1" applyFill="1" applyBorder="1" applyAlignment="1">
      <alignment horizontal="center"/>
    </xf>
    <xf numFmtId="0" fontId="49" fillId="23" borderId="4" xfId="1" applyNumberFormat="1" applyFont="1" applyFill="1" applyBorder="1" applyAlignment="1">
      <alignment horizontal="center" vertical="center"/>
    </xf>
    <xf numFmtId="0" fontId="150" fillId="42" borderId="249" xfId="0" applyFont="1" applyFill="1" applyBorder="1" applyAlignment="1">
      <alignment horizontal="center" vertical="center" wrapText="1"/>
    </xf>
    <xf numFmtId="0" fontId="150" fillId="42" borderId="250" xfId="0" applyFont="1" applyFill="1" applyBorder="1" applyAlignment="1">
      <alignment horizontal="center" vertical="center" wrapText="1"/>
    </xf>
    <xf numFmtId="0" fontId="150" fillId="42" borderId="191" xfId="0" applyFont="1" applyFill="1" applyBorder="1" applyAlignment="1">
      <alignment horizontal="center" vertical="center" wrapText="1"/>
    </xf>
    <xf numFmtId="0" fontId="150" fillId="42" borderId="186" xfId="0" applyFont="1" applyFill="1" applyBorder="1" applyAlignment="1">
      <alignment horizontal="center" vertical="center" wrapText="1"/>
    </xf>
    <xf numFmtId="0" fontId="133" fillId="41" borderId="191" xfId="0" applyFont="1" applyFill="1" applyBorder="1" applyAlignment="1">
      <alignment horizontal="left" vertical="center" wrapText="1"/>
    </xf>
    <xf numFmtId="0" fontId="133" fillId="41" borderId="251" xfId="0" applyFont="1" applyFill="1" applyBorder="1" applyAlignment="1">
      <alignment horizontal="left" vertical="center" wrapText="1"/>
    </xf>
    <xf numFmtId="0" fontId="26" fillId="0" borderId="266" xfId="0" applyFont="1" applyBorder="1" applyAlignment="1" applyProtection="1">
      <alignment horizontal="center" vertical="center"/>
      <protection locked="0"/>
    </xf>
    <xf numFmtId="0" fontId="26" fillId="0" borderId="267" xfId="0" applyFont="1" applyBorder="1" applyAlignment="1" applyProtection="1">
      <alignment horizontal="center" vertical="center"/>
      <protection locked="0"/>
    </xf>
    <xf numFmtId="0" fontId="220" fillId="6" borderId="256" xfId="0" applyFont="1" applyFill="1" applyBorder="1" applyAlignment="1">
      <alignment horizontal="left" vertical="center" wrapText="1"/>
    </xf>
    <xf numFmtId="0" fontId="220" fillId="6" borderId="257" xfId="0" applyFont="1" applyFill="1" applyBorder="1" applyAlignment="1">
      <alignment horizontal="left" vertical="center" wrapText="1"/>
    </xf>
    <xf numFmtId="0" fontId="220" fillId="6" borderId="258" xfId="0" applyFont="1" applyFill="1" applyBorder="1" applyAlignment="1">
      <alignment horizontal="left" vertical="center" wrapText="1"/>
    </xf>
    <xf numFmtId="0" fontId="49" fillId="4" borderId="139" xfId="0" applyFont="1" applyFill="1" applyBorder="1" applyAlignment="1">
      <alignment horizontal="center" vertical="center"/>
    </xf>
    <xf numFmtId="1" fontId="49" fillId="23" borderId="146" xfId="0" applyNumberFormat="1" applyFont="1" applyFill="1" applyBorder="1" applyAlignment="1" applyProtection="1">
      <alignment horizontal="center" vertical="center"/>
      <protection locked="0"/>
    </xf>
    <xf numFmtId="0" fontId="49" fillId="23" borderId="144" xfId="0" applyFont="1" applyFill="1" applyBorder="1" applyAlignment="1" applyProtection="1">
      <alignment horizontal="center" vertical="center"/>
      <protection locked="0"/>
    </xf>
    <xf numFmtId="0" fontId="49" fillId="23" borderId="147" xfId="0" applyFont="1" applyFill="1" applyBorder="1" applyAlignment="1" applyProtection="1">
      <alignment horizontal="center" vertical="center"/>
      <protection locked="0"/>
    </xf>
    <xf numFmtId="174" fontId="49" fillId="23" borderId="143" xfId="0" applyNumberFormat="1" applyFont="1" applyFill="1" applyBorder="1" applyAlignment="1">
      <alignment horizontal="center" vertical="center"/>
    </xf>
    <xf numFmtId="174" fontId="49" fillId="23" borderId="144" xfId="0" applyNumberFormat="1" applyFont="1" applyFill="1" applyBorder="1" applyAlignment="1">
      <alignment horizontal="center" vertical="center"/>
    </xf>
    <xf numFmtId="174" fontId="49" fillId="23" borderId="145" xfId="0" applyNumberFormat="1" applyFont="1" applyFill="1" applyBorder="1" applyAlignment="1">
      <alignment horizontal="center" vertical="center"/>
    </xf>
    <xf numFmtId="0" fontId="142" fillId="5" borderId="0" xfId="0" applyFont="1" applyFill="1" applyAlignment="1" applyProtection="1">
      <alignment horizontal="center" vertical="center"/>
      <protection locked="0"/>
    </xf>
    <xf numFmtId="0" fontId="168" fillId="5" borderId="0" xfId="0" applyFont="1" applyFill="1" applyAlignment="1" applyProtection="1">
      <alignment horizontal="right" vertical="center"/>
      <protection locked="0"/>
    </xf>
    <xf numFmtId="0" fontId="54" fillId="17" borderId="16" xfId="0" applyFont="1" applyFill="1" applyBorder="1" applyAlignment="1">
      <alignment horizontal="left" vertical="center"/>
    </xf>
    <xf numFmtId="0" fontId="54" fillId="17" borderId="17" xfId="0" applyFont="1" applyFill="1" applyBorder="1" applyAlignment="1">
      <alignment horizontal="left" vertical="center"/>
    </xf>
    <xf numFmtId="0" fontId="54" fillId="17" borderId="119" xfId="0" applyFont="1" applyFill="1" applyBorder="1" applyAlignment="1">
      <alignment horizontal="left" vertical="center"/>
    </xf>
    <xf numFmtId="0" fontId="53" fillId="36" borderId="1" xfId="0" applyFont="1" applyFill="1" applyBorder="1" applyAlignment="1">
      <alignment horizontal="left" vertical="center"/>
    </xf>
    <xf numFmtId="0" fontId="49" fillId="36" borderId="1" xfId="0" applyFont="1" applyFill="1" applyBorder="1" applyAlignment="1">
      <alignment horizontal="right" vertical="center"/>
    </xf>
    <xf numFmtId="0" fontId="54" fillId="17" borderId="1" xfId="0" applyFont="1" applyFill="1" applyBorder="1" applyAlignment="1">
      <alignment horizontal="center" vertical="center"/>
    </xf>
    <xf numFmtId="0" fontId="54" fillId="17" borderId="2" xfId="0" applyFont="1" applyFill="1" applyBorder="1" applyAlignment="1">
      <alignment horizontal="center" vertical="center"/>
    </xf>
    <xf numFmtId="0" fontId="54" fillId="17" borderId="3" xfId="0" applyFont="1" applyFill="1" applyBorder="1" applyAlignment="1">
      <alignment horizontal="center" vertical="center"/>
    </xf>
    <xf numFmtId="0" fontId="53" fillId="36" borderId="1" xfId="0" applyFont="1" applyFill="1" applyBorder="1" applyAlignment="1">
      <alignment horizontal="left"/>
    </xf>
    <xf numFmtId="0" fontId="26" fillId="41" borderId="186" xfId="0" applyFont="1" applyFill="1" applyBorder="1" applyAlignment="1">
      <alignment horizontal="left" vertical="center"/>
    </xf>
    <xf numFmtId="0" fontId="26" fillId="41" borderId="259" xfId="0" applyFont="1" applyFill="1" applyBorder="1" applyAlignment="1">
      <alignment horizontal="left" vertical="center"/>
    </xf>
    <xf numFmtId="0" fontId="26" fillId="5" borderId="268" xfId="0" applyFont="1" applyFill="1" applyBorder="1" applyAlignment="1" applyProtection="1">
      <alignment horizontal="center" vertical="center"/>
      <protection locked="0"/>
    </xf>
    <xf numFmtId="0" fontId="26" fillId="5" borderId="269" xfId="0" applyFont="1" applyFill="1" applyBorder="1" applyAlignment="1" applyProtection="1">
      <alignment horizontal="center" vertical="center"/>
      <protection locked="0"/>
    </xf>
    <xf numFmtId="0" fontId="26" fillId="41" borderId="260" xfId="0" applyFont="1" applyFill="1" applyBorder="1" applyAlignment="1">
      <alignment horizontal="left" vertical="center"/>
    </xf>
    <xf numFmtId="0" fontId="26" fillId="41" borderId="261" xfId="0" applyFont="1" applyFill="1" applyBorder="1" applyAlignment="1">
      <alignment horizontal="left" vertical="center"/>
    </xf>
    <xf numFmtId="0" fontId="26" fillId="5" borderId="270" xfId="0" applyFont="1" applyFill="1" applyBorder="1" applyAlignment="1" applyProtection="1">
      <alignment horizontal="center" vertical="center"/>
      <protection locked="0"/>
    </xf>
    <xf numFmtId="0" fontId="26" fillId="5" borderId="271" xfId="0" applyFont="1" applyFill="1" applyBorder="1" applyAlignment="1" applyProtection="1">
      <alignment horizontal="center" vertical="center"/>
      <protection locked="0"/>
    </xf>
    <xf numFmtId="0" fontId="0" fillId="2" borderId="0" xfId="0" applyFill="1" applyAlignment="1">
      <alignment horizontal="center" vertical="center"/>
    </xf>
    <xf numFmtId="0" fontId="48" fillId="0" borderId="36" xfId="0" applyFont="1" applyBorder="1" applyAlignment="1" applyProtection="1">
      <alignment horizontal="left" vertical="center"/>
      <protection locked="0"/>
    </xf>
    <xf numFmtId="0" fontId="48" fillId="0" borderId="37" xfId="0" applyFont="1" applyBorder="1" applyAlignment="1" applyProtection="1">
      <alignment horizontal="left" vertical="center"/>
      <protection locked="0"/>
    </xf>
    <xf numFmtId="0" fontId="48" fillId="0" borderId="38" xfId="0" applyFont="1" applyBorder="1" applyAlignment="1" applyProtection="1">
      <alignment horizontal="left" vertical="center"/>
      <protection locked="0"/>
    </xf>
    <xf numFmtId="0" fontId="46" fillId="20" borderId="0" xfId="0" applyFont="1" applyFill="1" applyAlignment="1">
      <alignment horizontal="left" vertical="center" wrapText="1"/>
    </xf>
    <xf numFmtId="0" fontId="14" fillId="20" borderId="0" xfId="0" applyFont="1" applyFill="1" applyAlignment="1">
      <alignment horizontal="left" vertical="center" wrapText="1"/>
    </xf>
    <xf numFmtId="0" fontId="177" fillId="5" borderId="36" xfId="0" applyFont="1" applyFill="1" applyBorder="1" applyAlignment="1" applyProtection="1">
      <alignment horizontal="left" vertical="center" wrapText="1"/>
      <protection locked="0"/>
    </xf>
    <xf numFmtId="0" fontId="177" fillId="5" borderId="37" xfId="0" applyFont="1" applyFill="1" applyBorder="1" applyAlignment="1" applyProtection="1">
      <alignment horizontal="left" vertical="center" wrapText="1"/>
      <protection locked="0"/>
    </xf>
    <xf numFmtId="0" fontId="177" fillId="5" borderId="38" xfId="0" applyFont="1" applyFill="1" applyBorder="1" applyAlignment="1" applyProtection="1">
      <alignment horizontal="left" vertical="center" wrapText="1"/>
      <protection locked="0"/>
    </xf>
    <xf numFmtId="0" fontId="177" fillId="5" borderId="36" xfId="0" applyFont="1" applyFill="1" applyBorder="1" applyAlignment="1" applyProtection="1">
      <alignment horizontal="center" vertical="center" wrapText="1"/>
      <protection locked="0"/>
    </xf>
    <xf numFmtId="0" fontId="177" fillId="5" borderId="37" xfId="0" applyFont="1" applyFill="1" applyBorder="1" applyAlignment="1" applyProtection="1">
      <alignment horizontal="center" vertical="center" wrapText="1"/>
      <protection locked="0"/>
    </xf>
    <xf numFmtId="0" fontId="177" fillId="5" borderId="38" xfId="0" applyFont="1" applyFill="1" applyBorder="1" applyAlignment="1" applyProtection="1">
      <alignment horizontal="center" vertical="center" wrapText="1"/>
      <protection locked="0"/>
    </xf>
    <xf numFmtId="0" fontId="177" fillId="4" borderId="0" xfId="0" applyFont="1" applyFill="1" applyAlignment="1">
      <alignment horizontal="left" vertical="center" wrapText="1"/>
    </xf>
    <xf numFmtId="0" fontId="49" fillId="0" borderId="208" xfId="0" applyFont="1" applyBorder="1" applyAlignment="1" applyProtection="1">
      <alignment horizontal="center" vertical="center" wrapText="1"/>
      <protection locked="0"/>
    </xf>
    <xf numFmtId="0" fontId="49" fillId="0" borderId="209" xfId="0" applyFont="1" applyBorder="1" applyAlignment="1" applyProtection="1">
      <alignment horizontal="center" vertical="center" wrapText="1"/>
      <protection locked="0"/>
    </xf>
    <xf numFmtId="0" fontId="49" fillId="0" borderId="210" xfId="0" applyFont="1" applyBorder="1" applyAlignment="1" applyProtection="1">
      <alignment horizontal="center" vertical="center" wrapText="1"/>
      <protection locked="0"/>
    </xf>
    <xf numFmtId="0" fontId="196" fillId="0" borderId="206" xfId="0" applyFont="1" applyBorder="1" applyAlignment="1">
      <alignment horizontal="center" vertical="center" wrapText="1"/>
    </xf>
    <xf numFmtId="0" fontId="196" fillId="0" borderId="207" xfId="0" applyFont="1" applyBorder="1" applyAlignment="1">
      <alignment horizontal="center" vertical="center" wrapText="1"/>
    </xf>
    <xf numFmtId="0" fontId="49" fillId="0" borderId="211" xfId="0" applyFont="1" applyBorder="1" applyAlignment="1">
      <alignment horizontal="center" vertical="center" wrapText="1"/>
    </xf>
    <xf numFmtId="0" fontId="49" fillId="0" borderId="209" xfId="0" applyFont="1" applyBorder="1" applyAlignment="1">
      <alignment horizontal="center" vertical="center" wrapText="1"/>
    </xf>
    <xf numFmtId="0" fontId="49" fillId="0" borderId="210" xfId="0" applyFont="1" applyBorder="1" applyAlignment="1">
      <alignment horizontal="center" vertical="center" wrapText="1"/>
    </xf>
    <xf numFmtId="0" fontId="52" fillId="36" borderId="1" xfId="0" applyFont="1" applyFill="1" applyBorder="1" applyAlignment="1">
      <alignment horizontal="center" vertical="center"/>
    </xf>
    <xf numFmtId="0" fontId="52" fillId="36" borderId="3" xfId="0" applyFont="1" applyFill="1" applyBorder="1" applyAlignment="1">
      <alignment horizontal="center" vertical="center"/>
    </xf>
    <xf numFmtId="174" fontId="49" fillId="41" borderId="211" xfId="0" applyNumberFormat="1" applyFont="1" applyFill="1" applyBorder="1" applyAlignment="1">
      <alignment horizontal="center" vertical="center"/>
    </xf>
    <xf numFmtId="174" fontId="49" fillId="41" borderId="209" xfId="0" applyNumberFormat="1" applyFont="1" applyFill="1" applyBorder="1" applyAlignment="1">
      <alignment horizontal="center" vertical="center"/>
    </xf>
    <xf numFmtId="174" fontId="49" fillId="41" borderId="210" xfId="0" applyNumberFormat="1" applyFont="1" applyFill="1" applyBorder="1" applyAlignment="1">
      <alignment horizontal="center" vertical="center"/>
    </xf>
    <xf numFmtId="174" fontId="49" fillId="41" borderId="208" xfId="0" applyNumberFormat="1" applyFont="1" applyFill="1" applyBorder="1" applyAlignment="1" applyProtection="1">
      <alignment horizontal="center" vertical="center"/>
      <protection locked="0"/>
    </xf>
    <xf numFmtId="174" fontId="49" fillId="41" borderId="209" xfId="0" applyNumberFormat="1" applyFont="1" applyFill="1" applyBorder="1" applyAlignment="1" applyProtection="1">
      <alignment horizontal="center" vertical="center"/>
      <protection locked="0"/>
    </xf>
    <xf numFmtId="174" fontId="49" fillId="41" borderId="210" xfId="0" applyNumberFormat="1" applyFont="1" applyFill="1" applyBorder="1" applyAlignment="1" applyProtection="1">
      <alignment horizontal="center" vertical="center"/>
      <protection locked="0"/>
    </xf>
    <xf numFmtId="174" fontId="49" fillId="41" borderId="212" xfId="0" applyNumberFormat="1" applyFont="1" applyFill="1" applyBorder="1" applyAlignment="1" applyProtection="1">
      <alignment horizontal="center" vertical="center"/>
      <protection locked="0"/>
    </xf>
    <xf numFmtId="0" fontId="49" fillId="0" borderId="182" xfId="0" applyFont="1" applyBorder="1" applyAlignment="1" applyProtection="1">
      <alignment horizontal="center" vertical="center" wrapText="1"/>
      <protection locked="0"/>
    </xf>
    <xf numFmtId="0" fontId="49" fillId="0" borderId="179" xfId="0" applyFont="1" applyBorder="1" applyAlignment="1">
      <alignment horizontal="center" vertical="center" wrapText="1"/>
    </xf>
    <xf numFmtId="0" fontId="49" fillId="0" borderId="182" xfId="0" applyFont="1" applyBorder="1" applyAlignment="1">
      <alignment horizontal="center" vertical="center" wrapText="1"/>
    </xf>
    <xf numFmtId="0" fontId="178" fillId="5" borderId="0" xfId="0" applyFont="1" applyFill="1" applyAlignment="1">
      <alignment horizontal="center" vertical="center"/>
    </xf>
    <xf numFmtId="0" fontId="193" fillId="40" borderId="157" xfId="0" applyFont="1" applyFill="1" applyBorder="1" applyAlignment="1">
      <alignment horizontal="center" vertical="center"/>
    </xf>
    <xf numFmtId="0" fontId="193" fillId="40" borderId="158" xfId="0" applyFont="1" applyFill="1" applyBorder="1" applyAlignment="1">
      <alignment horizontal="center" vertical="center"/>
    </xf>
    <xf numFmtId="0" fontId="193" fillId="36" borderId="159" xfId="0" applyFont="1" applyFill="1" applyBorder="1" applyAlignment="1">
      <alignment horizontal="center" vertical="center"/>
    </xf>
    <xf numFmtId="0" fontId="193" fillId="36" borderId="160" xfId="0" applyFont="1" applyFill="1" applyBorder="1" applyAlignment="1">
      <alignment horizontal="center" vertical="center"/>
    </xf>
    <xf numFmtId="0" fontId="193" fillId="36" borderId="156" xfId="0" applyFont="1" applyFill="1" applyBorder="1" applyAlignment="1">
      <alignment horizontal="center" vertical="center"/>
    </xf>
    <xf numFmtId="0" fontId="196" fillId="0" borderId="162" xfId="0" applyFont="1" applyBorder="1" applyAlignment="1">
      <alignment horizontal="center" vertical="center" wrapText="1"/>
    </xf>
    <xf numFmtId="0" fontId="196" fillId="0" borderId="176" xfId="0" applyFont="1" applyBorder="1" applyAlignment="1">
      <alignment horizontal="center" vertical="center" wrapText="1"/>
    </xf>
    <xf numFmtId="0" fontId="196" fillId="0" borderId="163" xfId="0" applyFont="1" applyBorder="1" applyAlignment="1">
      <alignment horizontal="center" vertical="center"/>
    </xf>
    <xf numFmtId="0" fontId="196" fillId="0" borderId="164" xfId="0" applyFont="1" applyBorder="1" applyAlignment="1">
      <alignment horizontal="center" vertical="center"/>
    </xf>
    <xf numFmtId="0" fontId="196" fillId="5" borderId="165" xfId="0" applyFont="1" applyFill="1" applyBorder="1" applyAlignment="1">
      <alignment horizontal="center" vertical="center"/>
    </xf>
    <xf numFmtId="0" fontId="196" fillId="5" borderId="149" xfId="0" applyFont="1" applyFill="1" applyBorder="1" applyAlignment="1">
      <alignment horizontal="center" vertical="center"/>
    </xf>
    <xf numFmtId="0" fontId="197" fillId="0" borderId="102" xfId="0" applyFont="1" applyBorder="1" applyAlignment="1">
      <alignment horizontal="center" vertical="center" wrapText="1"/>
    </xf>
    <xf numFmtId="0" fontId="197" fillId="0" borderId="166" xfId="0" applyFont="1" applyBorder="1" applyAlignment="1">
      <alignment horizontal="center" vertical="center"/>
    </xf>
    <xf numFmtId="0" fontId="197" fillId="0" borderId="175" xfId="0" applyFont="1" applyBorder="1" applyAlignment="1">
      <alignment horizontal="center" vertical="center"/>
    </xf>
    <xf numFmtId="0" fontId="193" fillId="36" borderId="0" xfId="0" applyFont="1" applyFill="1" applyAlignment="1">
      <alignment horizontal="center" vertical="center"/>
    </xf>
    <xf numFmtId="0" fontId="193" fillId="36" borderId="205" xfId="0" applyFont="1" applyFill="1" applyBorder="1" applyAlignment="1">
      <alignment horizontal="center" vertical="center"/>
    </xf>
    <xf numFmtId="0" fontId="0" fillId="5" borderId="0" xfId="0" applyFill="1" applyAlignment="1">
      <alignment horizontal="center"/>
    </xf>
    <xf numFmtId="0" fontId="0" fillId="5" borderId="0" xfId="0" applyFill="1" applyAlignment="1">
      <alignment horizontal="left" indent="13"/>
    </xf>
    <xf numFmtId="0" fontId="164" fillId="5" borderId="0" xfId="0" applyFont="1" applyFill="1" applyAlignment="1">
      <alignment horizontal="left" vertical="center"/>
    </xf>
    <xf numFmtId="0" fontId="157" fillId="5" borderId="0" xfId="0" applyFont="1" applyFill="1" applyAlignment="1">
      <alignment horizontal="left" wrapText="1"/>
    </xf>
    <xf numFmtId="0" fontId="157" fillId="5" borderId="0" xfId="0" applyFont="1" applyFill="1" applyAlignment="1">
      <alignment horizontal="left" vertical="center" wrapText="1"/>
    </xf>
    <xf numFmtId="0" fontId="0" fillId="5" borderId="0" xfId="0" applyFill="1" applyAlignment="1">
      <alignment horizontal="center" vertical="top"/>
    </xf>
    <xf numFmtId="9" fontId="229" fillId="4" borderId="3" xfId="1" applyFont="1" applyFill="1" applyBorder="1" applyAlignment="1" applyProtection="1">
      <alignment horizontal="center" vertical="center" wrapText="1"/>
      <protection hidden="1"/>
    </xf>
    <xf numFmtId="0" fontId="54" fillId="6" borderId="4" xfId="0" applyFont="1" applyFill="1" applyBorder="1" applyAlignment="1">
      <alignment horizontal="left" vertical="center"/>
    </xf>
    <xf numFmtId="0" fontId="54" fillId="6" borderId="9" xfId="0" applyFont="1" applyFill="1" applyBorder="1" applyAlignment="1">
      <alignment horizontal="left" vertical="center"/>
    </xf>
    <xf numFmtId="0" fontId="54" fillId="6" borderId="10" xfId="0" applyFont="1" applyFill="1" applyBorder="1" applyAlignment="1">
      <alignment horizontal="left" vertical="center"/>
    </xf>
    <xf numFmtId="4" fontId="8" fillId="0" borderId="1" xfId="0" applyNumberFormat="1" applyFont="1" applyBorder="1" applyAlignment="1">
      <alignment horizontal="center" vertical="center"/>
    </xf>
    <xf numFmtId="4" fontId="8" fillId="0" borderId="3" xfId="0" applyNumberFormat="1" applyFont="1" applyBorder="1" applyAlignment="1">
      <alignment horizontal="center" vertical="center"/>
    </xf>
    <xf numFmtId="3" fontId="68" fillId="16" borderId="221" xfId="0" applyNumberFormat="1" applyFont="1" applyFill="1" applyBorder="1" applyAlignment="1" applyProtection="1">
      <alignment horizontal="center" vertical="center"/>
      <protection hidden="1"/>
    </xf>
    <xf numFmtId="3" fontId="68" fillId="16" borderId="3" xfId="0" applyNumberFormat="1" applyFont="1" applyFill="1" applyBorder="1" applyAlignment="1" applyProtection="1">
      <alignment horizontal="center" vertical="center"/>
      <protection hidden="1"/>
    </xf>
    <xf numFmtId="3" fontId="68" fillId="16" borderId="1" xfId="0" applyNumberFormat="1" applyFont="1" applyFill="1" applyBorder="1" applyAlignment="1" applyProtection="1">
      <alignment horizontal="center" vertical="center"/>
      <protection hidden="1"/>
    </xf>
    <xf numFmtId="3" fontId="68" fillId="16" borderId="222" xfId="0" applyNumberFormat="1" applyFont="1" applyFill="1" applyBorder="1" applyAlignment="1" applyProtection="1">
      <alignment horizontal="center" vertical="center"/>
      <protection hidden="1"/>
    </xf>
    <xf numFmtId="3" fontId="68" fillId="16" borderId="217" xfId="0" applyNumberFormat="1" applyFont="1" applyFill="1" applyBorder="1" applyAlignment="1" applyProtection="1">
      <alignment horizontal="center" vertical="center"/>
      <protection hidden="1"/>
    </xf>
    <xf numFmtId="3" fontId="68" fillId="16" borderId="218" xfId="0" applyNumberFormat="1" applyFont="1" applyFill="1" applyBorder="1" applyAlignment="1" applyProtection="1">
      <alignment horizontal="center" vertical="center"/>
      <protection hidden="1"/>
    </xf>
    <xf numFmtId="0" fontId="49" fillId="5" borderId="36" xfId="0" applyFont="1" applyFill="1" applyBorder="1" applyAlignment="1" applyProtection="1">
      <alignment vertical="center"/>
      <protection locked="0"/>
    </xf>
    <xf numFmtId="0" fontId="49" fillId="5" borderId="38" xfId="0" applyFont="1" applyFill="1" applyBorder="1" applyAlignment="1" applyProtection="1">
      <alignment vertical="center"/>
      <protection locked="0"/>
    </xf>
    <xf numFmtId="0" fontId="4" fillId="16" borderId="7" xfId="0" applyFont="1" applyFill="1" applyBorder="1" applyAlignment="1">
      <alignment horizontal="right" vertical="center"/>
    </xf>
    <xf numFmtId="0" fontId="54" fillId="17" borderId="6" xfId="0" applyFont="1" applyFill="1" applyBorder="1" applyAlignment="1">
      <alignment horizontal="center" vertical="center"/>
    </xf>
    <xf numFmtId="0" fontId="54" fillId="17" borderId="7" xfId="0" applyFont="1" applyFill="1" applyBorder="1" applyAlignment="1">
      <alignment horizontal="center" vertical="center"/>
    </xf>
    <xf numFmtId="0" fontId="54" fillId="17" borderId="8" xfId="0" applyFont="1" applyFill="1" applyBorder="1" applyAlignment="1">
      <alignment horizontal="center" vertical="center"/>
    </xf>
    <xf numFmtId="0" fontId="54" fillId="17" borderId="11" xfId="0" applyFont="1" applyFill="1" applyBorder="1" applyAlignment="1">
      <alignment horizontal="center" vertical="center"/>
    </xf>
    <xf numFmtId="0" fontId="54" fillId="17" borderId="0" xfId="0" applyFont="1" applyFill="1" applyAlignment="1">
      <alignment horizontal="center" vertical="center"/>
    </xf>
    <xf numFmtId="0" fontId="54" fillId="17" borderId="12" xfId="0" applyFont="1" applyFill="1" applyBorder="1" applyAlignment="1">
      <alignment horizontal="center" vertical="center"/>
    </xf>
    <xf numFmtId="0" fontId="54" fillId="17" borderId="13" xfId="0" applyFont="1" applyFill="1" applyBorder="1" applyAlignment="1">
      <alignment horizontal="center" vertical="center"/>
    </xf>
    <xf numFmtId="0" fontId="54" fillId="17" borderId="15" xfId="0" applyFont="1" applyFill="1" applyBorder="1" applyAlignment="1">
      <alignment horizontal="center" vertical="center"/>
    </xf>
    <xf numFmtId="0" fontId="54" fillId="17" borderId="14" xfId="0" applyFont="1" applyFill="1" applyBorder="1" applyAlignment="1">
      <alignment horizontal="center" vertical="center"/>
    </xf>
    <xf numFmtId="0" fontId="142" fillId="5" borderId="7" xfId="0" applyFont="1" applyFill="1" applyBorder="1" applyAlignment="1">
      <alignment horizontal="left" vertical="center" wrapText="1" indent="5"/>
    </xf>
    <xf numFmtId="0" fontId="142" fillId="5" borderId="8" xfId="0" applyFont="1" applyFill="1" applyBorder="1" applyAlignment="1">
      <alignment horizontal="left" vertical="center" wrapText="1" indent="5"/>
    </xf>
    <xf numFmtId="0" fontId="142" fillId="5" borderId="15" xfId="0" applyFont="1" applyFill="1" applyBorder="1" applyAlignment="1">
      <alignment horizontal="left" vertical="center" wrapText="1" indent="5"/>
    </xf>
    <xf numFmtId="0" fontId="142" fillId="5" borderId="14" xfId="0" applyFont="1" applyFill="1" applyBorder="1" applyAlignment="1">
      <alignment horizontal="left" vertical="center" wrapText="1" indent="5"/>
    </xf>
    <xf numFmtId="3" fontId="4" fillId="16" borderId="7" xfId="0" applyNumberFormat="1" applyFont="1" applyFill="1" applyBorder="1" applyAlignment="1">
      <alignment horizontal="center" vertical="center"/>
    </xf>
    <xf numFmtId="0" fontId="2" fillId="17" borderId="0" xfId="0" applyFont="1" applyFill="1" applyAlignment="1">
      <alignment horizontal="center" vertical="center"/>
    </xf>
    <xf numFmtId="0" fontId="2" fillId="17" borderId="15" xfId="0" applyFont="1" applyFill="1" applyBorder="1" applyAlignment="1">
      <alignment horizontal="center" vertical="center"/>
    </xf>
    <xf numFmtId="4" fontId="8" fillId="5" borderId="1" xfId="0" applyNumberFormat="1" applyFont="1" applyFill="1" applyBorder="1" applyAlignment="1">
      <alignment horizontal="center" vertical="center"/>
    </xf>
    <xf numFmtId="4" fontId="8" fillId="5" borderId="3" xfId="0" applyNumberFormat="1" applyFont="1" applyFill="1" applyBorder="1" applyAlignment="1">
      <alignment horizontal="center" vertical="center"/>
    </xf>
    <xf numFmtId="0" fontId="2" fillId="17" borderId="9"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6" xfId="0" applyFont="1" applyFill="1" applyBorder="1" applyAlignment="1">
      <alignment horizontal="center" vertical="center"/>
    </xf>
    <xf numFmtId="0" fontId="2" fillId="17" borderId="7" xfId="0" applyFont="1" applyFill="1" applyBorder="1" applyAlignment="1">
      <alignment horizontal="center" vertical="center"/>
    </xf>
    <xf numFmtId="0" fontId="2" fillId="17" borderId="8" xfId="0" applyFont="1" applyFill="1" applyBorder="1" applyAlignment="1">
      <alignment horizontal="center" vertical="center"/>
    </xf>
    <xf numFmtId="0" fontId="2" fillId="17" borderId="11" xfId="0" applyFont="1" applyFill="1" applyBorder="1" applyAlignment="1">
      <alignment horizontal="center" vertical="center"/>
    </xf>
    <xf numFmtId="0" fontId="2" fillId="17" borderId="12" xfId="0" applyFont="1" applyFill="1" applyBorder="1" applyAlignment="1">
      <alignment horizontal="center" vertical="center"/>
    </xf>
    <xf numFmtId="0" fontId="2" fillId="17" borderId="13" xfId="0" applyFont="1" applyFill="1" applyBorder="1" applyAlignment="1">
      <alignment horizontal="center" vertical="center"/>
    </xf>
    <xf numFmtId="0" fontId="2" fillId="17" borderId="14" xfId="0" applyFont="1" applyFill="1" applyBorder="1" applyAlignment="1">
      <alignment horizontal="center" vertical="center"/>
    </xf>
    <xf numFmtId="0" fontId="53" fillId="4" borderId="11" xfId="0" applyFont="1" applyFill="1" applyBorder="1" applyAlignment="1">
      <alignment horizontal="left" vertical="top" indent="9"/>
    </xf>
    <xf numFmtId="0" fontId="53" fillId="4" borderId="0" xfId="0" applyFont="1" applyFill="1" applyAlignment="1">
      <alignment horizontal="left" vertical="top" indent="9"/>
    </xf>
    <xf numFmtId="0" fontId="49" fillId="4" borderId="0" xfId="0" applyFont="1" applyFill="1" applyAlignment="1" applyProtection="1">
      <alignment horizontal="left" vertical="top" wrapText="1" indent="5"/>
      <protection locked="0"/>
    </xf>
    <xf numFmtId="3" fontId="68" fillId="23" borderId="0" xfId="0" applyNumberFormat="1" applyFont="1" applyFill="1" applyAlignment="1" applyProtection="1">
      <alignment horizontal="center" vertical="center"/>
      <protection hidden="1"/>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68" fillId="4" borderId="0" xfId="0" applyFont="1" applyFill="1" applyAlignment="1">
      <alignment horizontal="right" vertical="center"/>
    </xf>
    <xf numFmtId="3" fontId="68" fillId="16" borderId="223" xfId="0" applyNumberFormat="1" applyFont="1" applyFill="1" applyBorder="1" applyAlignment="1" applyProtection="1">
      <alignment horizontal="center" vertical="center"/>
      <protection hidden="1"/>
    </xf>
    <xf numFmtId="3" fontId="68" fillId="16" borderId="224" xfId="0" applyNumberFormat="1" applyFont="1" applyFill="1" applyBorder="1" applyAlignment="1" applyProtection="1">
      <alignment horizontal="center" vertical="center"/>
      <protection hidden="1"/>
    </xf>
    <xf numFmtId="3" fontId="68" fillId="16" borderId="225" xfId="0" applyNumberFormat="1" applyFont="1" applyFill="1" applyBorder="1" applyAlignment="1" applyProtection="1">
      <alignment horizontal="center" vertical="center"/>
      <protection hidden="1"/>
    </xf>
    <xf numFmtId="3" fontId="68" fillId="16" borderId="226" xfId="0" applyNumberFormat="1" applyFont="1" applyFill="1" applyBorder="1" applyAlignment="1" applyProtection="1">
      <alignment horizontal="center" vertical="center"/>
      <protection hidden="1"/>
    </xf>
    <xf numFmtId="0" fontId="54" fillId="17" borderId="6" xfId="0" applyFont="1" applyFill="1" applyBorder="1" applyAlignment="1">
      <alignment horizontal="center" vertical="center" wrapText="1"/>
    </xf>
    <xf numFmtId="0" fontId="54" fillId="17" borderId="8" xfId="0" applyFont="1" applyFill="1" applyBorder="1" applyAlignment="1">
      <alignment horizontal="center" vertical="center" wrapText="1"/>
    </xf>
    <xf numFmtId="0" fontId="54" fillId="17" borderId="11" xfId="0" applyFont="1" applyFill="1" applyBorder="1" applyAlignment="1">
      <alignment horizontal="center" vertical="center" wrapText="1"/>
    </xf>
    <xf numFmtId="0" fontId="54" fillId="17" borderId="12" xfId="0" applyFont="1" applyFill="1" applyBorder="1" applyAlignment="1">
      <alignment horizontal="center" vertical="center" wrapText="1"/>
    </xf>
    <xf numFmtId="3" fontId="68" fillId="16" borderId="219" xfId="0" applyNumberFormat="1" applyFont="1" applyFill="1" applyBorder="1" applyAlignment="1" applyProtection="1">
      <alignment horizontal="center" vertical="center"/>
      <protection hidden="1"/>
    </xf>
    <xf numFmtId="3" fontId="68" fillId="16" borderId="220" xfId="0" applyNumberFormat="1" applyFont="1" applyFill="1" applyBorder="1" applyAlignment="1" applyProtection="1">
      <alignment horizontal="center" vertical="center"/>
      <protection hidden="1"/>
    </xf>
    <xf numFmtId="0" fontId="49" fillId="5" borderId="36" xfId="1" applyNumberFormat="1" applyFont="1" applyFill="1" applyBorder="1" applyAlignment="1" applyProtection="1">
      <alignment horizontal="center" vertical="center"/>
      <protection locked="0"/>
    </xf>
    <xf numFmtId="0" fontId="49" fillId="5" borderId="37" xfId="1" applyNumberFormat="1" applyFont="1" applyFill="1" applyBorder="1" applyAlignment="1" applyProtection="1">
      <alignment horizontal="center" vertical="center"/>
      <protection locked="0"/>
    </xf>
    <xf numFmtId="0" fontId="49" fillId="5" borderId="38" xfId="1" applyNumberFormat="1" applyFont="1" applyFill="1" applyBorder="1" applyAlignment="1" applyProtection="1">
      <alignment horizontal="center" vertical="center"/>
      <protection locked="0"/>
    </xf>
    <xf numFmtId="0" fontId="49" fillId="5" borderId="36" xfId="0" applyFont="1" applyFill="1" applyBorder="1" applyAlignment="1" applyProtection="1">
      <alignment horizontal="center" vertical="center"/>
      <protection locked="0"/>
    </xf>
    <xf numFmtId="0" fontId="49" fillId="5" borderId="37" xfId="0" applyFont="1" applyFill="1" applyBorder="1" applyAlignment="1" applyProtection="1">
      <alignment horizontal="center" vertical="center"/>
      <protection locked="0"/>
    </xf>
    <xf numFmtId="0" fontId="49" fillId="5" borderId="38" xfId="0" applyFont="1" applyFill="1" applyBorder="1" applyAlignment="1" applyProtection="1">
      <alignment horizontal="center" vertical="center"/>
      <protection locked="0"/>
    </xf>
    <xf numFmtId="0" fontId="2" fillId="6" borderId="4" xfId="0" applyFont="1" applyFill="1" applyBorder="1" applyAlignment="1">
      <alignment horizontal="left" vertical="center"/>
    </xf>
    <xf numFmtId="0" fontId="34" fillId="5" borderId="4" xfId="1" applyNumberFormat="1" applyFont="1" applyFill="1" applyBorder="1" applyAlignment="1" applyProtection="1">
      <alignment horizontal="center" vertical="center" wrapText="1"/>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0" fontId="1" fillId="5" borderId="56" xfId="1" applyNumberFormat="1" applyFont="1" applyFill="1" applyBorder="1" applyAlignment="1" applyProtection="1">
      <alignment horizontal="center" wrapText="1"/>
    </xf>
    <xf numFmtId="0" fontId="1" fillId="5" borderId="57" xfId="1" applyNumberFormat="1" applyFont="1" applyFill="1" applyBorder="1" applyAlignment="1" applyProtection="1">
      <alignment horizontal="center" wrapText="1"/>
    </xf>
    <xf numFmtId="0" fontId="1" fillId="5" borderId="248" xfId="1" applyNumberFormat="1" applyFont="1" applyFill="1" applyBorder="1" applyAlignment="1" applyProtection="1">
      <alignment horizontal="center" wrapText="1"/>
    </xf>
    <xf numFmtId="0" fontId="2" fillId="6" borderId="19" xfId="0" applyFont="1" applyFill="1" applyBorder="1" applyAlignment="1">
      <alignment horizontal="right"/>
    </xf>
    <xf numFmtId="0" fontId="2" fillId="6" borderId="0" xfId="0" applyFont="1" applyFill="1" applyAlignment="1">
      <alignment horizontal="right"/>
    </xf>
    <xf numFmtId="0" fontId="2" fillId="6" borderId="12" xfId="0" applyFont="1" applyFill="1" applyBorder="1" applyAlignment="1">
      <alignment horizontal="right"/>
    </xf>
    <xf numFmtId="0" fontId="49" fillId="16" borderId="0" xfId="0" applyFont="1" applyFill="1" applyAlignment="1">
      <alignment horizontal="left" vertical="top" wrapText="1"/>
    </xf>
    <xf numFmtId="0" fontId="2" fillId="6" borderId="104" xfId="0" applyFont="1" applyFill="1" applyBorder="1" applyAlignment="1">
      <alignment horizontal="center" vertical="center" wrapText="1"/>
    </xf>
    <xf numFmtId="0" fontId="2" fillId="6" borderId="105" xfId="0" applyFont="1" applyFill="1" applyBorder="1" applyAlignment="1">
      <alignment horizontal="center" vertical="center" wrapText="1"/>
    </xf>
    <xf numFmtId="0" fontId="2" fillId="6" borderId="246" xfId="0" applyFont="1" applyFill="1" applyBorder="1" applyAlignment="1">
      <alignment horizontal="center" vertical="center" wrapText="1"/>
    </xf>
    <xf numFmtId="0" fontId="2" fillId="6" borderId="25" xfId="0" applyFont="1" applyFill="1" applyBorder="1" applyAlignment="1">
      <alignment horizontal="right"/>
    </xf>
    <xf numFmtId="0" fontId="2" fillId="6" borderId="26" xfId="0" applyFont="1" applyFill="1" applyBorder="1" applyAlignment="1">
      <alignment horizontal="right"/>
    </xf>
    <xf numFmtId="0" fontId="2" fillId="6" borderId="247" xfId="0" applyFont="1" applyFill="1" applyBorder="1" applyAlignment="1">
      <alignment horizontal="right"/>
    </xf>
    <xf numFmtId="0" fontId="1" fillId="5" borderId="24" xfId="1" applyNumberFormat="1" applyFont="1" applyFill="1" applyBorder="1" applyAlignment="1" applyProtection="1">
      <alignment horizontal="center" wrapText="1"/>
    </xf>
    <xf numFmtId="9" fontId="103" fillId="5" borderId="118" xfId="1" applyFont="1" applyFill="1" applyBorder="1" applyAlignment="1" applyProtection="1">
      <alignment horizontal="center" wrapText="1"/>
    </xf>
    <xf numFmtId="9" fontId="103" fillId="5" borderId="119" xfId="1" applyFont="1" applyFill="1" applyBorder="1" applyAlignment="1" applyProtection="1">
      <alignment horizontal="center" wrapText="1"/>
    </xf>
    <xf numFmtId="0" fontId="49" fillId="30" borderId="36" xfId="1" applyNumberFormat="1" applyFont="1" applyFill="1" applyBorder="1" applyAlignment="1" applyProtection="1">
      <alignment horizontal="center" vertical="center"/>
    </xf>
    <xf numFmtId="0" fontId="49" fillId="30" borderId="37" xfId="1" applyNumberFormat="1" applyFont="1" applyFill="1" applyBorder="1" applyAlignment="1" applyProtection="1">
      <alignment horizontal="center" vertical="center"/>
    </xf>
    <xf numFmtId="0" fontId="49" fillId="30" borderId="38" xfId="1" applyNumberFormat="1" applyFont="1" applyFill="1" applyBorder="1" applyAlignment="1" applyProtection="1">
      <alignment horizontal="center" vertical="center"/>
    </xf>
    <xf numFmtId="0" fontId="2" fillId="6" borderId="25" xfId="0" applyFont="1" applyFill="1" applyBorder="1" applyAlignment="1">
      <alignment horizontal="right" vertical="center"/>
    </xf>
    <xf numFmtId="0" fontId="2" fillId="6" borderId="26" xfId="0" applyFont="1" applyFill="1" applyBorder="1" applyAlignment="1">
      <alignment horizontal="right" vertical="center"/>
    </xf>
    <xf numFmtId="0" fontId="2" fillId="6" borderId="247" xfId="0" applyFont="1" applyFill="1" applyBorder="1" applyAlignment="1">
      <alignment horizontal="right" vertical="center"/>
    </xf>
    <xf numFmtId="0" fontId="2" fillId="6" borderId="19" xfId="0" applyFont="1" applyFill="1" applyBorder="1" applyAlignment="1">
      <alignment horizontal="right" vertical="center"/>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102" fillId="6" borderId="4" xfId="0" applyFont="1" applyFill="1" applyBorder="1" applyAlignment="1">
      <alignment horizontal="left" vertical="center"/>
    </xf>
    <xf numFmtId="0" fontId="133" fillId="5" borderId="4" xfId="1" applyNumberFormat="1" applyFont="1" applyFill="1" applyBorder="1" applyAlignment="1" applyProtection="1">
      <alignment horizontal="center" vertical="center" wrapText="1"/>
    </xf>
    <xf numFmtId="0" fontId="133" fillId="5" borderId="1" xfId="1" applyNumberFormat="1" applyFont="1" applyFill="1" applyBorder="1" applyAlignment="1" applyProtection="1">
      <alignment horizontal="center" vertical="center" wrapText="1"/>
    </xf>
    <xf numFmtId="0" fontId="133" fillId="5" borderId="3" xfId="1" applyNumberFormat="1" applyFont="1" applyFill="1" applyBorder="1" applyAlignment="1" applyProtection="1">
      <alignment horizontal="center" vertical="center" wrapText="1"/>
    </xf>
    <xf numFmtId="0" fontId="0" fillId="16" borderId="121" xfId="0" applyFill="1" applyBorder="1" applyAlignment="1">
      <alignment horizontal="center" vertical="center" wrapText="1"/>
    </xf>
    <xf numFmtId="0" fontId="2" fillId="17" borderId="4" xfId="0" applyFont="1" applyFill="1" applyBorder="1" applyAlignment="1">
      <alignment horizontal="center" vertical="center"/>
    </xf>
    <xf numFmtId="0" fontId="102" fillId="6" borderId="104" xfId="0" applyFont="1" applyFill="1" applyBorder="1" applyAlignment="1">
      <alignment horizontal="left"/>
    </xf>
    <xf numFmtId="0" fontId="102" fillId="6" borderId="105" xfId="0" applyFont="1" applyFill="1" applyBorder="1" applyAlignment="1">
      <alignment horizontal="left"/>
    </xf>
    <xf numFmtId="0" fontId="102" fillId="6" borderId="246" xfId="0" applyFont="1" applyFill="1" applyBorder="1" applyAlignment="1">
      <alignment horizontal="left"/>
    </xf>
    <xf numFmtId="0" fontId="2" fillId="6" borderId="104" xfId="0" applyFont="1" applyFill="1" applyBorder="1" applyAlignment="1">
      <alignment horizontal="left" vertical="center"/>
    </xf>
    <xf numFmtId="0" fontId="2" fillId="6" borderId="105" xfId="0" applyFont="1" applyFill="1" applyBorder="1" applyAlignment="1">
      <alignment horizontal="left" vertical="center"/>
    </xf>
    <xf numFmtId="0" fontId="2" fillId="6" borderId="246" xfId="0" applyFont="1" applyFill="1" applyBorder="1" applyAlignment="1">
      <alignment horizontal="left" vertical="center"/>
    </xf>
    <xf numFmtId="0" fontId="68" fillId="4" borderId="7" xfId="0" applyFont="1" applyFill="1" applyBorder="1" applyAlignment="1">
      <alignment horizontal="right" vertical="center"/>
    </xf>
    <xf numFmtId="0" fontId="68" fillId="23" borderId="0" xfId="0" applyFont="1" applyFill="1" applyAlignment="1" applyProtection="1">
      <alignment horizontal="center" vertical="center"/>
      <protection hidden="1"/>
    </xf>
    <xf numFmtId="170" fontId="95" fillId="16" borderId="5" xfId="1" applyNumberFormat="1" applyFont="1" applyFill="1" applyBorder="1" applyAlignment="1" applyProtection="1">
      <alignment horizontal="center" vertical="center"/>
      <protection hidden="1"/>
    </xf>
    <xf numFmtId="3" fontId="68" fillId="16" borderId="4" xfId="0" applyNumberFormat="1" applyFont="1" applyFill="1" applyBorder="1" applyAlignment="1" applyProtection="1">
      <alignment horizontal="center" vertical="center"/>
      <protection hidden="1"/>
    </xf>
    <xf numFmtId="3" fontId="68" fillId="16" borderId="237" xfId="0" applyNumberFormat="1" applyFont="1" applyFill="1" applyBorder="1" applyAlignment="1" applyProtection="1">
      <alignment horizontal="center" vertical="center"/>
      <protection hidden="1"/>
    </xf>
    <xf numFmtId="3" fontId="68" fillId="16" borderId="228" xfId="0" applyNumberFormat="1" applyFont="1" applyFill="1" applyBorder="1" applyAlignment="1" applyProtection="1">
      <alignment horizontal="center" vertical="center"/>
      <protection hidden="1"/>
    </xf>
    <xf numFmtId="3" fontId="68" fillId="16" borderId="229" xfId="0" applyNumberFormat="1" applyFont="1" applyFill="1" applyBorder="1" applyAlignment="1" applyProtection="1">
      <alignment horizontal="center" vertical="center"/>
      <protection hidden="1"/>
    </xf>
    <xf numFmtId="170" fontId="95" fillId="16" borderId="87" xfId="1" applyNumberFormat="1" applyFont="1" applyFill="1" applyBorder="1" applyAlignment="1" applyProtection="1">
      <alignment horizontal="center" vertical="center"/>
      <protection hidden="1"/>
    </xf>
    <xf numFmtId="170" fontId="95" fillId="16" borderId="231" xfId="1" applyNumberFormat="1" applyFont="1" applyFill="1" applyBorder="1" applyAlignment="1" applyProtection="1">
      <alignment horizontal="center" vertical="center"/>
      <protection hidden="1"/>
    </xf>
    <xf numFmtId="170" fontId="95" fillId="16" borderId="90" xfId="1" applyNumberFormat="1" applyFont="1" applyFill="1" applyBorder="1" applyAlignment="1" applyProtection="1">
      <alignment horizontal="center" vertical="center"/>
      <protection hidden="1"/>
    </xf>
    <xf numFmtId="170" fontId="95" fillId="16" borderId="233" xfId="1" applyNumberFormat="1" applyFont="1" applyFill="1" applyBorder="1" applyAlignment="1" applyProtection="1">
      <alignment horizontal="center" vertical="center"/>
      <protection hidden="1"/>
    </xf>
    <xf numFmtId="170" fontId="95" fillId="16" borderId="235" xfId="1" applyNumberFormat="1" applyFont="1" applyFill="1" applyBorder="1" applyAlignment="1" applyProtection="1">
      <alignment horizontal="center" vertical="center"/>
      <protection hidden="1"/>
    </xf>
    <xf numFmtId="0" fontId="43" fillId="5" borderId="0" xfId="0" quotePrefix="1" applyFont="1" applyFill="1" applyAlignment="1">
      <alignment horizontal="center" textRotation="180"/>
    </xf>
    <xf numFmtId="0" fontId="96" fillId="6" borderId="100" xfId="0" applyFont="1" applyFill="1" applyBorder="1" applyAlignment="1">
      <alignment horizontal="right" vertical="center"/>
    </xf>
    <xf numFmtId="0" fontId="96" fillId="6" borderId="65" xfId="0" applyFont="1" applyFill="1" applyBorder="1" applyAlignment="1">
      <alignment horizontal="right" vertical="center"/>
    </xf>
    <xf numFmtId="0" fontId="96" fillId="6" borderId="13" xfId="0" applyFont="1" applyFill="1" applyBorder="1" applyAlignment="1">
      <alignment horizontal="right" vertical="center"/>
    </xf>
    <xf numFmtId="0" fontId="96" fillId="6" borderId="15" xfId="0" applyFont="1" applyFill="1" applyBorder="1" applyAlignment="1">
      <alignment horizontal="right" vertical="center"/>
    </xf>
    <xf numFmtId="3" fontId="68" fillId="4" borderId="0" xfId="0" applyNumberFormat="1" applyFont="1" applyFill="1" applyAlignment="1" applyProtection="1">
      <alignment horizontal="center" vertical="center"/>
      <protection hidden="1"/>
    </xf>
    <xf numFmtId="3" fontId="68" fillId="16" borderId="236" xfId="0" applyNumberFormat="1" applyFont="1" applyFill="1" applyBorder="1" applyAlignment="1" applyProtection="1">
      <alignment horizontal="center" vertical="center"/>
      <protection hidden="1"/>
    </xf>
    <xf numFmtId="3" fontId="68" fillId="16" borderId="227" xfId="0" applyNumberFormat="1" applyFont="1" applyFill="1" applyBorder="1" applyAlignment="1" applyProtection="1">
      <alignment horizontal="center" vertical="center"/>
      <protection hidden="1"/>
    </xf>
    <xf numFmtId="170" fontId="95" fillId="16" borderId="234" xfId="1" applyNumberFormat="1" applyFont="1" applyFill="1" applyBorder="1" applyAlignment="1" applyProtection="1">
      <alignment horizontal="center" vertical="center"/>
      <protection hidden="1"/>
    </xf>
    <xf numFmtId="170" fontId="95" fillId="16" borderId="230" xfId="1" applyNumberFormat="1" applyFont="1" applyFill="1" applyBorder="1" applyAlignment="1" applyProtection="1">
      <alignment horizontal="center" vertical="center"/>
      <protection hidden="1"/>
    </xf>
    <xf numFmtId="170" fontId="95" fillId="16" borderId="232" xfId="1" applyNumberFormat="1" applyFont="1" applyFill="1" applyBorder="1" applyAlignment="1" applyProtection="1">
      <alignment horizontal="center" vertical="center"/>
      <protection hidden="1"/>
    </xf>
    <xf numFmtId="0" fontId="96" fillId="6" borderId="98" xfId="0" applyFont="1" applyFill="1" applyBorder="1" applyAlignment="1">
      <alignment horizontal="right" vertical="center"/>
    </xf>
    <xf numFmtId="0" fontId="96" fillId="6" borderId="99" xfId="0" applyFont="1" applyFill="1" applyBorder="1" applyAlignment="1">
      <alignment horizontal="right" vertical="center"/>
    </xf>
    <xf numFmtId="9" fontId="103" fillId="5" borderId="18" xfId="1" applyFont="1" applyFill="1" applyBorder="1" applyAlignment="1" applyProtection="1">
      <alignment horizontal="center" wrapText="1"/>
    </xf>
    <xf numFmtId="0" fontId="2" fillId="17" borderId="9" xfId="0" applyFont="1" applyFill="1" applyBorder="1" applyAlignment="1">
      <alignment horizontal="center" vertical="center"/>
    </xf>
    <xf numFmtId="3" fontId="68" fillId="16" borderId="238" xfId="0" applyNumberFormat="1" applyFont="1" applyFill="1" applyBorder="1" applyAlignment="1" applyProtection="1">
      <alignment horizontal="center" vertical="center"/>
      <protection hidden="1"/>
    </xf>
    <xf numFmtId="3" fontId="68" fillId="16" borderId="239" xfId="0" applyNumberFormat="1" applyFont="1" applyFill="1" applyBorder="1" applyAlignment="1" applyProtection="1">
      <alignment horizontal="center" vertical="center"/>
      <protection hidden="1"/>
    </xf>
    <xf numFmtId="173" fontId="8" fillId="5" borderId="9" xfId="4" applyNumberFormat="1" applyFont="1" applyFill="1" applyBorder="1" applyAlignment="1" applyProtection="1">
      <alignment horizontal="center" vertical="center"/>
    </xf>
    <xf numFmtId="173" fontId="134" fillId="5" borderId="5" xfId="4" applyNumberFormat="1" applyFont="1" applyFill="1" applyBorder="1" applyAlignment="1">
      <alignment horizontal="right" vertical="center"/>
    </xf>
    <xf numFmtId="3" fontId="128" fillId="0" borderId="4" xfId="0" applyNumberFormat="1" applyFont="1" applyBorder="1" applyAlignment="1">
      <alignment horizontal="center" vertical="center"/>
    </xf>
    <xf numFmtId="174" fontId="4" fillId="16" borderId="0" xfId="0" applyNumberFormat="1" applyFont="1" applyFill="1" applyAlignment="1">
      <alignment horizontal="center" vertical="center"/>
    </xf>
    <xf numFmtId="0" fontId="2" fillId="17" borderId="1" xfId="0" applyFont="1" applyFill="1" applyBorder="1" applyAlignment="1">
      <alignment horizontal="center" vertical="center"/>
    </xf>
    <xf numFmtId="0" fontId="2" fillId="17" borderId="3" xfId="0" applyFont="1" applyFill="1" applyBorder="1" applyAlignment="1">
      <alignment horizontal="center" vertical="center"/>
    </xf>
    <xf numFmtId="3" fontId="68" fillId="16" borderId="240" xfId="0" applyNumberFormat="1" applyFont="1" applyFill="1" applyBorder="1" applyAlignment="1" applyProtection="1">
      <alignment horizontal="center" vertical="center"/>
      <protection hidden="1"/>
    </xf>
    <xf numFmtId="0" fontId="34" fillId="0" borderId="4" xfId="1" applyNumberFormat="1" applyFont="1" applyFill="1" applyBorder="1" applyAlignment="1" applyProtection="1">
      <alignment horizontal="center" vertical="center" wrapText="1"/>
    </xf>
    <xf numFmtId="3" fontId="49" fillId="2" borderId="1" xfId="0" applyNumberFormat="1" applyFont="1" applyFill="1" applyBorder="1" applyAlignment="1">
      <alignment horizontal="center" vertical="center"/>
    </xf>
    <xf numFmtId="3" fontId="49" fillId="2" borderId="2" xfId="0" applyNumberFormat="1" applyFont="1" applyFill="1" applyBorder="1" applyAlignment="1">
      <alignment horizontal="center" vertical="center"/>
    </xf>
    <xf numFmtId="3" fontId="49" fillId="2" borderId="3" xfId="0" applyNumberFormat="1" applyFont="1" applyFill="1" applyBorder="1" applyAlignment="1">
      <alignment horizontal="center" vertical="center"/>
    </xf>
    <xf numFmtId="0" fontId="2" fillId="6" borderId="6" xfId="0" applyFont="1" applyFill="1" applyBorder="1" applyAlignment="1">
      <alignment horizontal="left"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173" fontId="134" fillId="5" borderId="5" xfId="4" applyNumberFormat="1" applyFont="1" applyFill="1" applyBorder="1" applyAlignment="1" applyProtection="1">
      <alignment horizontal="right" vertical="center"/>
    </xf>
    <xf numFmtId="0" fontId="4" fillId="16" borderId="0" xfId="0" applyFont="1" applyFill="1" applyAlignment="1">
      <alignment horizontal="right" vertical="center"/>
    </xf>
    <xf numFmtId="0" fontId="2" fillId="33" borderId="4" xfId="0" applyFont="1" applyFill="1" applyBorder="1" applyAlignment="1">
      <alignment horizontal="left" vertical="center"/>
    </xf>
    <xf numFmtId="3" fontId="5" fillId="0" borderId="4" xfId="0" applyNumberFormat="1" applyFont="1" applyBorder="1" applyAlignment="1">
      <alignment horizontal="center" vertical="center"/>
    </xf>
    <xf numFmtId="3" fontId="8" fillId="0" borderId="4" xfId="0" applyNumberFormat="1" applyFont="1" applyBorder="1" applyAlignment="1">
      <alignment horizontal="center" vertical="center"/>
    </xf>
    <xf numFmtId="9" fontId="49" fillId="5" borderId="36" xfId="1" applyFont="1" applyFill="1" applyBorder="1" applyAlignment="1" applyProtection="1">
      <alignment horizontal="center" vertical="center"/>
      <protection locked="0"/>
    </xf>
    <xf numFmtId="9" fontId="49" fillId="5" borderId="37" xfId="1" applyFont="1" applyFill="1" applyBorder="1" applyAlignment="1" applyProtection="1">
      <alignment horizontal="center" vertical="center"/>
      <protection locked="0"/>
    </xf>
    <xf numFmtId="9" fontId="49" fillId="5" borderId="38" xfId="1" applyFont="1" applyFill="1" applyBorder="1" applyAlignment="1" applyProtection="1">
      <alignment horizontal="center" vertical="center"/>
      <protection locked="0"/>
    </xf>
    <xf numFmtId="0" fontId="49" fillId="4" borderId="0" xfId="0" applyFont="1" applyFill="1" applyAlignment="1" applyProtection="1">
      <alignment horizontal="left" vertical="top" wrapText="1"/>
      <protection locked="0"/>
    </xf>
    <xf numFmtId="0" fontId="129" fillId="33" borderId="4" xfId="0" applyFont="1" applyFill="1" applyBorder="1" applyAlignment="1">
      <alignment horizontal="left" vertical="center" indent="1"/>
    </xf>
    <xf numFmtId="3" fontId="128" fillId="0" borderId="1" xfId="0" applyNumberFormat="1" applyFont="1" applyBorder="1" applyAlignment="1">
      <alignment horizontal="center" vertical="center"/>
    </xf>
    <xf numFmtId="0" fontId="95" fillId="16" borderId="8" xfId="0" applyFont="1" applyFill="1" applyBorder="1" applyAlignment="1" applyProtection="1">
      <alignment horizontal="center" vertical="center"/>
      <protection hidden="1"/>
    </xf>
    <xf numFmtId="0" fontId="95" fillId="16" borderId="12" xfId="0" applyFont="1" applyFill="1" applyBorder="1" applyAlignment="1" applyProtection="1">
      <alignment horizontal="center" vertical="center"/>
      <protection hidden="1"/>
    </xf>
    <xf numFmtId="0" fontId="95" fillId="16" borderId="14" xfId="0" applyFont="1" applyFill="1" applyBorder="1" applyAlignment="1" applyProtection="1">
      <alignment horizontal="center" vertical="center"/>
      <protection hidden="1"/>
    </xf>
    <xf numFmtId="0" fontId="49" fillId="16" borderId="0" xfId="0" applyFont="1" applyFill="1" applyAlignment="1">
      <alignment horizontal="left" vertical="center" wrapText="1" indent="2"/>
    </xf>
    <xf numFmtId="0" fontId="49" fillId="16" borderId="0" xfId="0" applyFont="1" applyFill="1" applyAlignment="1">
      <alignment horizontal="left" vertical="top" wrapText="1" indent="2"/>
    </xf>
    <xf numFmtId="0" fontId="2" fillId="6" borderId="3" xfId="0" applyFont="1" applyFill="1" applyBorder="1" applyAlignment="1">
      <alignment horizontal="left" vertical="center"/>
    </xf>
    <xf numFmtId="0" fontId="2" fillId="17" borderId="2" xfId="0" applyFont="1" applyFill="1" applyBorder="1" applyAlignment="1">
      <alignment horizontal="center"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0" fillId="5" borderId="0" xfId="0" applyFill="1"/>
    <xf numFmtId="0" fontId="0" fillId="30" borderId="1" xfId="0" applyFill="1" applyBorder="1" applyAlignment="1">
      <alignment horizontal="center" vertical="center"/>
    </xf>
    <xf numFmtId="0" fontId="0" fillId="30" borderId="2" xfId="0" applyFill="1" applyBorder="1" applyAlignment="1">
      <alignment horizontal="center" vertical="center"/>
    </xf>
    <xf numFmtId="0" fontId="0" fillId="30" borderId="3" xfId="0" applyFill="1" applyBorder="1" applyAlignment="1">
      <alignment horizontal="center" vertical="center"/>
    </xf>
    <xf numFmtId="0" fontId="0" fillId="27" borderId="9" xfId="0" applyFill="1" applyBorder="1" applyAlignment="1">
      <alignment horizontal="center" vertical="center" wrapText="1"/>
    </xf>
    <xf numFmtId="0" fontId="0" fillId="27" borderId="10" xfId="0" applyFill="1" applyBorder="1" applyAlignment="1">
      <alignment horizontal="center" vertical="center" wrapText="1"/>
    </xf>
    <xf numFmtId="0" fontId="0" fillId="27" borderId="5" xfId="0" applyFill="1" applyBorder="1" applyAlignment="1">
      <alignment horizontal="center" vertical="center" wrapText="1"/>
    </xf>
    <xf numFmtId="173" fontId="5" fillId="0" borderId="4" xfId="4" applyNumberFormat="1" applyFont="1" applyBorder="1" applyAlignment="1" applyProtection="1">
      <alignment horizontal="right" vertical="center"/>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0" fontId="103" fillId="5" borderId="118" xfId="1" applyNumberFormat="1" applyFont="1" applyFill="1" applyBorder="1" applyAlignment="1" applyProtection="1">
      <alignment horizontal="center" wrapText="1"/>
    </xf>
    <xf numFmtId="0" fontId="103" fillId="5" borderId="119" xfId="1" applyNumberFormat="1" applyFont="1" applyFill="1" applyBorder="1" applyAlignment="1" applyProtection="1">
      <alignment horizontal="center" wrapText="1"/>
    </xf>
    <xf numFmtId="0" fontId="103" fillId="5" borderId="18" xfId="1" applyNumberFormat="1" applyFont="1" applyFill="1" applyBorder="1" applyAlignment="1" applyProtection="1">
      <alignment horizontal="center" wrapText="1"/>
    </xf>
    <xf numFmtId="0" fontId="34" fillId="4" borderId="0" xfId="0" applyFont="1" applyFill="1" applyAlignment="1">
      <alignment horizontal="left"/>
    </xf>
    <xf numFmtId="0" fontId="142" fillId="5" borderId="6" xfId="0" applyFont="1" applyFill="1" applyBorder="1" applyAlignment="1">
      <alignment horizontal="left" vertical="center" wrapText="1" indent="6"/>
    </xf>
    <xf numFmtId="0" fontId="142" fillId="5" borderId="7" xfId="0" applyFont="1" applyFill="1" applyBorder="1" applyAlignment="1">
      <alignment horizontal="left" vertical="center" wrapText="1" indent="6"/>
    </xf>
    <xf numFmtId="0" fontId="142" fillId="5" borderId="8" xfId="0" applyFont="1" applyFill="1" applyBorder="1" applyAlignment="1">
      <alignment horizontal="left" vertical="center" wrapText="1" indent="6"/>
    </xf>
    <xf numFmtId="0" fontId="142" fillId="5" borderId="13" xfId="0" applyFont="1" applyFill="1" applyBorder="1" applyAlignment="1">
      <alignment horizontal="left" vertical="center" wrapText="1" indent="6"/>
    </xf>
    <xf numFmtId="0" fontId="142" fillId="5" borderId="15" xfId="0" applyFont="1" applyFill="1" applyBorder="1" applyAlignment="1">
      <alignment horizontal="left" vertical="center" wrapText="1" indent="6"/>
    </xf>
    <xf numFmtId="0" fontId="142" fillId="5" borderId="14" xfId="0" applyFont="1" applyFill="1" applyBorder="1" applyAlignment="1">
      <alignment horizontal="left" vertical="center" wrapText="1" indent="6"/>
    </xf>
    <xf numFmtId="0" fontId="2" fillId="37" borderId="241" xfId="0" applyFont="1" applyFill="1" applyBorder="1" applyAlignment="1">
      <alignment horizontal="center" vertical="center"/>
    </xf>
    <xf numFmtId="0" fontId="2" fillId="37" borderId="216" xfId="0" applyFont="1" applyFill="1" applyBorder="1" applyAlignment="1">
      <alignment horizontal="center" vertical="center"/>
    </xf>
    <xf numFmtId="0" fontId="2" fillId="37" borderId="242" xfId="0" applyFont="1" applyFill="1" applyBorder="1" applyAlignment="1">
      <alignment horizontal="center" vertical="center"/>
    </xf>
    <xf numFmtId="0" fontId="2" fillId="37" borderId="5" xfId="0" applyFont="1" applyFill="1" applyBorder="1" applyAlignment="1">
      <alignment horizontal="center" vertical="center"/>
    </xf>
    <xf numFmtId="174" fontId="68" fillId="16" borderId="8" xfId="14" applyNumberFormat="1" applyFont="1" applyFill="1" applyBorder="1" applyAlignment="1" applyProtection="1">
      <alignment horizontal="center" vertical="center"/>
      <protection hidden="1"/>
    </xf>
    <xf numFmtId="174" fontId="68" fillId="16" borderId="14" xfId="14" applyNumberFormat="1" applyFont="1" applyFill="1" applyBorder="1" applyAlignment="1" applyProtection="1">
      <alignment horizontal="center" vertical="center"/>
      <protection hidden="1"/>
    </xf>
    <xf numFmtId="0" fontId="48" fillId="16" borderId="9" xfId="0" applyFont="1" applyFill="1" applyBorder="1" applyAlignment="1">
      <alignment horizontal="center" vertical="center" wrapText="1"/>
    </xf>
    <xf numFmtId="0" fontId="48" fillId="16" borderId="10" xfId="0" applyFont="1" applyFill="1" applyBorder="1" applyAlignment="1">
      <alignment horizontal="center" vertical="center" wrapText="1"/>
    </xf>
    <xf numFmtId="0" fontId="48" fillId="16" borderId="5" xfId="0" applyFont="1" applyFill="1" applyBorder="1" applyAlignment="1">
      <alignment horizontal="center" vertical="center" wrapText="1"/>
    </xf>
    <xf numFmtId="0" fontId="2" fillId="37" borderId="21" xfId="0" applyFont="1" applyFill="1" applyBorder="1" applyAlignment="1">
      <alignment horizontal="center" vertical="center"/>
    </xf>
    <xf numFmtId="0" fontId="2" fillId="37" borderId="23" xfId="0" applyFont="1" applyFill="1" applyBorder="1" applyAlignment="1">
      <alignment horizontal="center" vertical="center"/>
    </xf>
    <xf numFmtId="0" fontId="102" fillId="6" borderId="6" xfId="0" applyFont="1" applyFill="1" applyBorder="1" applyAlignment="1">
      <alignment horizontal="left" vertical="center"/>
    </xf>
    <xf numFmtId="0" fontId="102" fillId="6" borderId="13" xfId="0" applyFont="1" applyFill="1" applyBorder="1" applyAlignment="1">
      <alignment horizontal="left" vertical="center"/>
    </xf>
    <xf numFmtId="0" fontId="102" fillId="6" borderId="6" xfId="0" applyFont="1" applyFill="1" applyBorder="1" applyAlignment="1">
      <alignment vertical="center" wrapText="1"/>
    </xf>
    <xf numFmtId="0" fontId="102" fillId="6" borderId="13" xfId="0" applyFont="1" applyFill="1" applyBorder="1" applyAlignment="1">
      <alignment vertical="center" wrapText="1"/>
    </xf>
    <xf numFmtId="0" fontId="2" fillId="37" borderId="245" xfId="0" applyFont="1" applyFill="1" applyBorder="1" applyAlignment="1">
      <alignment horizontal="center" vertical="center"/>
    </xf>
    <xf numFmtId="0" fontId="53" fillId="4" borderId="0" xfId="0" applyFont="1" applyFill="1" applyAlignment="1">
      <alignment horizontal="left" vertical="center" wrapText="1"/>
    </xf>
    <xf numFmtId="0" fontId="183" fillId="4" borderId="0" xfId="0" applyFont="1" applyFill="1" applyAlignment="1">
      <alignment horizontal="left" vertical="center" wrapText="1"/>
    </xf>
    <xf numFmtId="0" fontId="227" fillId="4" borderId="0" xfId="0" applyFont="1" applyFill="1" applyAlignment="1">
      <alignment horizontal="left" vertical="center" wrapText="1"/>
    </xf>
    <xf numFmtId="0" fontId="51" fillId="4" borderId="0" xfId="0" applyFont="1" applyFill="1" applyAlignment="1">
      <alignment horizontal="left" vertical="center" wrapText="1"/>
    </xf>
    <xf numFmtId="0" fontId="53" fillId="0" borderId="0" xfId="0" applyFont="1" applyAlignment="1">
      <alignment horizontal="left" vertical="center" wrapText="1"/>
    </xf>
    <xf numFmtId="0" fontId="208" fillId="5" borderId="0" xfId="6" applyFont="1" applyFill="1" applyAlignment="1" applyProtection="1">
      <alignment horizontal="left" vertical="center"/>
    </xf>
    <xf numFmtId="0" fontId="186" fillId="5" borderId="0" xfId="0" applyFont="1" applyFill="1" applyAlignment="1">
      <alignment horizontal="left" vertical="top" wrapText="1"/>
    </xf>
    <xf numFmtId="0" fontId="3" fillId="5" borderId="0" xfId="0" applyFont="1" applyFill="1" applyAlignment="1">
      <alignment horizontal="center"/>
    </xf>
    <xf numFmtId="0" fontId="177" fillId="5" borderId="151" xfId="0" applyFont="1" applyFill="1" applyBorder="1" applyAlignment="1" applyProtection="1">
      <alignment horizontal="center" vertical="center" wrapText="1"/>
      <protection locked="0"/>
    </xf>
    <xf numFmtId="0" fontId="177" fillId="5" borderId="153" xfId="0" applyFont="1" applyFill="1" applyBorder="1" applyAlignment="1" applyProtection="1">
      <alignment horizontal="center" vertical="center" wrapText="1"/>
      <protection locked="0"/>
    </xf>
    <xf numFmtId="0" fontId="51" fillId="4" borderId="154" xfId="0" applyFont="1" applyFill="1" applyBorder="1" applyAlignment="1">
      <alignment horizontal="center" vertical="center"/>
    </xf>
    <xf numFmtId="0" fontId="49" fillId="4" borderId="0" xfId="0" applyFont="1" applyFill="1" applyAlignment="1">
      <alignment horizontal="left" vertical="center" wrapText="1"/>
    </xf>
    <xf numFmtId="0" fontId="177" fillId="5" borderId="148" xfId="0" applyFont="1" applyFill="1" applyBorder="1" applyAlignment="1" applyProtection="1">
      <alignment horizontal="left" vertical="center" wrapText="1"/>
      <protection locked="0"/>
    </xf>
    <xf numFmtId="0" fontId="177" fillId="5" borderId="150" xfId="0" applyFont="1" applyFill="1" applyBorder="1" applyAlignment="1" applyProtection="1">
      <alignment horizontal="left" vertical="center" wrapText="1"/>
      <protection locked="0"/>
    </xf>
    <xf numFmtId="0" fontId="49" fillId="4" borderId="0" xfId="0" applyFont="1" applyFill="1" applyAlignment="1">
      <alignment horizontal="left" vertical="center" wrapText="1" indent="2"/>
    </xf>
    <xf numFmtId="0" fontId="2" fillId="17" borderId="5" xfId="0" applyFont="1" applyFill="1" applyBorder="1" applyAlignment="1">
      <alignment horizontal="center" vertical="center"/>
    </xf>
    <xf numFmtId="44" fontId="0" fillId="5" borderId="4" xfId="4" applyFont="1" applyFill="1" applyBorder="1" applyAlignment="1">
      <alignment horizontal="center" vertical="center"/>
    </xf>
    <xf numFmtId="0" fontId="2" fillId="34" borderId="0" xfId="0" applyFont="1" applyFill="1" applyAlignment="1">
      <alignment horizontal="center" vertical="center"/>
    </xf>
    <xf numFmtId="0" fontId="2" fillId="34" borderId="11" xfId="0" applyFont="1" applyFill="1" applyBorder="1" applyAlignment="1">
      <alignment horizontal="center"/>
    </xf>
    <xf numFmtId="0" fontId="2" fillId="34" borderId="0" xfId="0" applyFont="1" applyFill="1" applyAlignment="1">
      <alignment horizontal="center"/>
    </xf>
    <xf numFmtId="0" fontId="0" fillId="21" borderId="2" xfId="0" applyFill="1" applyBorder="1" applyAlignment="1">
      <alignment horizontal="center" vertical="center"/>
    </xf>
    <xf numFmtId="0" fontId="0" fillId="21" borderId="3" xfId="0" applyFill="1" applyBorder="1" applyAlignment="1">
      <alignment horizontal="center" vertical="center"/>
    </xf>
    <xf numFmtId="0" fontId="0" fillId="0" borderId="4" xfId="0"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5" xfId="0" applyFont="1" applyBorder="1" applyAlignment="1">
      <alignment horizontal="center" vertical="center" wrapText="1"/>
    </xf>
    <xf numFmtId="9" fontId="5" fillId="5" borderId="9" xfId="1" applyFont="1" applyFill="1" applyBorder="1" applyAlignment="1">
      <alignment horizontal="center" vertical="center" wrapText="1"/>
    </xf>
    <xf numFmtId="9" fontId="5" fillId="5" borderId="10" xfId="1" applyFont="1" applyFill="1" applyBorder="1" applyAlignment="1">
      <alignment horizontal="center" vertical="center" wrapText="1"/>
    </xf>
    <xf numFmtId="9" fontId="5" fillId="5" borderId="5" xfId="1" applyFont="1" applyFill="1" applyBorder="1" applyAlignment="1">
      <alignment horizontal="center" vertical="center" wrapText="1"/>
    </xf>
    <xf numFmtId="0" fontId="0" fillId="22" borderId="4" xfId="0" applyFill="1" applyBorder="1" applyAlignment="1">
      <alignment horizontal="center" vertical="center"/>
    </xf>
    <xf numFmtId="0" fontId="0" fillId="0" borderId="4" xfId="0" applyBorder="1" applyAlignment="1">
      <alignment horizontal="left" vertical="center"/>
    </xf>
    <xf numFmtId="174" fontId="0" fillId="14" borderId="4" xfId="4" applyNumberFormat="1" applyFont="1" applyFill="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xf>
    <xf numFmtId="0" fontId="0" fillId="0" borderId="8" xfId="0" applyBorder="1" applyAlignment="1">
      <alignment horizontal="center"/>
    </xf>
    <xf numFmtId="0" fontId="2" fillId="17" borderId="56" xfId="0" applyFont="1" applyFill="1" applyBorder="1" applyAlignment="1">
      <alignment horizontal="center"/>
    </xf>
    <xf numFmtId="0" fontId="2" fillId="17" borderId="57" xfId="0" applyFont="1" applyFill="1" applyBorder="1" applyAlignment="1">
      <alignment horizontal="center"/>
    </xf>
    <xf numFmtId="0" fontId="2" fillId="17" borderId="6"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2" fillId="17" borderId="13" xfId="0" applyFont="1" applyFill="1" applyBorder="1" applyAlignment="1">
      <alignment horizontal="center" vertical="center" wrapText="1"/>
    </xf>
    <xf numFmtId="0" fontId="2" fillId="17" borderId="14" xfId="0" applyFont="1" applyFill="1" applyBorder="1" applyAlignment="1">
      <alignment horizontal="center"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21" borderId="4" xfId="0" applyFont="1" applyFill="1" applyBorder="1" applyAlignment="1">
      <alignment horizontal="center" vertical="center"/>
    </xf>
    <xf numFmtId="0" fontId="8" fillId="21" borderId="4"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21" borderId="3" xfId="0" applyFont="1" applyFill="1" applyBorder="1" applyAlignment="1">
      <alignment horizontal="center" vertical="center" wrapText="1"/>
    </xf>
    <xf numFmtId="0" fontId="8" fillId="21" borderId="9" xfId="0" applyFont="1" applyFill="1" applyBorder="1" applyAlignment="1">
      <alignment horizontal="center" vertical="center"/>
    </xf>
    <xf numFmtId="0" fontId="8" fillId="21" borderId="5" xfId="0" applyFont="1" applyFill="1" applyBorder="1" applyAlignment="1">
      <alignment horizontal="center" vertical="center"/>
    </xf>
    <xf numFmtId="0" fontId="0" fillId="22" borderId="1" xfId="0" applyFill="1" applyBorder="1" applyAlignment="1">
      <alignment horizontal="center" vertical="center"/>
    </xf>
    <xf numFmtId="0" fontId="0" fillId="22" borderId="3" xfId="0" applyFill="1" applyBorder="1" applyAlignment="1">
      <alignment horizontal="center" vertical="center"/>
    </xf>
    <xf numFmtId="174" fontId="0" fillId="14" borderId="1" xfId="4" applyNumberFormat="1" applyFont="1" applyFill="1" applyBorder="1" applyAlignment="1">
      <alignment horizontal="center" vertical="center"/>
    </xf>
    <xf numFmtId="174" fontId="0" fillId="14" borderId="3" xfId="4" applyNumberFormat="1" applyFont="1" applyFill="1" applyBorder="1" applyAlignment="1">
      <alignment horizontal="center" vertical="center"/>
    </xf>
    <xf numFmtId="0" fontId="5" fillId="0" borderId="4" xfId="0" applyFont="1" applyBorder="1" applyAlignment="1">
      <alignment horizontal="left"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0" fillId="0" borderId="1" xfId="0" applyBorder="1" applyAlignment="1">
      <alignment horizontal="left" vertical="center"/>
    </xf>
    <xf numFmtId="0" fontId="0" fillId="0" borderId="3" xfId="0" applyBorder="1" applyAlignment="1">
      <alignment horizontal="lef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74" fontId="5" fillId="0" borderId="4" xfId="4" applyNumberFormat="1" applyFont="1" applyBorder="1" applyAlignment="1">
      <alignment horizontal="center" vertical="center"/>
    </xf>
    <xf numFmtId="0" fontId="5" fillId="22" borderId="3" xfId="0" applyFont="1" applyFill="1" applyBorder="1" applyAlignment="1">
      <alignment horizontal="left" vertical="center"/>
    </xf>
    <xf numFmtId="0" fontId="5" fillId="22" borderId="4" xfId="0" applyFont="1" applyFill="1" applyBorder="1" applyAlignment="1">
      <alignment horizontal="left" vertical="center"/>
    </xf>
    <xf numFmtId="174" fontId="4" fillId="22" borderId="1" xfId="4" applyNumberFormat="1" applyFont="1" applyFill="1" applyBorder="1" applyAlignment="1">
      <alignment horizontal="center" vertical="center"/>
    </xf>
    <xf numFmtId="174" fontId="4" fillId="22" borderId="2" xfId="4" applyNumberFormat="1" applyFont="1" applyFill="1" applyBorder="1" applyAlignment="1">
      <alignment horizontal="center" vertical="center"/>
    </xf>
    <xf numFmtId="174" fontId="4" fillId="22" borderId="3" xfId="4" applyNumberFormat="1" applyFont="1" applyFill="1" applyBorder="1" applyAlignment="1">
      <alignment horizontal="center" vertical="center"/>
    </xf>
    <xf numFmtId="174" fontId="0" fillId="14" borderId="2" xfId="4" applyNumberFormat="1" applyFont="1" applyFill="1" applyBorder="1" applyAlignment="1">
      <alignment horizontal="center" vertical="center"/>
    </xf>
    <xf numFmtId="0" fontId="4" fillId="0" borderId="5" xfId="0" applyFont="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0" fontId="91" fillId="5" borderId="0" xfId="0" applyFont="1" applyFill="1" applyAlignment="1">
      <alignment horizontal="left"/>
    </xf>
    <xf numFmtId="0" fontId="0" fillId="5" borderId="0" xfId="0" applyFill="1" applyAlignment="1">
      <alignment horizontal="left" vertical="top" wrapText="1"/>
    </xf>
    <xf numFmtId="0" fontId="0" fillId="5" borderId="95" xfId="0" applyFill="1" applyBorder="1" applyAlignment="1">
      <alignment horizontal="center"/>
    </xf>
    <xf numFmtId="0" fontId="0" fillId="5" borderId="97" xfId="0" applyFill="1" applyBorder="1" applyAlignment="1">
      <alignment horizontal="center"/>
    </xf>
    <xf numFmtId="0" fontId="98" fillId="0" borderId="0" xfId="0" applyFont="1" applyAlignment="1">
      <alignment horizontal="left" vertical="top" wrapText="1"/>
    </xf>
    <xf numFmtId="0" fontId="0" fillId="5" borderId="9" xfId="0" applyFill="1" applyBorder="1" applyAlignment="1">
      <alignment horizontal="left" vertical="center"/>
    </xf>
    <xf numFmtId="0" fontId="0" fillId="5" borderId="10" xfId="0" applyFill="1" applyBorder="1" applyAlignment="1">
      <alignment horizontal="left" vertical="center"/>
    </xf>
    <xf numFmtId="0" fontId="0" fillId="5" borderId="5" xfId="0" applyFill="1" applyBorder="1" applyAlignment="1">
      <alignment horizontal="left" vertical="center"/>
    </xf>
    <xf numFmtId="0" fontId="2" fillId="28" borderId="9" xfId="0" applyFont="1" applyFill="1" applyBorder="1" applyAlignment="1">
      <alignment horizontal="center" vertical="center" wrapText="1"/>
    </xf>
    <xf numFmtId="0" fontId="2" fillId="28" borderId="5" xfId="0" applyFont="1" applyFill="1" applyBorder="1" applyAlignment="1">
      <alignment horizontal="center" vertical="center" wrapText="1"/>
    </xf>
    <xf numFmtId="0" fontId="2" fillId="28" borderId="6" xfId="0" applyFont="1" applyFill="1" applyBorder="1" applyAlignment="1">
      <alignment horizontal="center" vertical="center" wrapText="1"/>
    </xf>
    <xf numFmtId="0" fontId="2" fillId="28" borderId="8" xfId="0" applyFont="1" applyFill="1" applyBorder="1" applyAlignment="1">
      <alignment horizontal="center" vertical="center" wrapText="1"/>
    </xf>
    <xf numFmtId="0" fontId="2" fillId="28" borderId="13" xfId="0" applyFont="1" applyFill="1" applyBorder="1" applyAlignment="1">
      <alignment horizontal="center" vertical="center" wrapText="1"/>
    </xf>
    <xf numFmtId="0" fontId="2" fillId="28" borderId="14" xfId="0" applyFont="1" applyFill="1" applyBorder="1" applyAlignment="1">
      <alignment horizontal="center" vertical="center" wrapText="1"/>
    </xf>
    <xf numFmtId="0" fontId="2" fillId="28" borderId="1" xfId="0" applyFont="1" applyFill="1" applyBorder="1" applyAlignment="1">
      <alignment horizontal="center" vertical="center" wrapText="1"/>
    </xf>
    <xf numFmtId="0" fontId="2" fillId="28" borderId="2" xfId="0" applyFont="1" applyFill="1" applyBorder="1" applyAlignment="1">
      <alignment horizontal="center" vertical="center" wrapText="1"/>
    </xf>
    <xf numFmtId="0" fontId="2" fillId="28" borderId="3" xfId="0" applyFont="1" applyFill="1" applyBorder="1" applyAlignment="1">
      <alignment horizontal="center" vertical="center" wrapText="1"/>
    </xf>
    <xf numFmtId="0" fontId="0" fillId="5" borderId="96" xfId="0" applyFill="1" applyBorder="1" applyAlignment="1">
      <alignment horizont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70" xfId="0" applyFont="1" applyFill="1" applyBorder="1" applyAlignment="1">
      <alignment horizontal="left" vertical="center" wrapText="1"/>
    </xf>
    <xf numFmtId="0" fontId="5" fillId="5" borderId="71" xfId="0" applyFont="1" applyFill="1" applyBorder="1" applyAlignment="1">
      <alignment horizontal="left" vertical="center" wrapText="1"/>
    </xf>
    <xf numFmtId="0" fontId="5" fillId="5" borderId="72" xfId="0" applyFont="1" applyFill="1" applyBorder="1" applyAlignment="1">
      <alignment horizontal="left" vertical="center" wrapText="1"/>
    </xf>
    <xf numFmtId="0" fontId="5" fillId="5" borderId="73"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74" xfId="0" applyFont="1" applyFill="1" applyBorder="1" applyAlignment="1">
      <alignment horizontal="left" vertical="center" wrapText="1"/>
    </xf>
    <xf numFmtId="0" fontId="5" fillId="5" borderId="75" xfId="0" applyFont="1" applyFill="1" applyBorder="1" applyAlignment="1">
      <alignment horizontal="left" vertical="center" wrapText="1"/>
    </xf>
    <xf numFmtId="0" fontId="5" fillId="5" borderId="76" xfId="0" applyFont="1" applyFill="1" applyBorder="1" applyAlignment="1">
      <alignment horizontal="left" vertical="center" wrapText="1"/>
    </xf>
    <xf numFmtId="0" fontId="5" fillId="5" borderId="77" xfId="0" applyFont="1" applyFill="1" applyBorder="1" applyAlignment="1">
      <alignment horizontal="left" vertical="center" wrapText="1"/>
    </xf>
    <xf numFmtId="0" fontId="0" fillId="5" borderId="68" xfId="0" applyFill="1" applyBorder="1" applyAlignment="1">
      <alignment horizontal="center"/>
    </xf>
    <xf numFmtId="0" fontId="0" fillId="5" borderId="94" xfId="0" applyFill="1" applyBorder="1" applyAlignment="1">
      <alignment horizontal="center"/>
    </xf>
    <xf numFmtId="0" fontId="0" fillId="5" borderId="69" xfId="0" applyFill="1" applyBorder="1" applyAlignment="1">
      <alignment horizontal="center"/>
    </xf>
    <xf numFmtId="0" fontId="0" fillId="0" borderId="70" xfId="0" applyBorder="1" applyAlignment="1">
      <alignment horizontal="left" vertical="center" wrapText="1"/>
    </xf>
    <xf numFmtId="0" fontId="0" fillId="0" borderId="71" xfId="0" applyBorder="1" applyAlignment="1">
      <alignment horizontal="left" vertical="center" wrapText="1"/>
    </xf>
    <xf numFmtId="0" fontId="0" fillId="0" borderId="72" xfId="0" applyBorder="1" applyAlignment="1">
      <alignment horizontal="left" vertical="center" wrapText="1"/>
    </xf>
    <xf numFmtId="0" fontId="0" fillId="0" borderId="73" xfId="0" applyBorder="1" applyAlignment="1">
      <alignment horizontal="left" vertical="center" wrapText="1"/>
    </xf>
    <xf numFmtId="0" fontId="0" fillId="0" borderId="0" xfId="0" applyAlignment="1">
      <alignment horizontal="left" vertical="center" wrapText="1"/>
    </xf>
    <xf numFmtId="0" fontId="0" fillId="0" borderId="74" xfId="0" applyBorder="1" applyAlignment="1">
      <alignment horizontal="left" vertical="center" wrapText="1"/>
    </xf>
    <xf numFmtId="0" fontId="0" fillId="0" borderId="75" xfId="0" applyBorder="1" applyAlignment="1">
      <alignment horizontal="left" vertical="center" wrapText="1"/>
    </xf>
    <xf numFmtId="0" fontId="0" fillId="0" borderId="76" xfId="0" applyBorder="1" applyAlignment="1">
      <alignment horizontal="left" vertical="center" wrapText="1"/>
    </xf>
    <xf numFmtId="0" fontId="0" fillId="0" borderId="77" xfId="0" applyBorder="1" applyAlignment="1">
      <alignment horizontal="left" vertical="center" wrapText="1"/>
    </xf>
    <xf numFmtId="0" fontId="114" fillId="5" borderId="0" xfId="0" applyFont="1" applyFill="1" applyAlignment="1">
      <alignment horizontal="left" vertical="center" wrapText="1"/>
    </xf>
    <xf numFmtId="0" fontId="5" fillId="5" borderId="0" xfId="0" applyFont="1" applyFill="1" applyAlignment="1">
      <alignment horizontal="left" vertical="center" wrapText="1" indent="1"/>
    </xf>
    <xf numFmtId="0" fontId="4" fillId="27" borderId="9" xfId="0" applyFont="1" applyFill="1" applyBorder="1" applyAlignment="1">
      <alignment horizontal="center" vertical="center"/>
    </xf>
    <xf numFmtId="0" fontId="4" fillId="27" borderId="10" xfId="0" applyFont="1" applyFill="1" applyBorder="1" applyAlignment="1">
      <alignment horizontal="center" vertical="center"/>
    </xf>
    <xf numFmtId="0" fontId="4" fillId="27" borderId="8" xfId="0" applyFont="1" applyFill="1" applyBorder="1" applyAlignment="1">
      <alignment horizontal="center" vertical="center"/>
    </xf>
    <xf numFmtId="0" fontId="4" fillId="27" borderId="12" xfId="0" applyFont="1" applyFill="1" applyBorder="1" applyAlignment="1">
      <alignment horizontal="center" vertical="center"/>
    </xf>
    <xf numFmtId="0" fontId="52" fillId="27" borderId="8" xfId="0" applyFont="1" applyFill="1" applyBorder="1" applyAlignment="1">
      <alignment horizontal="center" vertical="center" wrapText="1"/>
    </xf>
    <xf numFmtId="0" fontId="52" fillId="27" borderId="9" xfId="0" applyFont="1" applyFill="1" applyBorder="1" applyAlignment="1">
      <alignment horizontal="center" vertical="center" wrapText="1"/>
    </xf>
    <xf numFmtId="0" fontId="52" fillId="27" borderId="4" xfId="0" applyFont="1" applyFill="1" applyBorder="1" applyAlignment="1">
      <alignment horizontal="center" vertical="center" wrapText="1"/>
    </xf>
    <xf numFmtId="0" fontId="121" fillId="27" borderId="4" xfId="0" applyFont="1" applyFill="1" applyBorder="1" applyAlignment="1">
      <alignment horizontal="center" vertical="center" wrapText="1"/>
    </xf>
    <xf numFmtId="0" fontId="52" fillId="27" borderId="7" xfId="0" applyFont="1" applyFill="1" applyBorder="1" applyAlignment="1">
      <alignment horizontal="center" vertical="center" wrapText="1"/>
    </xf>
    <xf numFmtId="0" fontId="52" fillId="27" borderId="28" xfId="0" applyFont="1" applyFill="1" applyBorder="1" applyAlignment="1">
      <alignment horizontal="center" vertical="center" wrapText="1"/>
    </xf>
    <xf numFmtId="0" fontId="52" fillId="27" borderId="14" xfId="0" applyFont="1" applyFill="1" applyBorder="1" applyAlignment="1">
      <alignment horizontal="center" vertical="center" wrapText="1"/>
    </xf>
    <xf numFmtId="0" fontId="52" fillId="27" borderId="5" xfId="0" applyFont="1" applyFill="1" applyBorder="1" applyAlignment="1">
      <alignment horizontal="center" vertical="center" wrapText="1"/>
    </xf>
    <xf numFmtId="0" fontId="52" fillId="27" borderId="23" xfId="0" applyFont="1" applyFill="1" applyBorder="1" applyAlignment="1">
      <alignment horizontal="center" vertical="center" wrapText="1"/>
    </xf>
    <xf numFmtId="0" fontId="52" fillId="27" borderId="120" xfId="0" applyFont="1" applyFill="1" applyBorder="1" applyAlignment="1">
      <alignment horizontal="center" vertical="center" wrapText="1"/>
    </xf>
    <xf numFmtId="0" fontId="4" fillId="29" borderId="0" xfId="0" applyFont="1" applyFill="1" applyAlignment="1">
      <alignment horizontal="center" vertical="center" textRotation="90" wrapText="1"/>
    </xf>
    <xf numFmtId="0" fontId="4" fillId="18" borderId="0" xfId="0" applyFont="1" applyFill="1" applyAlignment="1">
      <alignment horizontal="left"/>
    </xf>
    <xf numFmtId="0" fontId="4" fillId="30" borderId="4" xfId="0" applyFont="1" applyFill="1" applyBorder="1" applyAlignment="1">
      <alignment horizontal="center" vertical="center"/>
    </xf>
    <xf numFmtId="0" fontId="4" fillId="16" borderId="9" xfId="0" applyFont="1" applyFill="1" applyBorder="1" applyAlignment="1">
      <alignment horizontal="center" vertical="center"/>
    </xf>
    <xf numFmtId="0" fontId="4" fillId="16" borderId="5" xfId="0" applyFont="1" applyFill="1" applyBorder="1" applyAlignment="1">
      <alignment horizontal="center" vertical="center"/>
    </xf>
    <xf numFmtId="0" fontId="0" fillId="30" borderId="0" xfId="0" applyFill="1" applyAlignment="1">
      <alignment horizontal="center"/>
    </xf>
    <xf numFmtId="0" fontId="4" fillId="29" borderId="0" xfId="0" applyFont="1" applyFill="1" applyAlignment="1">
      <alignment horizontal="center"/>
    </xf>
    <xf numFmtId="0" fontId="0" fillId="0" borderId="0" xfId="0" applyAlignment="1">
      <alignment horizontal="center" vertical="center"/>
    </xf>
    <xf numFmtId="0" fontId="4" fillId="30" borderId="6" xfId="0" applyFont="1" applyFill="1" applyBorder="1" applyAlignment="1">
      <alignment horizontal="center" vertical="center"/>
    </xf>
    <xf numFmtId="0" fontId="4" fillId="30" borderId="13" xfId="0" applyFont="1" applyFill="1" applyBorder="1" applyAlignment="1">
      <alignment horizontal="center" vertical="center"/>
    </xf>
    <xf numFmtId="0" fontId="0" fillId="16" borderId="0" xfId="0" applyFill="1" applyAlignment="1">
      <alignment horizontal="center"/>
    </xf>
    <xf numFmtId="0" fontId="0" fillId="16" borderId="0" xfId="0" applyFill="1" applyAlignment="1">
      <alignment horizontal="left"/>
    </xf>
    <xf numFmtId="0" fontId="4" fillId="29" borderId="0" xfId="0" applyFont="1" applyFill="1" applyAlignment="1">
      <alignment horizontal="right" vertical="center" textRotation="90" wrapText="1"/>
    </xf>
    <xf numFmtId="0" fontId="2" fillId="17" borderId="0" xfId="0" applyFont="1" applyFill="1" applyAlignment="1">
      <alignment horizontal="center"/>
    </xf>
    <xf numFmtId="0" fontId="0" fillId="0" borderId="26" xfId="0" applyBorder="1" applyAlignment="1">
      <alignment horizontal="center" vertical="center"/>
    </xf>
    <xf numFmtId="0" fontId="4" fillId="18" borderId="4" xfId="0" applyFont="1" applyFill="1" applyBorder="1" applyAlignment="1">
      <alignment horizontal="center"/>
    </xf>
    <xf numFmtId="0" fontId="4" fillId="16" borderId="4" xfId="0" applyFont="1" applyFill="1" applyBorder="1" applyAlignment="1">
      <alignment horizontal="center" vertical="center"/>
    </xf>
    <xf numFmtId="0" fontId="4" fillId="30" borderId="9" xfId="0" applyFont="1" applyFill="1" applyBorder="1" applyAlignment="1">
      <alignment horizontal="center" vertical="center"/>
    </xf>
    <xf numFmtId="0" fontId="4" fillId="30" borderId="5" xfId="0" applyFont="1" applyFill="1" applyBorder="1" applyAlignment="1">
      <alignment horizontal="center" vertical="center"/>
    </xf>
    <xf numFmtId="0" fontId="4" fillId="18" borderId="1" xfId="0" applyFont="1" applyFill="1" applyBorder="1" applyAlignment="1">
      <alignment horizontal="center"/>
    </xf>
    <xf numFmtId="0" fontId="4" fillId="18" borderId="2" xfId="0" applyFont="1" applyFill="1" applyBorder="1" applyAlignment="1">
      <alignment horizontal="center"/>
    </xf>
    <xf numFmtId="0" fontId="4" fillId="18" borderId="3" xfId="0" applyFont="1" applyFill="1" applyBorder="1" applyAlignment="1">
      <alignment horizontal="center"/>
    </xf>
    <xf numFmtId="0" fontId="4" fillId="0" borderId="0" xfId="0" applyFont="1" applyAlignment="1">
      <alignment horizontal="center"/>
    </xf>
    <xf numFmtId="167" fontId="91" fillId="0" borderId="0" xfId="0" applyNumberFormat="1" applyFont="1" applyAlignment="1">
      <alignment horizontal="left" vertical="center"/>
    </xf>
    <xf numFmtId="0" fontId="80" fillId="0" borderId="0" xfId="0" applyFont="1" applyAlignment="1">
      <alignment horizontal="center"/>
    </xf>
    <xf numFmtId="0" fontId="0" fillId="30" borderId="0" xfId="0" applyFill="1" applyAlignment="1">
      <alignment horizontal="center" wrapText="1"/>
    </xf>
    <xf numFmtId="0" fontId="0" fillId="30" borderId="0" xfId="0" applyFill="1" applyAlignment="1">
      <alignment horizontal="center" vertical="center" wrapText="1"/>
    </xf>
    <xf numFmtId="2" fontId="2" fillId="6" borderId="14" xfId="0" applyNumberFormat="1"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42" xfId="0" applyNumberFormat="1" applyFont="1" applyFill="1" applyBorder="1" applyAlignment="1">
      <alignment horizontal="center" vertical="center"/>
    </xf>
    <xf numFmtId="2" fontId="2" fillId="6" borderId="3" xfId="0" applyNumberFormat="1" applyFont="1" applyFill="1" applyBorder="1" applyAlignment="1">
      <alignment horizontal="center" vertical="center"/>
    </xf>
    <xf numFmtId="2" fontId="2" fillId="6" borderId="4" xfId="0" applyNumberFormat="1" applyFont="1" applyFill="1" applyBorder="1" applyAlignment="1">
      <alignment horizontal="center" vertical="center"/>
    </xf>
    <xf numFmtId="2" fontId="2" fillId="6" borderId="41" xfId="0" applyNumberFormat="1" applyFont="1" applyFill="1" applyBorder="1" applyAlignment="1">
      <alignment horizontal="center" vertical="center"/>
    </xf>
    <xf numFmtId="0" fontId="2" fillId="6" borderId="4" xfId="0" applyFont="1" applyFill="1" applyBorder="1" applyAlignment="1">
      <alignment horizontal="center"/>
    </xf>
    <xf numFmtId="0" fontId="0" fillId="0" borderId="9" xfId="0" applyBorder="1" applyAlignment="1">
      <alignment horizontal="center"/>
    </xf>
    <xf numFmtId="0" fontId="0" fillId="0" borderId="5" xfId="0" applyBorder="1" applyAlignment="1">
      <alignment horizontal="center"/>
    </xf>
    <xf numFmtId="0" fontId="4" fillId="0" borderId="0" xfId="0" applyFont="1" applyAlignment="1">
      <alignment horizontal="left" vertical="center"/>
    </xf>
    <xf numFmtId="0" fontId="0" fillId="0" borderId="0" xfId="0" applyAlignment="1">
      <alignment horizontal="left" vertical="center"/>
    </xf>
    <xf numFmtId="0" fontId="2" fillId="6" borderId="111" xfId="0" applyFont="1" applyFill="1" applyBorder="1" applyAlignment="1">
      <alignment horizontal="center"/>
    </xf>
    <xf numFmtId="0" fontId="2" fillId="6" borderId="112" xfId="0" applyFont="1" applyFill="1" applyBorder="1" applyAlignment="1">
      <alignment horizontal="center"/>
    </xf>
    <xf numFmtId="0" fontId="2" fillId="6" borderId="113" xfId="0" applyFont="1" applyFill="1" applyBorder="1" applyAlignment="1">
      <alignment horizontal="center"/>
    </xf>
    <xf numFmtId="0" fontId="65" fillId="0" borderId="9" xfId="0" applyFont="1" applyBorder="1" applyAlignment="1">
      <alignment horizontal="center"/>
    </xf>
    <xf numFmtId="0" fontId="65" fillId="0" borderId="5" xfId="0" applyFont="1" applyBorder="1" applyAlignment="1">
      <alignment horizontal="center"/>
    </xf>
    <xf numFmtId="0" fontId="2" fillId="6" borderId="6" xfId="0" applyFont="1" applyFill="1" applyBorder="1" applyAlignment="1">
      <alignment horizontal="center" vertical="center"/>
    </xf>
    <xf numFmtId="0" fontId="2" fillId="6" borderId="13" xfId="0" applyFont="1" applyFill="1" applyBorder="1" applyAlignment="1">
      <alignment horizontal="center" vertical="center"/>
    </xf>
    <xf numFmtId="0" fontId="2" fillId="6" borderId="4" xfId="0" applyFont="1" applyFill="1" applyBorder="1" applyAlignment="1">
      <alignment horizontal="center" vertical="center"/>
    </xf>
    <xf numFmtId="0" fontId="2" fillId="6" borderId="1" xfId="0" applyFont="1" applyFill="1" applyBorder="1" applyAlignment="1">
      <alignment horizontal="center" vertical="center"/>
    </xf>
    <xf numFmtId="0" fontId="14" fillId="9" borderId="6" xfId="2" applyFont="1" applyFill="1" applyBorder="1" applyAlignment="1">
      <alignment horizontal="center"/>
    </xf>
    <xf numFmtId="0" fontId="14" fillId="9" borderId="7" xfId="2" applyFont="1" applyFill="1" applyBorder="1" applyAlignment="1">
      <alignment horizontal="center"/>
    </xf>
    <xf numFmtId="0" fontId="14" fillId="9" borderId="8" xfId="2" applyFont="1" applyFill="1" applyBorder="1" applyAlignment="1">
      <alignment horizontal="center"/>
    </xf>
    <xf numFmtId="0" fontId="15" fillId="12" borderId="1" xfId="2" applyFont="1" applyFill="1" applyBorder="1" applyAlignment="1">
      <alignment horizontal="center"/>
    </xf>
    <xf numFmtId="0" fontId="15" fillId="12" borderId="2" xfId="2" applyFont="1" applyFill="1" applyBorder="1" applyAlignment="1">
      <alignment horizontal="center"/>
    </xf>
    <xf numFmtId="0" fontId="15" fillId="12" borderId="3" xfId="2" applyFont="1" applyFill="1" applyBorder="1" applyAlignment="1">
      <alignment horizontal="center"/>
    </xf>
    <xf numFmtId="0" fontId="14" fillId="10" borderId="16" xfId="2" applyFont="1" applyFill="1" applyBorder="1" applyAlignment="1">
      <alignment horizontal="center"/>
    </xf>
    <xf numFmtId="0" fontId="14" fillId="10" borderId="17" xfId="2" applyFont="1" applyFill="1" applyBorder="1" applyAlignment="1">
      <alignment horizontal="center"/>
    </xf>
    <xf numFmtId="0" fontId="14" fillId="9" borderId="11" xfId="2" applyFont="1" applyFill="1" applyBorder="1" applyAlignment="1">
      <alignment horizontal="center"/>
    </xf>
    <xf numFmtId="0" fontId="14" fillId="9" borderId="0" xfId="2" applyFont="1" applyFill="1" applyAlignment="1">
      <alignment horizontal="center"/>
    </xf>
    <xf numFmtId="0" fontId="15" fillId="11" borderId="11" xfId="2" applyFont="1" applyFill="1" applyBorder="1" applyAlignment="1">
      <alignment horizontal="center"/>
    </xf>
    <xf numFmtId="0" fontId="15" fillId="11" borderId="0" xfId="2" applyFont="1" applyFill="1" applyAlignment="1">
      <alignment horizontal="center"/>
    </xf>
    <xf numFmtId="0" fontId="15" fillId="11" borderId="12" xfId="2" applyFont="1" applyFill="1" applyBorder="1" applyAlignment="1">
      <alignment horizontal="center"/>
    </xf>
    <xf numFmtId="0" fontId="14" fillId="10" borderId="11" xfId="2" applyFont="1" applyFill="1" applyBorder="1" applyAlignment="1">
      <alignment horizontal="center"/>
    </xf>
    <xf numFmtId="0" fontId="14" fillId="10" borderId="0" xfId="2" applyFont="1" applyFill="1" applyAlignment="1">
      <alignment horizontal="center"/>
    </xf>
    <xf numFmtId="0" fontId="14" fillId="10" borderId="12" xfId="2" applyFont="1" applyFill="1" applyBorder="1" applyAlignment="1">
      <alignment horizontal="center"/>
    </xf>
    <xf numFmtId="0" fontId="75" fillId="9" borderId="8" xfId="2" applyFont="1" applyFill="1" applyBorder="1" applyAlignment="1">
      <alignment horizontal="center" vertical="center" wrapText="1"/>
    </xf>
    <xf numFmtId="0" fontId="75" fillId="9" borderId="12" xfId="2" applyFont="1" applyFill="1" applyBorder="1" applyAlignment="1">
      <alignment horizontal="center" vertical="center" wrapText="1"/>
    </xf>
    <xf numFmtId="0" fontId="14" fillId="9" borderId="1" xfId="2" applyFont="1" applyFill="1" applyBorder="1" applyAlignment="1">
      <alignment horizontal="center"/>
    </xf>
    <xf numFmtId="0" fontId="14" fillId="9" borderId="2" xfId="2" applyFont="1" applyFill="1" applyBorder="1" applyAlignment="1">
      <alignment horizontal="center"/>
    </xf>
    <xf numFmtId="0" fontId="14" fillId="9" borderId="3" xfId="2" applyFont="1" applyFill="1" applyBorder="1" applyAlignment="1">
      <alignment horizontal="center"/>
    </xf>
    <xf numFmtId="0" fontId="13" fillId="5" borderId="11" xfId="2" applyFill="1" applyBorder="1" applyAlignment="1">
      <alignment horizontal="center"/>
    </xf>
    <xf numFmtId="0" fontId="13" fillId="5" borderId="12" xfId="2" applyFill="1" applyBorder="1" applyAlignment="1">
      <alignment horizontal="center"/>
    </xf>
    <xf numFmtId="0" fontId="14" fillId="9" borderId="20" xfId="2" applyFont="1" applyFill="1" applyBorder="1" applyAlignment="1">
      <alignment horizontal="center"/>
    </xf>
    <xf numFmtId="0" fontId="14" fillId="9" borderId="28" xfId="2" applyFont="1" applyFill="1" applyBorder="1" applyAlignment="1">
      <alignment horizontal="center"/>
    </xf>
    <xf numFmtId="0" fontId="14" fillId="10" borderId="1" xfId="2" applyFont="1" applyFill="1" applyBorder="1" applyAlignment="1">
      <alignment horizontal="center"/>
    </xf>
    <xf numFmtId="0" fontId="14" fillId="10" borderId="2" xfId="2" applyFont="1" applyFill="1" applyBorder="1" applyAlignment="1">
      <alignment horizontal="center"/>
    </xf>
    <xf numFmtId="0" fontId="14" fillId="10" borderId="3" xfId="2" applyFont="1" applyFill="1" applyBorder="1" applyAlignment="1">
      <alignment horizontal="center"/>
    </xf>
    <xf numFmtId="0" fontId="14" fillId="10" borderId="18" xfId="2" applyFont="1" applyFill="1" applyBorder="1" applyAlignment="1">
      <alignment horizontal="center"/>
    </xf>
    <xf numFmtId="0" fontId="13" fillId="9" borderId="11" xfId="2" applyFill="1" applyBorder="1" applyAlignment="1">
      <alignment horizontal="center"/>
    </xf>
    <xf numFmtId="0" fontId="13" fillId="9" borderId="0" xfId="2" applyFill="1" applyAlignment="1">
      <alignment horizontal="center"/>
    </xf>
    <xf numFmtId="0" fontId="13" fillId="9" borderId="12" xfId="2" applyFill="1" applyBorder="1" applyAlignment="1">
      <alignment horizontal="center"/>
    </xf>
    <xf numFmtId="0" fontId="14" fillId="9" borderId="9" xfId="2" applyFont="1" applyFill="1" applyBorder="1" applyAlignment="1">
      <alignment horizontal="center" vertical="center" wrapText="1"/>
    </xf>
    <xf numFmtId="0" fontId="14" fillId="9" borderId="10" xfId="2" applyFont="1" applyFill="1" applyBorder="1" applyAlignment="1">
      <alignment horizontal="center" vertical="center" wrapText="1"/>
    </xf>
    <xf numFmtId="0" fontId="13" fillId="0" borderId="11" xfId="2" applyBorder="1" applyAlignment="1">
      <alignment horizontal="center"/>
    </xf>
    <xf numFmtId="0" fontId="13" fillId="0" borderId="12" xfId="2" applyBorder="1" applyAlignment="1">
      <alignment horizontal="center"/>
    </xf>
    <xf numFmtId="0" fontId="2" fillId="6" borderId="13" xfId="0" applyFont="1" applyFill="1" applyBorder="1" applyAlignment="1">
      <alignment horizontal="center" wrapText="1"/>
    </xf>
    <xf numFmtId="0" fontId="2" fillId="6" borderId="15" xfId="0" applyFont="1" applyFill="1" applyBorder="1" applyAlignment="1">
      <alignment horizontal="center" wrapText="1"/>
    </xf>
    <xf numFmtId="0" fontId="2" fillId="6" borderId="48" xfId="0" applyFont="1" applyFill="1" applyBorder="1" applyAlignment="1">
      <alignment horizontal="center" wrapText="1"/>
    </xf>
    <xf numFmtId="0" fontId="2" fillId="6" borderId="1" xfId="0" applyFont="1" applyFill="1" applyBorder="1" applyAlignment="1">
      <alignment horizontal="center" wrapText="1"/>
    </xf>
    <xf numFmtId="0" fontId="2" fillId="6" borderId="2" xfId="0" applyFont="1" applyFill="1" applyBorder="1" applyAlignment="1">
      <alignment horizontal="center" wrapText="1"/>
    </xf>
    <xf numFmtId="0" fontId="2" fillId="6" borderId="47" xfId="0" applyFont="1" applyFill="1" applyBorder="1" applyAlignment="1">
      <alignment horizontal="center" wrapText="1"/>
    </xf>
    <xf numFmtId="0" fontId="2" fillId="6" borderId="3" xfId="0" applyFont="1" applyFill="1" applyBorder="1" applyAlignment="1">
      <alignment horizontal="center" wrapText="1"/>
    </xf>
    <xf numFmtId="0" fontId="2" fillId="6" borderId="14" xfId="0" applyFont="1" applyFill="1" applyBorder="1" applyAlignment="1">
      <alignment horizontal="center" wrapText="1"/>
    </xf>
    <xf numFmtId="0" fontId="2" fillId="6" borderId="11" xfId="0" applyFont="1" applyFill="1" applyBorder="1" applyAlignment="1">
      <alignment horizontal="center" wrapText="1"/>
    </xf>
    <xf numFmtId="0" fontId="2" fillId="6" borderId="0" xfId="0" applyFont="1" applyFill="1" applyAlignment="1">
      <alignment horizontal="center" wrapText="1"/>
    </xf>
    <xf numFmtId="0" fontId="2" fillId="6" borderId="52" xfId="0" applyFont="1" applyFill="1" applyBorder="1" applyAlignment="1">
      <alignment horizontal="center" wrapText="1"/>
    </xf>
    <xf numFmtId="0" fontId="2" fillId="6" borderId="49" xfId="0" applyFont="1" applyFill="1" applyBorder="1" applyAlignment="1">
      <alignment horizontal="center" wrapText="1"/>
    </xf>
    <xf numFmtId="0" fontId="2" fillId="6" borderId="50" xfId="0" applyFont="1" applyFill="1" applyBorder="1" applyAlignment="1">
      <alignment horizontal="center" wrapText="1"/>
    </xf>
    <xf numFmtId="0" fontId="2" fillId="6" borderId="51" xfId="0" applyFont="1" applyFill="1" applyBorder="1" applyAlignment="1">
      <alignment horizontal="center" wrapText="1"/>
    </xf>
    <xf numFmtId="0" fontId="8" fillId="0" borderId="4" xfId="0" applyFont="1" applyBorder="1" applyAlignment="1">
      <alignment horizontal="center" vertical="center"/>
    </xf>
    <xf numFmtId="2" fontId="8" fillId="0" borderId="4" xfId="0" applyNumberFormat="1" applyFont="1" applyBorder="1" applyAlignment="1">
      <alignment horizontal="center" vertical="center"/>
    </xf>
    <xf numFmtId="2" fontId="8" fillId="14" borderId="4" xfId="0" applyNumberFormat="1" applyFont="1" applyFill="1" applyBorder="1" applyAlignment="1">
      <alignment horizontal="center" vertical="center"/>
    </xf>
    <xf numFmtId="2" fontId="8" fillId="0" borderId="1" xfId="0" applyNumberFormat="1" applyFont="1" applyBorder="1" applyAlignment="1">
      <alignment horizontal="center" vertical="center"/>
    </xf>
    <xf numFmtId="2" fontId="8" fillId="0" borderId="3" xfId="0" applyNumberFormat="1" applyFont="1" applyBorder="1" applyAlignment="1">
      <alignment horizontal="center" vertical="center"/>
    </xf>
    <xf numFmtId="166" fontId="8" fillId="14" borderId="4" xfId="0" applyNumberFormat="1" applyFont="1" applyFill="1" applyBorder="1" applyAlignment="1">
      <alignment horizontal="center" vertical="center"/>
    </xf>
    <xf numFmtId="0" fontId="2" fillId="6" borderId="54" xfId="0" applyFont="1" applyFill="1" applyBorder="1" applyAlignment="1">
      <alignment horizontal="center" wrapText="1"/>
    </xf>
    <xf numFmtId="0" fontId="2" fillId="6" borderId="55" xfId="0" applyFont="1" applyFill="1" applyBorder="1" applyAlignment="1">
      <alignment horizontal="center" wrapText="1"/>
    </xf>
    <xf numFmtId="0" fontId="90" fillId="26" borderId="0" xfId="2" applyFont="1" applyFill="1" applyAlignment="1">
      <alignment horizontal="left" wrapText="1"/>
    </xf>
    <xf numFmtId="0" fontId="15" fillId="26" borderId="1" xfId="2" applyFont="1" applyFill="1" applyBorder="1" applyAlignment="1">
      <alignment horizontal="center"/>
    </xf>
    <xf numFmtId="0" fontId="15" fillId="26" borderId="2" xfId="2" applyFont="1" applyFill="1" applyBorder="1" applyAlignment="1">
      <alignment horizontal="center"/>
    </xf>
    <xf numFmtId="0" fontId="15" fillId="26"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65" fillId="0" borderId="6" xfId="0" applyFont="1" applyBorder="1" applyAlignment="1">
      <alignment horizontal="left" vertical="center" wrapText="1"/>
    </xf>
    <xf numFmtId="0" fontId="65" fillId="0" borderId="7" xfId="0" applyFont="1" applyBorder="1" applyAlignment="1">
      <alignment horizontal="left" vertical="center" wrapText="1"/>
    </xf>
    <xf numFmtId="0" fontId="65" fillId="0" borderId="8" xfId="0" applyFont="1" applyBorder="1" applyAlignment="1">
      <alignment horizontal="left" vertical="center" wrapText="1"/>
    </xf>
    <xf numFmtId="0" fontId="65" fillId="0" borderId="13" xfId="0" applyFont="1" applyBorder="1" applyAlignment="1">
      <alignment horizontal="left" vertical="center" wrapText="1"/>
    </xf>
    <xf numFmtId="0" fontId="65" fillId="0" borderId="15" xfId="0" applyFont="1" applyBorder="1" applyAlignment="1">
      <alignment horizontal="left" vertical="center" wrapText="1"/>
    </xf>
    <xf numFmtId="0" fontId="65"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105">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ont>
        <b/>
        <i val="0"/>
        <color rgb="FFC00000"/>
      </font>
    </dxf>
    <dxf>
      <fill>
        <patternFill>
          <bgColor theme="0"/>
        </patternFill>
      </fill>
    </dxf>
    <dxf>
      <font>
        <color rgb="FF002060"/>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2060"/>
      </font>
      <fill>
        <patternFill>
          <bgColor theme="8" tint="0.79998168889431442"/>
        </patternFill>
      </fill>
    </dxf>
    <dxf>
      <font>
        <color theme="0"/>
      </font>
    </dxf>
    <dxf>
      <font>
        <color rgb="FF006100"/>
      </font>
      <fill>
        <patternFill>
          <fgColor rgb="FFC6EFCE"/>
          <bgColor rgb="FFC6EFCE"/>
        </patternFill>
      </fill>
    </dxf>
    <dxf>
      <font>
        <b val="0"/>
        <i val="0"/>
        <color auto="1"/>
      </font>
      <fill>
        <patternFill>
          <bgColor rgb="FFFF9797"/>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6EF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rgb="FFA6A6A6"/>
        </patternFill>
      </fill>
    </dxf>
    <dxf>
      <fill>
        <patternFill>
          <bgColor rgb="FFF788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dxf>
    <dxf>
      <font>
        <color theme="0"/>
      </font>
    </dxf>
    <dxf>
      <font>
        <color theme="0"/>
      </font>
    </dxf>
  </dxfs>
  <tableStyles count="0" defaultTableStyle="TableStyleMedium2" defaultPivotStyle="PivotStyleLight16"/>
  <colors>
    <mruColors>
      <color rgb="FFC6EFCE"/>
      <color rgb="FFFFC7CE"/>
      <color rgb="FF00AEEF"/>
      <color rgb="FFA6A6A6"/>
      <color rgb="FFF78879"/>
      <color rgb="FF002060"/>
      <color rgb="FFC3E1F5"/>
      <color rgb="FFFF9797"/>
      <color rgb="FFFFD9D9"/>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06/relationships/rdRichValueStructure" Target="richData/rdrichvaluestructure.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06/relationships/rdRichValueTypes" Target="richData/rdRichValueTyp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46" Type="http://schemas.openxmlformats.org/officeDocument/2006/relationships/customXml" Target="../customXml/item1.xml"/><Relationship Id="rId20" Type="http://schemas.openxmlformats.org/officeDocument/2006/relationships/worksheet" Target="worksheets/sheet20.xml"/><Relationship Id="rId41" Type="http://schemas.microsoft.com/office/2017/06/relationships/rdRichValue" Target="richData/rdrichvalu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Hypothèses!$C$113:$C$119</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Hypothèses!$E$113:$E$119</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Hypothèses!$I$149</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Hypothèses!$H$150:$H$173</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Hypothèses!$I$150:$I$173</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Hypothèses!$D$248:$D$262</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Hypothèses!$E$248:$E$262</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0.83178495081709203</c:v>
                </c:pt>
                <c:pt idx="1">
                  <c:v>0.8321652578193105</c:v>
                </c:pt>
                <c:pt idx="2">
                  <c:v>0.83254546886665315</c:v>
                </c:pt>
                <c:pt idx="3">
                  <c:v>0.8329255840013533</c:v>
                </c:pt>
                <c:pt idx="4">
                  <c:v>0.83330560326593162</c:v>
                </c:pt>
                <c:pt idx="5">
                  <c:v>0.83368552670319507</c:v>
                </c:pt>
                <c:pt idx="6">
                  <c:v>0.8340653543562383</c:v>
                </c:pt>
                <c:pt idx="7">
                  <c:v>0.83444508626844216</c:v>
                </c:pt>
                <c:pt idx="8">
                  <c:v>0.83482472248347483</c:v>
                </c:pt>
                <c:pt idx="9">
                  <c:v>0.83520426304529138</c:v>
                </c:pt>
                <c:pt idx="10">
                  <c:v>0.83558370799813353</c:v>
                </c:pt>
                <c:pt idx="11">
                  <c:v>0.83596305738653021</c:v>
                </c:pt>
                <c:pt idx="12">
                  <c:v>0.83634231125529701</c:v>
                </c:pt>
                <c:pt idx="13">
                  <c:v>0.83672146964953686</c:v>
                </c:pt>
                <c:pt idx="14">
                  <c:v>0.83710053261463901</c:v>
                </c:pt>
                <c:pt idx="15">
                  <c:v>0.83747950019628004</c:v>
                </c:pt>
                <c:pt idx="16">
                  <c:v>0.83785837244042349</c:v>
                </c:pt>
                <c:pt idx="17">
                  <c:v>0.83823714939331939</c:v>
                </c:pt>
                <c:pt idx="18">
                  <c:v>0.83861583110150506</c:v>
                </c:pt>
                <c:pt idx="19">
                  <c:v>0.83899441761180471</c:v>
                </c:pt>
                <c:pt idx="20">
                  <c:v>0.83937290897132921</c:v>
                </c:pt>
                <c:pt idx="21">
                  <c:v>0.83975130522747665</c:v>
                </c:pt>
                <c:pt idx="22">
                  <c:v>0.84012960642793177</c:v>
                </c:pt>
                <c:pt idx="23">
                  <c:v>0.84050781262066654</c:v>
                </c:pt>
                <c:pt idx="24">
                  <c:v>0.84088592385393957</c:v>
                </c:pt>
                <c:pt idx="25">
                  <c:v>0.84126394017629635</c:v>
                </c:pt>
                <c:pt idx="26">
                  <c:v>0.84164186163656951</c:v>
                </c:pt>
                <c:pt idx="27">
                  <c:v>0.84201968828387852</c:v>
                </c:pt>
                <c:pt idx="28">
                  <c:v>0.84239742016762964</c:v>
                </c:pt>
                <c:pt idx="29">
                  <c:v>0.84277505733751623</c:v>
                </c:pt>
                <c:pt idx="30">
                  <c:v>0.84315259984351842</c:v>
                </c:pt>
                <c:pt idx="31">
                  <c:v>0.84353004773590323</c:v>
                </c:pt>
                <c:pt idx="32">
                  <c:v>0.84390740106522488</c:v>
                </c:pt>
                <c:pt idx="33">
                  <c:v>0.84428465988232415</c:v>
                </c:pt>
                <c:pt idx="34">
                  <c:v>0.84466182423832881</c:v>
                </c:pt>
                <c:pt idx="35">
                  <c:v>0.84503889418465361</c:v>
                </c:pt>
                <c:pt idx="36">
                  <c:v>0.84541586977300032</c:v>
                </c:pt>
                <c:pt idx="37">
                  <c:v>0.84579275105535756</c:v>
                </c:pt>
                <c:pt idx="38">
                  <c:v>0.84616953808400075</c:v>
                </c:pt>
                <c:pt idx="39">
                  <c:v>0.84654623091149228</c:v>
                </c:pt>
                <c:pt idx="40">
                  <c:v>0.84692282959068144</c:v>
                </c:pt>
                <c:pt idx="41">
                  <c:v>0.8472993341747046</c:v>
                </c:pt>
                <c:pt idx="42">
                  <c:v>0.8476757447169847</c:v>
                </c:pt>
                <c:pt idx="43">
                  <c:v>0.848052061271232</c:v>
                </c:pt>
                <c:pt idx="44">
                  <c:v>0.84842828389144342</c:v>
                </c:pt>
                <c:pt idx="45">
                  <c:v>0.84880441263190276</c:v>
                </c:pt>
                <c:pt idx="46">
                  <c:v>0.84918044754718092</c:v>
                </c:pt>
                <c:pt idx="47">
                  <c:v>0.84955638869213557</c:v>
                </c:pt>
                <c:pt idx="48">
                  <c:v>0.84993223612191149</c:v>
                </c:pt>
                <c:pt idx="49">
                  <c:v>0.85030798989194001</c:v>
                </c:pt>
                <c:pt idx="50">
                  <c:v>0.85068365005793967</c:v>
                </c:pt>
                <c:pt idx="51">
                  <c:v>0.85105921667591589</c:v>
                </c:pt>
                <c:pt idx="52">
                  <c:v>0.85143468980216097</c:v>
                </c:pt>
                <c:pt idx="53">
                  <c:v>0.851810069493254</c:v>
                </c:pt>
                <c:pt idx="54">
                  <c:v>0.85218535580606125</c:v>
                </c:pt>
                <c:pt idx="55">
                  <c:v>0.85256054879773568</c:v>
                </c:pt>
                <c:pt idx="56">
                  <c:v>0.85293564852571724</c:v>
                </c:pt>
                <c:pt idx="57">
                  <c:v>0.85331065504773274</c:v>
                </c:pt>
                <c:pt idx="58">
                  <c:v>0.85368556842179599</c:v>
                </c:pt>
                <c:pt idx="59">
                  <c:v>0.85406038870620771</c:v>
                </c:pt>
                <c:pt idx="60">
                  <c:v>0.85443511595955557</c:v>
                </c:pt>
                <c:pt idx="61">
                  <c:v>0.85480975024071393</c:v>
                </c:pt>
                <c:pt idx="62">
                  <c:v>0.85518429160884424</c:v>
                </c:pt>
                <c:pt idx="63">
                  <c:v>0.85555874012339495</c:v>
                </c:pt>
                <c:pt idx="64">
                  <c:v>0.85593309584410127</c:v>
                </c:pt>
                <c:pt idx="65">
                  <c:v>0.8563073588309853</c:v>
                </c:pt>
                <c:pt idx="66">
                  <c:v>0.85668152914435636</c:v>
                </c:pt>
                <c:pt idx="67">
                  <c:v>0.85705560684481008</c:v>
                </c:pt>
                <c:pt idx="68">
                  <c:v>0.85742959199322977</c:v>
                </c:pt>
                <c:pt idx="69">
                  <c:v>0.85780348465078493</c:v>
                </c:pt>
                <c:pt idx="70">
                  <c:v>0.85817728487893252</c:v>
                </c:pt>
                <c:pt idx="71">
                  <c:v>0.85855099273941615</c:v>
                </c:pt>
                <c:pt idx="72">
                  <c:v>0.85892460829426631</c:v>
                </c:pt>
                <c:pt idx="73">
                  <c:v>0.85929813160580049</c:v>
                </c:pt>
                <c:pt idx="74">
                  <c:v>0.85967156273662326</c:v>
                </c:pt>
                <c:pt idx="75">
                  <c:v>0.86004490174962578</c:v>
                </c:pt>
                <c:pt idx="76">
                  <c:v>0.86041814870798627</c:v>
                </c:pt>
                <c:pt idx="77">
                  <c:v>0.86079130367516998</c:v>
                </c:pt>
                <c:pt idx="78">
                  <c:v>0.86116436671492891</c:v>
                </c:pt>
                <c:pt idx="79">
                  <c:v>0.86153733789130205</c:v>
                </c:pt>
                <c:pt idx="80">
                  <c:v>0.86191021726861516</c:v>
                </c:pt>
                <c:pt idx="81">
                  <c:v>0.86228300491148124</c:v>
                </c:pt>
                <c:pt idx="82">
                  <c:v>0.86265570088479981</c:v>
                </c:pt>
                <c:pt idx="83">
                  <c:v>0.86302830525375773</c:v>
                </c:pt>
                <c:pt idx="84">
                  <c:v>0.86340081808382829</c:v>
                </c:pt>
                <c:pt idx="85">
                  <c:v>0.86377323944077211</c:v>
                </c:pt>
                <c:pt idx="86">
                  <c:v>0.86414556939063647</c:v>
                </c:pt>
                <c:pt idx="87">
                  <c:v>0.86451780799975575</c:v>
                </c:pt>
                <c:pt idx="88">
                  <c:v>0.8648899553347511</c:v>
                </c:pt>
                <c:pt idx="89">
                  <c:v>0.86526201146253057</c:v>
                </c:pt>
                <c:pt idx="90">
                  <c:v>0.86563397645028917</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 eau'!$E$8</c:f>
              <c:strCache>
                <c:ptCount val="1"/>
                <c:pt idx="0">
                  <c:v>Water Temp (°C)</c:v>
                </c:pt>
              </c:strCache>
            </c:strRef>
          </c:tx>
          <c:spPr>
            <a:ln w="2540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25E5-49D6-B038-C87C391A8F37}"/>
            </c:ext>
          </c:extLst>
        </c:ser>
        <c:ser>
          <c:idx val="1"/>
          <c:order val="1"/>
          <c:tx>
            <c:v>Moyenne</c:v>
          </c:tx>
          <c:spPr>
            <a:ln w="25400" cap="rnd">
              <a:no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 eau'!$Q$9:$Q$20</c:f>
              <c:numCache>
                <c:formatCode>m/d/yyyy</c:formatCode>
                <c:ptCount val="12"/>
                <c:pt idx="0">
                  <c:v>44941</c:v>
                </c:pt>
                <c:pt idx="1">
                  <c:v>44972</c:v>
                </c:pt>
                <c:pt idx="2">
                  <c:v>45000</c:v>
                </c:pt>
                <c:pt idx="3">
                  <c:v>45031</c:v>
                </c:pt>
                <c:pt idx="4">
                  <c:v>45061</c:v>
                </c:pt>
                <c:pt idx="5">
                  <c:v>45092</c:v>
                </c:pt>
                <c:pt idx="6">
                  <c:v>45122</c:v>
                </c:pt>
                <c:pt idx="7">
                  <c:v>45153</c:v>
                </c:pt>
                <c:pt idx="8">
                  <c:v>45184</c:v>
                </c:pt>
                <c:pt idx="9">
                  <c:v>45214</c:v>
                </c:pt>
                <c:pt idx="10">
                  <c:v>45245</c:v>
                </c:pt>
                <c:pt idx="11">
                  <c:v>45275</c:v>
                </c:pt>
              </c:numCache>
            </c:numRef>
          </c:xVal>
          <c:yVal>
            <c:numRef>
              <c:f>'T° eau'!$P$9:$P$20</c:f>
              <c:numCache>
                <c:formatCode>0.0</c:formatCode>
                <c:ptCount val="12"/>
                <c:pt idx="0">
                  <c:v>4.8354241338112312</c:v>
                </c:pt>
                <c:pt idx="1">
                  <c:v>4.0925649942043343</c:v>
                </c:pt>
                <c:pt idx="2">
                  <c:v>4.1695788530465903</c:v>
                </c:pt>
                <c:pt idx="3">
                  <c:v>7.3585920479302782</c:v>
                </c:pt>
                <c:pt idx="4">
                  <c:v>10.853276353276362</c:v>
                </c:pt>
                <c:pt idx="5">
                  <c:v>15.13395061728396</c:v>
                </c:pt>
                <c:pt idx="6">
                  <c:v>17.649394347240921</c:v>
                </c:pt>
                <c:pt idx="7">
                  <c:v>16.91450119474311</c:v>
                </c:pt>
                <c:pt idx="8">
                  <c:v>17.841435185185166</c:v>
                </c:pt>
                <c:pt idx="9">
                  <c:v>14.65322580645161</c:v>
                </c:pt>
                <c:pt idx="10">
                  <c:v>10.16211419753088</c:v>
                </c:pt>
                <c:pt idx="11">
                  <c:v>7.0049283154121769</c:v>
                </c:pt>
              </c:numCache>
            </c:numRef>
          </c:yVal>
          <c:smooth val="0"/>
          <c:extLst>
            <c:ext xmlns:c16="http://schemas.microsoft.com/office/drawing/2014/chart" uri="{C3380CC4-5D6E-409C-BE32-E72D297353CC}">
              <c16:uniqueId val="{00000000-AD44-4FEF-A6F5-E20208AAE8C2}"/>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33" lockText="1" noThreeD="1"/>
</file>

<file path=xl/ctrlProps/ctrlProp257.xml><?xml version="1.0" encoding="utf-8"?>
<formControlPr xmlns="http://schemas.microsoft.com/office/spreadsheetml/2009/9/main" objectType="CheckBox" fmlaLink="$C$33" lockText="1" noThreeD="1"/>
</file>

<file path=xl/ctrlProps/ctrlProp258.xml><?xml version="1.0" encoding="utf-8"?>
<formControlPr xmlns="http://schemas.microsoft.com/office/spreadsheetml/2009/9/main" objectType="CheckBox" checked="Checked" fmlaLink="$C$4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chart" Target="../charts/chart5.xml"/><Relationship Id="rId4" Type="http://schemas.openxmlformats.org/officeDocument/2006/relationships/image" Target="../media/image18.svg"/></Relationships>
</file>

<file path=xl/drawings/_rels/drawing26.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5" Type="http://schemas.openxmlformats.org/officeDocument/2006/relationships/image" Target="../media/image23.emf"/><Relationship Id="rId4"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eur ME&#201; 2-3-4'!A1"/><Relationship Id="rId2" Type="http://schemas.openxmlformats.org/officeDocument/2006/relationships/hyperlink" Target="#'3b. Calculateur - ME&#201; 1'!A1"/><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sv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png"/><Relationship Id="rId5" Type="http://schemas.openxmlformats.org/officeDocument/2006/relationships/chart" Target="../charts/chart3.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467225" y="4048125"/>
              <a:ext cx="22637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104775</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70</xdr:row>
          <xdr:rowOff>76200</xdr:rowOff>
        </xdr:from>
        <xdr:to>
          <xdr:col>10</xdr:col>
          <xdr:colOff>66675</xdr:colOff>
          <xdr:row>71</xdr:row>
          <xdr:rowOff>142875</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104775</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123825</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84</xdr:row>
          <xdr:rowOff>0</xdr:rowOff>
        </xdr:from>
        <xdr:to>
          <xdr:col>10</xdr:col>
          <xdr:colOff>66675</xdr:colOff>
          <xdr:row>85</xdr:row>
          <xdr:rowOff>104775</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142875</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79</xdr:row>
          <xdr:rowOff>0</xdr:rowOff>
        </xdr:from>
        <xdr:to>
          <xdr:col>10</xdr:col>
          <xdr:colOff>66675</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467225" y="4048125"/>
              <a:ext cx="2454275" cy="2857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923925</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85</xdr:row>
          <xdr:rowOff>0</xdr:rowOff>
        </xdr:from>
        <xdr:to>
          <xdr:col>10</xdr:col>
          <xdr:colOff>66675</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864870</xdr:colOff>
      <xdr:row>0</xdr:row>
      <xdr:rowOff>0</xdr:rowOff>
    </xdr:from>
    <xdr:to>
      <xdr:col>16</xdr:col>
      <xdr:colOff>56513</xdr:colOff>
      <xdr:row>3</xdr:row>
      <xdr:rowOff>3490</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0095" y="0"/>
          <a:ext cx="2106293" cy="736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1952625</xdr:colOff>
          <xdr:row>45</xdr:row>
          <xdr:rowOff>76200</xdr:rowOff>
        </xdr:from>
        <xdr:to>
          <xdr:col>16</xdr:col>
          <xdr:colOff>219075</xdr:colOff>
          <xdr:row>47</xdr:row>
          <xdr:rowOff>9525</xdr:rowOff>
        </xdr:to>
        <xdr:sp macro="" textlink="">
          <xdr:nvSpPr>
            <xdr:cNvPr id="235776" name="Check Box 256" hidden="1">
              <a:extLst>
                <a:ext uri="{63B3BB69-23CF-44E3-9099-C40C66FF867C}">
                  <a14:compatExt spid="_x0000_s235776"/>
                </a:ext>
                <a:ext uri="{FF2B5EF4-FFF2-40B4-BE49-F238E27FC236}">
                  <a16:creationId xmlns:a16="http://schemas.microsoft.com/office/drawing/2014/main" id="{00000000-0008-0000-0100-0000009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038600" y="1575289"/>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057650"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3943350" y="1527664"/>
          <a:ext cx="3091226" cy="114519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8</xdr:col>
      <xdr:colOff>157163</xdr:colOff>
      <xdr:row>181</xdr:row>
      <xdr:rowOff>16669</xdr:rowOff>
    </xdr:from>
    <xdr:to>
      <xdr:col>13</xdr:col>
      <xdr:colOff>226219</xdr:colOff>
      <xdr:row>210</xdr:row>
      <xdr:rowOff>95250</xdr:rowOff>
    </xdr:to>
    <xdr:grpSp>
      <xdr:nvGrpSpPr>
        <xdr:cNvPr id="5" name="Groupe 4">
          <a:extLst>
            <a:ext uri="{FF2B5EF4-FFF2-40B4-BE49-F238E27FC236}">
              <a16:creationId xmlns:a16="http://schemas.microsoft.com/office/drawing/2014/main" id="{00000000-0008-0000-1700-000005000000}"/>
            </a:ext>
          </a:extLst>
        </xdr:cNvPr>
        <xdr:cNvGrpSpPr/>
      </xdr:nvGrpSpPr>
      <xdr:grpSpPr>
        <a:xfrm>
          <a:off x="13254038" y="37402294"/>
          <a:ext cx="4622006" cy="5603081"/>
          <a:chOff x="13039725" y="46910625"/>
          <a:chExt cx="5514286" cy="5124105"/>
        </a:xfrm>
      </xdr:grpSpPr>
      <xdr:pic>
        <xdr:nvPicPr>
          <xdr:cNvPr id="3" name="Imag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3039725" y="46910625"/>
            <a:ext cx="5514286" cy="2495238"/>
          </a:xfrm>
          <a:prstGeom prst="rect">
            <a:avLst/>
          </a:prstGeom>
        </xdr:spPr>
      </xdr:pic>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3468350" y="49272825"/>
            <a:ext cx="4885714" cy="2761905"/>
          </a:xfrm>
          <a:prstGeom prst="rect">
            <a:avLst/>
          </a:prstGeom>
        </xdr:spPr>
      </xdr:pic>
    </xdr:grpSp>
    <xdr:clientData/>
  </xdr:twoCellAnchor>
  <xdr:twoCellAnchor>
    <xdr:from>
      <xdr:col>12</xdr:col>
      <xdr:colOff>447675</xdr:colOff>
      <xdr:row>183</xdr:row>
      <xdr:rowOff>28575</xdr:rowOff>
    </xdr:from>
    <xdr:to>
      <xdr:col>12</xdr:col>
      <xdr:colOff>628650</xdr:colOff>
      <xdr:row>185</xdr:row>
      <xdr:rowOff>152400</xdr:rowOff>
    </xdr:to>
    <xdr:sp macro="" textlink="">
      <xdr:nvSpPr>
        <xdr:cNvPr id="2" name="Accolade fermante 1">
          <a:extLst>
            <a:ext uri="{FF2B5EF4-FFF2-40B4-BE49-F238E27FC236}">
              <a16:creationId xmlns:a16="http://schemas.microsoft.com/office/drawing/2014/main" id="{00000000-0008-0000-1700-000002000000}"/>
            </a:ext>
          </a:extLst>
        </xdr:cNvPr>
        <xdr:cNvSpPr/>
      </xdr:nvSpPr>
      <xdr:spPr>
        <a:xfrm>
          <a:off x="17335500" y="3703320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12</xdr:col>
      <xdr:colOff>742949</xdr:colOff>
      <xdr:row>183</xdr:row>
      <xdr:rowOff>57150</xdr:rowOff>
    </xdr:from>
    <xdr:to>
      <xdr:col>16</xdr:col>
      <xdr:colOff>200024</xdr:colOff>
      <xdr:row>185</xdr:row>
      <xdr:rowOff>133350</xdr:rowOff>
    </xdr:to>
    <xdr:sp macro="" textlink="">
      <xdr:nvSpPr>
        <xdr:cNvPr id="6" name="ZoneTexte 5">
          <a:extLst>
            <a:ext uri="{FF2B5EF4-FFF2-40B4-BE49-F238E27FC236}">
              <a16:creationId xmlns:a16="http://schemas.microsoft.com/office/drawing/2014/main" id="{00000000-0008-0000-1700-000006000000}"/>
            </a:ext>
          </a:extLst>
        </xdr:cNvPr>
        <xdr:cNvSpPr txBox="1"/>
      </xdr:nvSpPr>
      <xdr:spPr>
        <a:xfrm>
          <a:off x="17630774" y="3706177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latente (sans condensantion)</a:t>
          </a:r>
          <a:endParaRPr lang="fr-CA" sz="1100"/>
        </a:p>
      </xdr:txBody>
    </xdr:sp>
    <xdr:clientData/>
  </xdr:twoCellAnchor>
  <xdr:twoCellAnchor>
    <xdr:from>
      <xdr:col>12</xdr:col>
      <xdr:colOff>723900</xdr:colOff>
      <xdr:row>186</xdr:row>
      <xdr:rowOff>47625</xdr:rowOff>
    </xdr:from>
    <xdr:to>
      <xdr:col>13</xdr:col>
      <xdr:colOff>142875</xdr:colOff>
      <xdr:row>188</xdr:row>
      <xdr:rowOff>171450</xdr:rowOff>
    </xdr:to>
    <xdr:sp macro="" textlink="">
      <xdr:nvSpPr>
        <xdr:cNvPr id="7" name="Accolade fermante 6">
          <a:extLst>
            <a:ext uri="{FF2B5EF4-FFF2-40B4-BE49-F238E27FC236}">
              <a16:creationId xmlns:a16="http://schemas.microsoft.com/office/drawing/2014/main" id="{00000000-0008-0000-1700-000007000000}"/>
            </a:ext>
          </a:extLst>
        </xdr:cNvPr>
        <xdr:cNvSpPr/>
      </xdr:nvSpPr>
      <xdr:spPr>
        <a:xfrm>
          <a:off x="17611725" y="37623750"/>
          <a:ext cx="180975" cy="504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twoCellAnchor>
    <xdr:from>
      <xdr:col>13</xdr:col>
      <xdr:colOff>257174</xdr:colOff>
      <xdr:row>186</xdr:row>
      <xdr:rowOff>76200</xdr:rowOff>
    </xdr:from>
    <xdr:to>
      <xdr:col>16</xdr:col>
      <xdr:colOff>476249</xdr:colOff>
      <xdr:row>188</xdr:row>
      <xdr:rowOff>152400</xdr:rowOff>
    </xdr:to>
    <xdr:sp macro="" textlink="">
      <xdr:nvSpPr>
        <xdr:cNvPr id="8" name="ZoneTexte 7">
          <a:extLst>
            <a:ext uri="{FF2B5EF4-FFF2-40B4-BE49-F238E27FC236}">
              <a16:creationId xmlns:a16="http://schemas.microsoft.com/office/drawing/2014/main" id="{00000000-0008-0000-1700-000008000000}"/>
            </a:ext>
          </a:extLst>
        </xdr:cNvPr>
        <xdr:cNvSpPr txBox="1"/>
      </xdr:nvSpPr>
      <xdr:spPr>
        <a:xfrm>
          <a:off x="17906999" y="37652325"/>
          <a:ext cx="25050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Calcul</a:t>
          </a:r>
          <a:r>
            <a:rPr lang="fr-CA" sz="1100" baseline="0"/>
            <a:t> de l'énergie libéré par chaleur sensible (condensantion)</a:t>
          </a:r>
          <a:endParaRPr lang="fr-CA"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287018</xdr:colOff>
      <xdr:row>3</xdr:row>
      <xdr:rowOff>53655</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8</xdr:col>
      <xdr:colOff>369094</xdr:colOff>
      <xdr:row>177</xdr:row>
      <xdr:rowOff>23812</xdr:rowOff>
    </xdr:from>
    <xdr:ext cx="4722018" cy="2225284"/>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3494544" y="38523862"/>
          <a:ext cx="4722018" cy="2225284"/>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7" name="Groupe 6">
          <a:extLst>
            <a:ext uri="{FF2B5EF4-FFF2-40B4-BE49-F238E27FC236}">
              <a16:creationId xmlns:a16="http://schemas.microsoft.com/office/drawing/2014/main" id="{00000000-0008-0000-2100-000007000000}"/>
            </a:ext>
          </a:extLst>
        </xdr:cNvPr>
        <xdr:cNvGrpSpPr/>
      </xdr:nvGrpSpPr>
      <xdr:grpSpPr>
        <a:xfrm>
          <a:off x="5048250" y="5648325"/>
          <a:ext cx="6813459" cy="5152152"/>
          <a:chOff x="6343650" y="6172200"/>
          <a:chExt cx="6803934" cy="5152152"/>
        </a:xfrm>
      </xdr:grpSpPr>
      <xdr:pic>
        <xdr:nvPicPr>
          <xdr:cNvPr id="3" name="Imag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143949</xdr:colOff>
      <xdr:row>4</xdr:row>
      <xdr:rowOff>2271</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77046" y="102054"/>
          <a:ext cx="2194546" cy="77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18</xdr:row>
      <xdr:rowOff>48685</xdr:rowOff>
    </xdr:from>
    <xdr:to>
      <xdr:col>4</xdr:col>
      <xdr:colOff>1874115</xdr:colOff>
      <xdr:row>20</xdr:row>
      <xdr:rowOff>968</xdr:rowOff>
    </xdr:to>
    <xdr:sp macro="" textlink="">
      <xdr:nvSpPr>
        <xdr:cNvPr id="9" name="Rectangle : coins arrondis 8">
          <a:hlinkClick xmlns:r="http://schemas.openxmlformats.org/officeDocument/2006/relationships" r:id="rId2"/>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SpPr/>
      </xdr:nvSpPr>
      <xdr:spPr>
        <a:xfrm>
          <a:off x="2592915" y="46683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Calculateur - MEÉ 1 </a:t>
          </a:r>
          <a:endParaRPr lang="fr-CA" sz="1100">
            <a:solidFill>
              <a:schemeClr val="tx1"/>
            </a:solidFill>
          </a:endParaRPr>
        </a:p>
      </xdr:txBody>
    </xdr:sp>
    <xdr:clientData/>
  </xdr:twoCellAnchor>
  <xdr:twoCellAnchor>
    <xdr:from>
      <xdr:col>4</xdr:col>
      <xdr:colOff>2115</xdr:colOff>
      <xdr:row>20</xdr:row>
      <xdr:rowOff>48684</xdr:rowOff>
    </xdr:from>
    <xdr:to>
      <xdr:col>4</xdr:col>
      <xdr:colOff>1874115</xdr:colOff>
      <xdr:row>22</xdr:row>
      <xdr:rowOff>1</xdr:rowOff>
    </xdr:to>
    <xdr:sp macro="" textlink="">
      <xdr:nvSpPr>
        <xdr:cNvPr id="10" name="Rectangle : coins arrondis 9">
          <a:hlinkClick xmlns:r="http://schemas.openxmlformats.org/officeDocument/2006/relationships" r:id="rId3"/>
          <a:extLst>
            <a:ext uri="{FF2B5EF4-FFF2-40B4-BE49-F238E27FC236}">
              <a16:creationId xmlns:a16="http://schemas.microsoft.com/office/drawing/2014/main" id="{00000000-0008-0000-0300-00000A000000}"/>
            </a:ext>
            <a:ext uri="{C183D7F6-B498-43B3-948B-1728B52AA6E4}">
              <adec:decorative xmlns:adec="http://schemas.microsoft.com/office/drawing/2017/decorative" val="1"/>
            </a:ext>
          </a:extLst>
        </xdr:cNvPr>
        <xdr:cNvSpPr/>
      </xdr:nvSpPr>
      <xdr:spPr>
        <a:xfrm>
          <a:off x="2592915" y="49826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Calculateur - MEÉ 2-3-4 </a:t>
          </a:r>
          <a:endParaRPr lang="fr-CA" sz="1100">
            <a:solidFill>
              <a:schemeClr val="tx1"/>
            </a:solidFill>
          </a:endParaRPr>
        </a:p>
      </xdr:txBody>
    </xdr:sp>
    <xdr:clientData/>
  </xdr:twoCellAnchor>
  <xdr:twoCellAnchor>
    <xdr:from>
      <xdr:col>4</xdr:col>
      <xdr:colOff>2115</xdr:colOff>
      <xdr:row>22</xdr:row>
      <xdr:rowOff>38101</xdr:rowOff>
    </xdr:from>
    <xdr:to>
      <xdr:col>4</xdr:col>
      <xdr:colOff>1874115</xdr:colOff>
      <xdr:row>23</xdr:row>
      <xdr:rowOff>243417</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SpPr/>
      </xdr:nvSpPr>
      <xdr:spPr>
        <a:xfrm>
          <a:off x="2592915" y="52863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fr-CA" sz="1100" baseline="0">
              <a:solidFill>
                <a:sysClr val="windowText" lastClr="000000"/>
              </a:solidFill>
              <a:effectLst/>
              <a:latin typeface="+mn-lt"/>
              <a:ea typeface="+mn-ea"/>
              <a:cs typeface="+mn-cs"/>
            </a:rPr>
            <a:t>3c. Calculateur - MEÉ 2-3-4 </a:t>
          </a:r>
          <a:endParaRPr lang="fr-CA">
            <a:solidFill>
              <a:sysClr val="windowText" lastClr="000000"/>
            </a:solidFill>
            <a:effectLst/>
          </a:endParaRPr>
        </a:p>
      </xdr:txBody>
    </xdr:sp>
    <xdr:clientData/>
  </xdr:twoCellAnchor>
  <xdr:twoCellAnchor>
    <xdr:from>
      <xdr:col>3</xdr:col>
      <xdr:colOff>1777999</xdr:colOff>
      <xdr:row>24</xdr:row>
      <xdr:rowOff>47625</xdr:rowOff>
    </xdr:from>
    <xdr:to>
      <xdr:col>4</xdr:col>
      <xdr:colOff>1868824</xdr:colOff>
      <xdr:row>26</xdr:row>
      <xdr:rowOff>13758</xdr:rowOff>
    </xdr:to>
    <xdr:sp macro="" textlink="">
      <xdr:nvSpPr>
        <xdr:cNvPr id="35" name="Rectangle : coins arrondis 34">
          <a:hlinkClick xmlns:r="http://schemas.openxmlformats.org/officeDocument/2006/relationships" r:id="rId3"/>
          <a:extLst>
            <a:ext uri="{FF2B5EF4-FFF2-40B4-BE49-F238E27FC236}">
              <a16:creationId xmlns:a16="http://schemas.microsoft.com/office/drawing/2014/main" id="{00000000-0008-0000-0300-000023000000}"/>
            </a:ext>
            <a:ext uri="{C183D7F6-B498-43B3-948B-1728B52AA6E4}">
              <adec:decorative xmlns:adec="http://schemas.microsoft.com/office/drawing/2017/decorative" val="1"/>
            </a:ext>
          </a:extLst>
        </xdr:cNvPr>
        <xdr:cNvSpPr/>
      </xdr:nvSpPr>
      <xdr:spPr>
        <a:xfrm>
          <a:off x="2587624" y="5610225"/>
          <a:ext cx="1872000" cy="2614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fr-CA" sz="1100" baseline="0">
              <a:solidFill>
                <a:sysClr val="windowText" lastClr="000000"/>
              </a:solidFill>
              <a:effectLst/>
              <a:latin typeface="+mn-lt"/>
              <a:ea typeface="+mn-ea"/>
              <a:cs typeface="+mn-cs"/>
            </a:rPr>
            <a:t>3c. Calculateur - MEÉ 2-3-4 </a:t>
          </a:r>
          <a:endParaRPr lang="fr-CA">
            <a:solidFill>
              <a:sysClr val="windowText" lastClr="000000"/>
            </a:solidFill>
            <a:effectLst/>
          </a:endParaRPr>
        </a:p>
      </xdr:txBody>
    </xdr:sp>
    <xdr:clientData/>
  </xdr:twoCellAnchor>
  <xdr:twoCellAnchor>
    <xdr:from>
      <xdr:col>1</xdr:col>
      <xdr:colOff>33621</xdr:colOff>
      <xdr:row>14</xdr:row>
      <xdr:rowOff>179296</xdr:rowOff>
    </xdr:from>
    <xdr:to>
      <xdr:col>1</xdr:col>
      <xdr:colOff>274338</xdr:colOff>
      <xdr:row>16</xdr:row>
      <xdr:rowOff>22461</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4974" y="2756649"/>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33</xdr:row>
      <xdr:rowOff>73961</xdr:rowOff>
    </xdr:from>
    <xdr:to>
      <xdr:col>1</xdr:col>
      <xdr:colOff>281061</xdr:colOff>
      <xdr:row>34</xdr:row>
      <xdr:rowOff>107626</xdr:rowOff>
    </xdr:to>
    <xdr:sp macro="" textlink="">
      <xdr:nvSpPr>
        <xdr:cNvPr id="11" name="Ellipse 10">
          <a:extLst>
            <a:ext uri="{FF2B5EF4-FFF2-40B4-BE49-F238E27FC236}">
              <a16:creationId xmlns:a16="http://schemas.microsoft.com/office/drawing/2014/main" id="{00000000-0008-0000-0300-00000B000000}"/>
            </a:ext>
          </a:extLst>
        </xdr:cNvPr>
        <xdr:cNvSpPr>
          <a:spLocks noChangeAspect="1"/>
        </xdr:cNvSpPr>
      </xdr:nvSpPr>
      <xdr:spPr>
        <a:xfrm>
          <a:off x="331697" y="5811373"/>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43</xdr:row>
      <xdr:rowOff>56030</xdr:rowOff>
    </xdr:from>
    <xdr:to>
      <xdr:col>9</xdr:col>
      <xdr:colOff>414618</xdr:colOff>
      <xdr:row>76</xdr:row>
      <xdr:rowOff>44824</xdr:rowOff>
    </xdr:to>
    <xdr:grpSp>
      <xdr:nvGrpSpPr>
        <xdr:cNvPr id="24" name="Groupe 23">
          <a:extLst>
            <a:ext uri="{FF2B5EF4-FFF2-40B4-BE49-F238E27FC236}">
              <a16:creationId xmlns:a16="http://schemas.microsoft.com/office/drawing/2014/main" id="{00000000-0008-0000-0300-000018000000}"/>
            </a:ext>
          </a:extLst>
        </xdr:cNvPr>
        <xdr:cNvGrpSpPr/>
      </xdr:nvGrpSpPr>
      <xdr:grpSpPr>
        <a:xfrm>
          <a:off x="464967" y="8580905"/>
          <a:ext cx="12217851" cy="6332444"/>
          <a:chOff x="468605" y="8550089"/>
          <a:chExt cx="14311955" cy="7519147"/>
        </a:xfrm>
      </xdr:grpSpPr>
      <xdr:grpSp>
        <xdr:nvGrpSpPr>
          <xdr:cNvPr id="22" name="Groupe 21">
            <a:extLst>
              <a:ext uri="{FF2B5EF4-FFF2-40B4-BE49-F238E27FC236}">
                <a16:creationId xmlns:a16="http://schemas.microsoft.com/office/drawing/2014/main" id="{00000000-0008-0000-0300-000016000000}"/>
              </a:ext>
            </a:extLst>
          </xdr:cNvPr>
          <xdr:cNvGrpSpPr/>
        </xdr:nvGrpSpPr>
        <xdr:grpSpPr>
          <a:xfrm>
            <a:off x="468605" y="8550089"/>
            <a:ext cx="14311955" cy="7519147"/>
            <a:chOff x="300516" y="8090647"/>
            <a:chExt cx="14311955" cy="7519147"/>
          </a:xfrm>
        </xdr:grpSpPr>
        <xdr:grpSp>
          <xdr:nvGrpSpPr>
            <xdr:cNvPr id="20" name="Groupe 19">
              <a:extLst>
                <a:ext uri="{FF2B5EF4-FFF2-40B4-BE49-F238E27FC236}">
                  <a16:creationId xmlns:a16="http://schemas.microsoft.com/office/drawing/2014/main" id="{00000000-0008-0000-0300-000014000000}"/>
                </a:ext>
              </a:extLst>
            </xdr:cNvPr>
            <xdr:cNvGrpSpPr/>
          </xdr:nvGrpSpPr>
          <xdr:grpSpPr>
            <a:xfrm>
              <a:off x="300516" y="8157884"/>
              <a:ext cx="13942161" cy="7295028"/>
              <a:chOff x="300516" y="8157884"/>
              <a:chExt cx="13942161" cy="7295028"/>
            </a:xfrm>
          </xdr:grpSpPr>
          <xdr:grpSp>
            <xdr:nvGrpSpPr>
              <xdr:cNvPr id="18" name="Groupe 17">
                <a:extLst>
                  <a:ext uri="{FF2B5EF4-FFF2-40B4-BE49-F238E27FC236}">
                    <a16:creationId xmlns:a16="http://schemas.microsoft.com/office/drawing/2014/main" id="{00000000-0008-0000-0300-000012000000}"/>
                  </a:ext>
                </a:extLst>
              </xdr:cNvPr>
              <xdr:cNvGrpSpPr/>
            </xdr:nvGrpSpPr>
            <xdr:grpSpPr>
              <a:xfrm>
                <a:off x="300516" y="8157884"/>
                <a:ext cx="13942161" cy="7295028"/>
                <a:chOff x="535839" y="8841442"/>
                <a:chExt cx="13942161" cy="7295028"/>
              </a:xfrm>
            </xdr:grpSpPr>
            <xdr:sp macro="" textlink="">
              <xdr:nvSpPr>
                <xdr:cNvPr id="12" name="Line 13">
                  <a:extLst>
                    <a:ext uri="{FF2B5EF4-FFF2-40B4-BE49-F238E27FC236}">
                      <a16:creationId xmlns:a16="http://schemas.microsoft.com/office/drawing/2014/main" id="{00000000-0008-0000-0300-00000C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8"/>
                  <a:chOff x="535839" y="8841442"/>
                  <a:chExt cx="13942161" cy="7295028"/>
                </a:xfrm>
              </xdr:grpSpPr>
              <xdr:grpSp>
                <xdr:nvGrpSpPr>
                  <xdr:cNvPr id="181372" name="Groupe 181371">
                    <a:extLst>
                      <a:ext uri="{FF2B5EF4-FFF2-40B4-BE49-F238E27FC236}">
                        <a16:creationId xmlns:a16="http://schemas.microsoft.com/office/drawing/2014/main" id="{00000000-0008-0000-0300-00007CC40200}"/>
                      </a:ext>
                    </a:extLst>
                  </xdr:cNvPr>
                  <xdr:cNvGrpSpPr/>
                </xdr:nvGrpSpPr>
                <xdr:grpSpPr>
                  <a:xfrm>
                    <a:off x="535839" y="9177618"/>
                    <a:ext cx="13942161" cy="6958852"/>
                    <a:chOff x="222659" y="-148084"/>
                    <a:chExt cx="11865713" cy="5382334"/>
                  </a:xfrm>
                </xdr:grpSpPr>
                <xdr:sp macro="" textlink="">
                  <xdr:nvSpPr>
                    <xdr:cNvPr id="181373" name="Line 44">
                      <a:extLst>
                        <a:ext uri="{FF2B5EF4-FFF2-40B4-BE49-F238E27FC236}">
                          <a16:creationId xmlns:a16="http://schemas.microsoft.com/office/drawing/2014/main" id="{00000000-0008-0000-0300-00007DC402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74" name="Groupe 181373">
                      <a:extLst>
                        <a:ext uri="{FF2B5EF4-FFF2-40B4-BE49-F238E27FC236}">
                          <a16:creationId xmlns:a16="http://schemas.microsoft.com/office/drawing/2014/main" id="{00000000-0008-0000-0300-00007EC40200}"/>
                        </a:ext>
                      </a:extLst>
                    </xdr:cNvPr>
                    <xdr:cNvGrpSpPr/>
                  </xdr:nvGrpSpPr>
                  <xdr:grpSpPr>
                    <a:xfrm>
                      <a:off x="222659" y="-148084"/>
                      <a:ext cx="11865713" cy="5382334"/>
                      <a:chOff x="222659" y="-148084"/>
                      <a:chExt cx="11865713" cy="5382334"/>
                    </a:xfrm>
                  </xdr:grpSpPr>
                  <xdr:grpSp>
                    <xdr:nvGrpSpPr>
                      <xdr:cNvPr id="181375" name="Groupe 181374">
                        <a:extLst>
                          <a:ext uri="{FF2B5EF4-FFF2-40B4-BE49-F238E27FC236}">
                            <a16:creationId xmlns:a16="http://schemas.microsoft.com/office/drawing/2014/main" id="{00000000-0008-0000-0300-00007FC40200}"/>
                          </a:ext>
                        </a:extLst>
                      </xdr:cNvPr>
                      <xdr:cNvGrpSpPr/>
                    </xdr:nvGrpSpPr>
                    <xdr:grpSpPr>
                      <a:xfrm>
                        <a:off x="222659" y="-148084"/>
                        <a:ext cx="11865713" cy="5382331"/>
                        <a:chOff x="222659" y="-148084"/>
                        <a:chExt cx="11865713" cy="5382331"/>
                      </a:xfrm>
                    </xdr:grpSpPr>
                    <xdr:grpSp>
                      <xdr:nvGrpSpPr>
                        <xdr:cNvPr id="181377" name="Groupe 181376">
                          <a:extLst>
                            <a:ext uri="{FF2B5EF4-FFF2-40B4-BE49-F238E27FC236}">
                              <a16:creationId xmlns:a16="http://schemas.microsoft.com/office/drawing/2014/main" id="{00000000-0008-0000-0300-000081C40200}"/>
                            </a:ext>
                          </a:extLst>
                        </xdr:cNvPr>
                        <xdr:cNvGrpSpPr/>
                      </xdr:nvGrpSpPr>
                      <xdr:grpSpPr>
                        <a:xfrm>
                          <a:off x="222659" y="442739"/>
                          <a:ext cx="8221381" cy="4640366"/>
                          <a:chOff x="66217" y="257175"/>
                          <a:chExt cx="12210937" cy="6354582"/>
                        </a:xfrm>
                      </xdr:grpSpPr>
                      <xdr:sp macro="" textlink="">
                        <xdr:nvSpPr>
                          <xdr:cNvPr id="181444" name="Text Box 60">
                            <a:extLst>
                              <a:ext uri="{FF2B5EF4-FFF2-40B4-BE49-F238E27FC236}">
                                <a16:creationId xmlns:a16="http://schemas.microsoft.com/office/drawing/2014/main" id="{00000000-0008-0000-0300-0000C4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445" name="Groupe 181444">
                            <a:extLst>
                              <a:ext uri="{FF2B5EF4-FFF2-40B4-BE49-F238E27FC236}">
                                <a16:creationId xmlns:a16="http://schemas.microsoft.com/office/drawing/2014/main" id="{00000000-0008-0000-0300-0000C5C40200}"/>
                              </a:ext>
                            </a:extLst>
                          </xdr:cNvPr>
                          <xdr:cNvGrpSpPr/>
                        </xdr:nvGrpSpPr>
                        <xdr:grpSpPr>
                          <a:xfrm>
                            <a:off x="66217" y="257175"/>
                            <a:ext cx="12210937" cy="6354582"/>
                            <a:chOff x="66217" y="257175"/>
                            <a:chExt cx="12210937" cy="6354582"/>
                          </a:xfrm>
                        </xdr:grpSpPr>
                        <xdr:sp macro="" textlink="">
                          <xdr:nvSpPr>
                            <xdr:cNvPr id="181446" name="ZoneTexte 92">
                              <a:extLst>
                                <a:ext uri="{FF2B5EF4-FFF2-40B4-BE49-F238E27FC236}">
                                  <a16:creationId xmlns:a16="http://schemas.microsoft.com/office/drawing/2014/main" id="{00000000-0008-0000-0300-0000C6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181447" name="Groupe 181446">
                              <a:extLst>
                                <a:ext uri="{FF2B5EF4-FFF2-40B4-BE49-F238E27FC236}">
                                  <a16:creationId xmlns:a16="http://schemas.microsoft.com/office/drawing/2014/main" id="{00000000-0008-0000-0300-0000C7C40200}"/>
                                </a:ext>
                              </a:extLst>
                            </xdr:cNvPr>
                            <xdr:cNvGrpSpPr/>
                          </xdr:nvGrpSpPr>
                          <xdr:grpSpPr>
                            <a:xfrm>
                              <a:off x="1181096" y="257175"/>
                              <a:ext cx="11096058" cy="6354582"/>
                              <a:chOff x="1181096" y="257175"/>
                              <a:chExt cx="11096058" cy="6354582"/>
                            </a:xfrm>
                          </xdr:grpSpPr>
                          <xdr:sp macro="" textlink="">
                            <xdr:nvSpPr>
                              <xdr:cNvPr id="181448" name="ZoneTexte 62">
                                <a:extLst>
                                  <a:ext uri="{FF2B5EF4-FFF2-40B4-BE49-F238E27FC236}">
                                    <a16:creationId xmlns:a16="http://schemas.microsoft.com/office/drawing/2014/main" id="{00000000-0008-0000-0300-0000C8C40200}"/>
                                  </a:ext>
                                </a:extLst>
                              </xdr:cNvPr>
                              <xdr:cNvSpPr txBox="1"/>
                            </xdr:nvSpPr>
                            <xdr:spPr>
                              <a:xfrm>
                                <a:off x="2826188" y="1539407"/>
                                <a:ext cx="1025337"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181449" name="Groupe 181448">
                                <a:extLst>
                                  <a:ext uri="{FF2B5EF4-FFF2-40B4-BE49-F238E27FC236}">
                                    <a16:creationId xmlns:a16="http://schemas.microsoft.com/office/drawing/2014/main" id="{00000000-0008-0000-0300-0000C9C40200}"/>
                                  </a:ext>
                                </a:extLst>
                              </xdr:cNvPr>
                              <xdr:cNvGrpSpPr/>
                            </xdr:nvGrpSpPr>
                            <xdr:grpSpPr>
                              <a:xfrm>
                                <a:off x="1181096" y="257175"/>
                                <a:ext cx="11096058" cy="6354582"/>
                                <a:chOff x="1181096" y="257175"/>
                                <a:chExt cx="11096058" cy="6354582"/>
                              </a:xfrm>
                            </xdr:grpSpPr>
                            <xdr:grpSp>
                              <xdr:nvGrpSpPr>
                                <xdr:cNvPr id="181450" name="Groupe 181449">
                                  <a:extLst>
                                    <a:ext uri="{FF2B5EF4-FFF2-40B4-BE49-F238E27FC236}">
                                      <a16:creationId xmlns:a16="http://schemas.microsoft.com/office/drawing/2014/main" id="{00000000-0008-0000-0300-0000CAC40200}"/>
                                    </a:ext>
                                  </a:extLst>
                                </xdr:cNvPr>
                                <xdr:cNvGrpSpPr/>
                              </xdr:nvGrpSpPr>
                              <xdr:grpSpPr>
                                <a:xfrm>
                                  <a:off x="1181096" y="278971"/>
                                  <a:ext cx="11096058" cy="6332786"/>
                                  <a:chOff x="1181100" y="238066"/>
                                  <a:chExt cx="7438514" cy="5404214"/>
                                </a:xfrm>
                              </xdr:grpSpPr>
                              <xdr:sp macro="" textlink="">
                                <xdr:nvSpPr>
                                  <xdr:cNvPr id="181452" name="Text Box 60">
                                    <a:extLst>
                                      <a:ext uri="{FF2B5EF4-FFF2-40B4-BE49-F238E27FC236}">
                                        <a16:creationId xmlns:a16="http://schemas.microsoft.com/office/drawing/2014/main" id="{00000000-0008-0000-0300-0000CC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453" name="Groupe 181452">
                                    <a:extLst>
                                      <a:ext uri="{FF2B5EF4-FFF2-40B4-BE49-F238E27FC236}">
                                        <a16:creationId xmlns:a16="http://schemas.microsoft.com/office/drawing/2014/main" id="{00000000-0008-0000-0300-0000CDC40200}"/>
                                      </a:ext>
                                    </a:extLst>
                                  </xdr:cNvPr>
                                  <xdr:cNvGrpSpPr/>
                                </xdr:nvGrpSpPr>
                                <xdr:grpSpPr>
                                  <a:xfrm>
                                    <a:off x="1181100" y="511879"/>
                                    <a:ext cx="7438514" cy="5130401"/>
                                    <a:chOff x="1181100" y="511879"/>
                                    <a:chExt cx="7438514" cy="5130401"/>
                                  </a:xfrm>
                                </xdr:grpSpPr>
                                <xdr:sp macro="" textlink="">
                                  <xdr:nvSpPr>
                                    <xdr:cNvPr id="181454" name="Line 77">
                                      <a:extLst>
                                        <a:ext uri="{FF2B5EF4-FFF2-40B4-BE49-F238E27FC236}">
                                          <a16:creationId xmlns:a16="http://schemas.microsoft.com/office/drawing/2014/main" id="{00000000-0008-0000-0300-0000CE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55" name="Groupe 181454">
                                      <a:extLst>
                                        <a:ext uri="{FF2B5EF4-FFF2-40B4-BE49-F238E27FC236}">
                                          <a16:creationId xmlns:a16="http://schemas.microsoft.com/office/drawing/2014/main" id="{00000000-0008-0000-0300-0000CFC40200}"/>
                                        </a:ext>
                                      </a:extLst>
                                    </xdr:cNvPr>
                                    <xdr:cNvGrpSpPr/>
                                  </xdr:nvGrpSpPr>
                                  <xdr:grpSpPr>
                                    <a:xfrm>
                                      <a:off x="1181100" y="511879"/>
                                      <a:ext cx="7438514" cy="5130401"/>
                                      <a:chOff x="1181100" y="511879"/>
                                      <a:chExt cx="7438514" cy="5130401"/>
                                    </a:xfrm>
                                  </xdr:grpSpPr>
                                  <xdr:sp macro="" textlink="">
                                    <xdr:nvSpPr>
                                      <xdr:cNvPr id="181456" name="Text Box 62">
                                        <a:extLst>
                                          <a:ext uri="{FF2B5EF4-FFF2-40B4-BE49-F238E27FC236}">
                                            <a16:creationId xmlns:a16="http://schemas.microsoft.com/office/drawing/2014/main" id="{00000000-0008-0000-0300-0000D0C4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457" name="Groupe 181456">
                                        <a:extLst>
                                          <a:ext uri="{FF2B5EF4-FFF2-40B4-BE49-F238E27FC236}">
                                            <a16:creationId xmlns:a16="http://schemas.microsoft.com/office/drawing/2014/main" id="{00000000-0008-0000-0300-0000D1C40200}"/>
                                          </a:ext>
                                        </a:extLst>
                                      </xdr:cNvPr>
                                      <xdr:cNvGrpSpPr/>
                                    </xdr:nvGrpSpPr>
                                    <xdr:grpSpPr>
                                      <a:xfrm>
                                        <a:off x="1181100" y="511879"/>
                                        <a:ext cx="7438514" cy="5130401"/>
                                        <a:chOff x="1181100" y="511879"/>
                                        <a:chExt cx="7438514" cy="5130401"/>
                                      </a:xfrm>
                                    </xdr:grpSpPr>
                                    <xdr:sp macro="" textlink="">
                                      <xdr:nvSpPr>
                                        <xdr:cNvPr id="181458" name="Text Box 54">
                                          <a:extLst>
                                            <a:ext uri="{FF2B5EF4-FFF2-40B4-BE49-F238E27FC236}">
                                              <a16:creationId xmlns:a16="http://schemas.microsoft.com/office/drawing/2014/main" id="{00000000-0008-0000-0300-0000D2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459" name="Groupe 181458">
                                          <a:extLst>
                                            <a:ext uri="{FF2B5EF4-FFF2-40B4-BE49-F238E27FC236}">
                                              <a16:creationId xmlns:a16="http://schemas.microsoft.com/office/drawing/2014/main" id="{00000000-0008-0000-0300-0000D3C40200}"/>
                                            </a:ext>
                                          </a:extLst>
                                        </xdr:cNvPr>
                                        <xdr:cNvGrpSpPr/>
                                      </xdr:nvGrpSpPr>
                                      <xdr:grpSpPr>
                                        <a:xfrm>
                                          <a:off x="1181100" y="511879"/>
                                          <a:ext cx="7438514" cy="4718297"/>
                                          <a:chOff x="1181100" y="511879"/>
                                          <a:chExt cx="7438514" cy="4718297"/>
                                        </a:xfrm>
                                      </xdr:grpSpPr>
                                      <xdr:sp macro="" textlink="">
                                        <xdr:nvSpPr>
                                          <xdr:cNvPr id="181460" name="Line 21">
                                            <a:extLst>
                                              <a:ext uri="{FF2B5EF4-FFF2-40B4-BE49-F238E27FC236}">
                                                <a16:creationId xmlns:a16="http://schemas.microsoft.com/office/drawing/2014/main" id="{00000000-0008-0000-0300-0000D4C4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61" name="Connecteur droit avec flèche 181460">
                                            <a:extLst>
                                              <a:ext uri="{FF2B5EF4-FFF2-40B4-BE49-F238E27FC236}">
                                                <a16:creationId xmlns:a16="http://schemas.microsoft.com/office/drawing/2014/main" id="{00000000-0008-0000-0300-0000D5C4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2" name="Connecteur droit avec flèche 181461">
                                            <a:extLst>
                                              <a:ext uri="{FF2B5EF4-FFF2-40B4-BE49-F238E27FC236}">
                                                <a16:creationId xmlns:a16="http://schemas.microsoft.com/office/drawing/2014/main" id="{00000000-0008-0000-0300-0000D6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3" name="Connecteur droit avec flèche 181462">
                                            <a:extLst>
                                              <a:ext uri="{FF2B5EF4-FFF2-40B4-BE49-F238E27FC236}">
                                                <a16:creationId xmlns:a16="http://schemas.microsoft.com/office/drawing/2014/main" id="{00000000-0008-0000-0300-0000D7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64" name="Connecteur droit avec flèche 181463">
                                            <a:extLst>
                                              <a:ext uri="{FF2B5EF4-FFF2-40B4-BE49-F238E27FC236}">
                                                <a16:creationId xmlns:a16="http://schemas.microsoft.com/office/drawing/2014/main" id="{00000000-0008-0000-0300-0000D8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66" name="Rectangle 181465">
                                            <a:extLst>
                                              <a:ext uri="{FF2B5EF4-FFF2-40B4-BE49-F238E27FC236}">
                                                <a16:creationId xmlns:a16="http://schemas.microsoft.com/office/drawing/2014/main" id="{00000000-0008-0000-0300-0000DA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467" name="Oval 24">
                                            <a:extLst>
                                              <a:ext uri="{FF2B5EF4-FFF2-40B4-BE49-F238E27FC236}">
                                                <a16:creationId xmlns:a16="http://schemas.microsoft.com/office/drawing/2014/main" id="{00000000-0008-0000-0300-0000DB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8" name="Oval 25">
                                            <a:extLst>
                                              <a:ext uri="{FF2B5EF4-FFF2-40B4-BE49-F238E27FC236}">
                                                <a16:creationId xmlns:a16="http://schemas.microsoft.com/office/drawing/2014/main" id="{00000000-0008-0000-0300-0000DC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69" name="Line 43">
                                            <a:extLst>
                                              <a:ext uri="{FF2B5EF4-FFF2-40B4-BE49-F238E27FC236}">
                                                <a16:creationId xmlns:a16="http://schemas.microsoft.com/office/drawing/2014/main" id="{00000000-0008-0000-0300-0000D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0" name="Line 44">
                                            <a:extLst>
                                              <a:ext uri="{FF2B5EF4-FFF2-40B4-BE49-F238E27FC236}">
                                                <a16:creationId xmlns:a16="http://schemas.microsoft.com/office/drawing/2014/main" id="{00000000-0008-0000-0300-0000D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1" name="Text Box 56">
                                            <a:extLst>
                                              <a:ext uri="{FF2B5EF4-FFF2-40B4-BE49-F238E27FC236}">
                                                <a16:creationId xmlns:a16="http://schemas.microsoft.com/office/drawing/2014/main" id="{00000000-0008-0000-0300-0000D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472" name="Line 59">
                                            <a:extLst>
                                              <a:ext uri="{FF2B5EF4-FFF2-40B4-BE49-F238E27FC236}">
                                                <a16:creationId xmlns:a16="http://schemas.microsoft.com/office/drawing/2014/main" id="{00000000-0008-0000-0300-0000E0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4" name="Rectangle 181473">
                                            <a:extLst>
                                              <a:ext uri="{FF2B5EF4-FFF2-40B4-BE49-F238E27FC236}">
                                                <a16:creationId xmlns:a16="http://schemas.microsoft.com/office/drawing/2014/main" id="{00000000-0008-0000-0300-0000E2C4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75" name="Line 78">
                                            <a:extLst>
                                              <a:ext uri="{FF2B5EF4-FFF2-40B4-BE49-F238E27FC236}">
                                                <a16:creationId xmlns:a16="http://schemas.microsoft.com/office/drawing/2014/main" id="{00000000-0008-0000-0300-0000E3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78" name="Connecteur droit avec flèche 181477">
                                            <a:extLst>
                                              <a:ext uri="{FF2B5EF4-FFF2-40B4-BE49-F238E27FC236}">
                                                <a16:creationId xmlns:a16="http://schemas.microsoft.com/office/drawing/2014/main" id="{00000000-0008-0000-0300-0000E6C4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73" name="Rectangle 181472">
                                            <a:extLst>
                                              <a:ext uri="{FF2B5EF4-FFF2-40B4-BE49-F238E27FC236}">
                                                <a16:creationId xmlns:a16="http://schemas.microsoft.com/office/drawing/2014/main" id="{00000000-0008-0000-0300-0000E1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2</a:t>
                                            </a:r>
                                            <a:endParaRPr lang="en-US" sz="1800" b="1">
                                              <a:solidFill>
                                                <a:srgbClr val="000066"/>
                                              </a:solidFill>
                                              <a:latin typeface="Arial" charset="0"/>
                                            </a:endParaRPr>
                                          </a:p>
                                        </xdr:txBody>
                                      </xdr:sp>
                                      <xdr:cxnSp macro="">
                                        <xdr:nvCxnSpPr>
                                          <xdr:cNvPr id="181479" name="Connecteur droit avec flèche 181478">
                                            <a:extLst>
                                              <a:ext uri="{FF2B5EF4-FFF2-40B4-BE49-F238E27FC236}">
                                                <a16:creationId xmlns:a16="http://schemas.microsoft.com/office/drawing/2014/main" id="{00000000-0008-0000-0300-0000E7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80" name="irc_mi">
                                            <a:extLst>
                                              <a:ext uri="{FF2B5EF4-FFF2-40B4-BE49-F238E27FC236}">
                                                <a16:creationId xmlns:a16="http://schemas.microsoft.com/office/drawing/2014/main" id="{00000000-0008-0000-0300-0000E8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451" name="ZoneTexte 62">
                                  <a:extLst>
                                    <a:ext uri="{FF2B5EF4-FFF2-40B4-BE49-F238E27FC236}">
                                      <a16:creationId xmlns:a16="http://schemas.microsoft.com/office/drawing/2014/main" id="{00000000-0008-0000-0300-0000CBC4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grpSp>
                      <xdr:nvGrpSpPr>
                        <xdr:cNvPr id="181378" name="Groupe 181377">
                          <a:extLst>
                            <a:ext uri="{FF2B5EF4-FFF2-40B4-BE49-F238E27FC236}">
                              <a16:creationId xmlns:a16="http://schemas.microsoft.com/office/drawing/2014/main" id="{00000000-0008-0000-0300-000082C40200}"/>
                            </a:ext>
                          </a:extLst>
                        </xdr:cNvPr>
                        <xdr:cNvGrpSpPr/>
                      </xdr:nvGrpSpPr>
                      <xdr:grpSpPr>
                        <a:xfrm>
                          <a:off x="3344431" y="-148084"/>
                          <a:ext cx="8743941" cy="5382331"/>
                          <a:chOff x="-2311340" y="-594116"/>
                          <a:chExt cx="12987061" cy="7370643"/>
                        </a:xfrm>
                      </xdr:grpSpPr>
                      <xdr:sp macro="" textlink="">
                        <xdr:nvSpPr>
                          <xdr:cNvPr id="181379" name="Text Box 60">
                            <a:extLst>
                              <a:ext uri="{FF2B5EF4-FFF2-40B4-BE49-F238E27FC236}">
                                <a16:creationId xmlns:a16="http://schemas.microsoft.com/office/drawing/2014/main" id="{00000000-0008-0000-0300-000083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380" name="Groupe 181379">
                            <a:extLst>
                              <a:ext uri="{FF2B5EF4-FFF2-40B4-BE49-F238E27FC236}">
                                <a16:creationId xmlns:a16="http://schemas.microsoft.com/office/drawing/2014/main" id="{00000000-0008-0000-0300-000084C40200}"/>
                              </a:ext>
                            </a:extLst>
                          </xdr:cNvPr>
                          <xdr:cNvGrpSpPr/>
                        </xdr:nvGrpSpPr>
                        <xdr:grpSpPr>
                          <a:xfrm>
                            <a:off x="-2311340" y="-594116"/>
                            <a:ext cx="12987061" cy="7370643"/>
                            <a:chOff x="-2311340" y="-594116"/>
                            <a:chExt cx="12987061" cy="7370643"/>
                          </a:xfrm>
                        </xdr:grpSpPr>
                        <xdr:sp macro="" textlink="">
                          <xdr:nvSpPr>
                            <xdr:cNvPr id="181381" name="ZoneTexte 92">
                              <a:extLst>
                                <a:ext uri="{FF2B5EF4-FFF2-40B4-BE49-F238E27FC236}">
                                  <a16:creationId xmlns:a16="http://schemas.microsoft.com/office/drawing/2014/main" id="{00000000-0008-0000-0300-000085C402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181382" name="Groupe 181381">
                              <a:extLst>
                                <a:ext uri="{FF2B5EF4-FFF2-40B4-BE49-F238E27FC236}">
                                  <a16:creationId xmlns:a16="http://schemas.microsoft.com/office/drawing/2014/main" id="{00000000-0008-0000-0300-000086C40200}"/>
                                </a:ext>
                              </a:extLst>
                            </xdr:cNvPr>
                            <xdr:cNvGrpSpPr/>
                          </xdr:nvGrpSpPr>
                          <xdr:grpSpPr>
                            <a:xfrm>
                              <a:off x="-2311340" y="-594116"/>
                              <a:ext cx="12987061" cy="7370643"/>
                              <a:chOff x="-2311340" y="-594116"/>
                              <a:chExt cx="12987061" cy="7370643"/>
                            </a:xfrm>
                          </xdr:grpSpPr>
                          <xdr:grpSp>
                            <xdr:nvGrpSpPr>
                              <xdr:cNvPr id="181383" name="Groupe 181382">
                                <a:extLst>
                                  <a:ext uri="{FF2B5EF4-FFF2-40B4-BE49-F238E27FC236}">
                                    <a16:creationId xmlns:a16="http://schemas.microsoft.com/office/drawing/2014/main" id="{00000000-0008-0000-0300-000087C40200}"/>
                                  </a:ext>
                                </a:extLst>
                              </xdr:cNvPr>
                              <xdr:cNvGrpSpPr/>
                            </xdr:nvGrpSpPr>
                            <xdr:grpSpPr>
                              <a:xfrm>
                                <a:off x="-2311340" y="-594116"/>
                                <a:ext cx="12987061" cy="7370643"/>
                                <a:chOff x="-2311340" y="-594116"/>
                                <a:chExt cx="12987061" cy="7370643"/>
                              </a:xfrm>
                            </xdr:grpSpPr>
                            <xdr:sp macro="" textlink="">
                              <xdr:nvSpPr>
                                <xdr:cNvPr id="181385" name="ZoneTexte 62">
                                  <a:extLst>
                                    <a:ext uri="{FF2B5EF4-FFF2-40B4-BE49-F238E27FC236}">
                                      <a16:creationId xmlns:a16="http://schemas.microsoft.com/office/drawing/2014/main" id="{00000000-0008-0000-0300-000089C40200}"/>
                                    </a:ext>
                                  </a:extLst>
                                </xdr:cNvPr>
                                <xdr:cNvSpPr txBox="1"/>
                              </xdr:nvSpPr>
                              <xdr:spPr>
                                <a:xfrm>
                                  <a:off x="2499062" y="2179937"/>
                                  <a:ext cx="1025336"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181386" name="Groupe 181385">
                                  <a:extLst>
                                    <a:ext uri="{FF2B5EF4-FFF2-40B4-BE49-F238E27FC236}">
                                      <a16:creationId xmlns:a16="http://schemas.microsoft.com/office/drawing/2014/main" id="{00000000-0008-0000-0300-00008AC40200}"/>
                                    </a:ext>
                                  </a:extLst>
                                </xdr:cNvPr>
                                <xdr:cNvGrpSpPr/>
                              </xdr:nvGrpSpPr>
                              <xdr:grpSpPr>
                                <a:xfrm>
                                  <a:off x="-2311340" y="-594116"/>
                                  <a:ext cx="12987061" cy="7370643"/>
                                  <a:chOff x="-2311340" y="-594116"/>
                                  <a:chExt cx="12987061" cy="7370643"/>
                                </a:xfrm>
                              </xdr:grpSpPr>
                              <xdr:grpSp>
                                <xdr:nvGrpSpPr>
                                  <xdr:cNvPr id="181387" name="Groupe 181386">
                                    <a:extLst>
                                      <a:ext uri="{FF2B5EF4-FFF2-40B4-BE49-F238E27FC236}">
                                        <a16:creationId xmlns:a16="http://schemas.microsoft.com/office/drawing/2014/main" id="{00000000-0008-0000-0300-00008BC40200}"/>
                                      </a:ext>
                                    </a:extLst>
                                  </xdr:cNvPr>
                                  <xdr:cNvGrpSpPr/>
                                </xdr:nvGrpSpPr>
                                <xdr:grpSpPr>
                                  <a:xfrm>
                                    <a:off x="6853237" y="2450306"/>
                                    <a:ext cx="109119" cy="197173"/>
                                    <a:chOff x="6853237" y="2450306"/>
                                    <a:chExt cx="109119" cy="200420"/>
                                  </a:xfrm>
                                </xdr:grpSpPr>
                                <xdr:sp macro="" textlink="">
                                  <xdr:nvSpPr>
                                    <xdr:cNvPr id="181442" name="AutoShape 67">
                                      <a:extLst>
                                        <a:ext uri="{FF2B5EF4-FFF2-40B4-BE49-F238E27FC236}">
                                          <a16:creationId xmlns:a16="http://schemas.microsoft.com/office/drawing/2014/main" id="{00000000-0008-0000-0300-0000C2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3" name="Line 69">
                                      <a:extLst>
                                        <a:ext uri="{FF2B5EF4-FFF2-40B4-BE49-F238E27FC236}">
                                          <a16:creationId xmlns:a16="http://schemas.microsoft.com/office/drawing/2014/main" id="{00000000-0008-0000-0300-0000C3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181388" name="Groupe 181387">
                                    <a:extLst>
                                      <a:ext uri="{FF2B5EF4-FFF2-40B4-BE49-F238E27FC236}">
                                        <a16:creationId xmlns:a16="http://schemas.microsoft.com/office/drawing/2014/main" id="{00000000-0008-0000-0300-00008CC40200}"/>
                                      </a:ext>
                                    </a:extLst>
                                  </xdr:cNvPr>
                                  <xdr:cNvGrpSpPr/>
                                </xdr:nvGrpSpPr>
                                <xdr:grpSpPr>
                                  <a:xfrm>
                                    <a:off x="-2311340" y="-594116"/>
                                    <a:ext cx="12987061" cy="7370643"/>
                                    <a:chOff x="-2311340" y="-594116"/>
                                    <a:chExt cx="12987061" cy="7370643"/>
                                  </a:xfrm>
                                </xdr:grpSpPr>
                                <xdr:grpSp>
                                  <xdr:nvGrpSpPr>
                                    <xdr:cNvPr id="181389" name="Groupe 181388">
                                      <a:extLst>
                                        <a:ext uri="{FF2B5EF4-FFF2-40B4-BE49-F238E27FC236}">
                                          <a16:creationId xmlns:a16="http://schemas.microsoft.com/office/drawing/2014/main" id="{00000000-0008-0000-0300-00008DC40200}"/>
                                        </a:ext>
                                      </a:extLst>
                                    </xdr:cNvPr>
                                    <xdr:cNvGrpSpPr/>
                                  </xdr:nvGrpSpPr>
                                  <xdr:grpSpPr>
                                    <a:xfrm>
                                      <a:off x="-2311340" y="-594116"/>
                                      <a:ext cx="12987061" cy="7370643"/>
                                      <a:chOff x="-1221294" y="-499536"/>
                                      <a:chExt cx="8933589" cy="6197276"/>
                                    </a:xfrm>
                                  </xdr:grpSpPr>
                                  <xdr:grpSp>
                                    <xdr:nvGrpSpPr>
                                      <xdr:cNvPr id="181392" name="Groupe 181391">
                                        <a:extLst>
                                          <a:ext uri="{FF2B5EF4-FFF2-40B4-BE49-F238E27FC236}">
                                            <a16:creationId xmlns:a16="http://schemas.microsoft.com/office/drawing/2014/main" id="{00000000-0008-0000-0300-000090C40200}"/>
                                          </a:ext>
                                        </a:extLst>
                                      </xdr:cNvPr>
                                      <xdr:cNvGrpSpPr/>
                                    </xdr:nvGrpSpPr>
                                    <xdr:grpSpPr>
                                      <a:xfrm>
                                        <a:off x="-1221294" y="-499536"/>
                                        <a:ext cx="8933589" cy="6197276"/>
                                        <a:chOff x="-1160141" y="-507001"/>
                                        <a:chExt cx="8706194" cy="6289887"/>
                                      </a:xfrm>
                                    </xdr:grpSpPr>
                                    <xdr:sp macro="" textlink="">
                                      <xdr:nvSpPr>
                                        <xdr:cNvPr id="181396" name="AutoShape 17">
                                          <a:extLst>
                                            <a:ext uri="{FF2B5EF4-FFF2-40B4-BE49-F238E27FC236}">
                                              <a16:creationId xmlns:a16="http://schemas.microsoft.com/office/drawing/2014/main" id="{00000000-0008-0000-0300-000094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97" name="AutoShape 18">
                                          <a:extLst>
                                            <a:ext uri="{FF2B5EF4-FFF2-40B4-BE49-F238E27FC236}">
                                              <a16:creationId xmlns:a16="http://schemas.microsoft.com/office/drawing/2014/main" id="{00000000-0008-0000-0300-000095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98" name="Groupe 181397">
                                          <a:extLst>
                                            <a:ext uri="{FF2B5EF4-FFF2-40B4-BE49-F238E27FC236}">
                                              <a16:creationId xmlns:a16="http://schemas.microsoft.com/office/drawing/2014/main" id="{00000000-0008-0000-0300-000096C40200}"/>
                                            </a:ext>
                                          </a:extLst>
                                        </xdr:cNvPr>
                                        <xdr:cNvGrpSpPr/>
                                      </xdr:nvGrpSpPr>
                                      <xdr:grpSpPr>
                                        <a:xfrm>
                                          <a:off x="-1160141" y="-507001"/>
                                          <a:ext cx="8706194" cy="6289887"/>
                                          <a:chOff x="-1160141" y="-507001"/>
                                          <a:chExt cx="8706194" cy="6289887"/>
                                        </a:xfrm>
                                      </xdr:grpSpPr>
                                      <xdr:sp macro="" textlink="">
                                        <xdr:nvSpPr>
                                          <xdr:cNvPr id="181399" name="Text Box 53">
                                            <a:extLst>
                                              <a:ext uri="{FF2B5EF4-FFF2-40B4-BE49-F238E27FC236}">
                                                <a16:creationId xmlns:a16="http://schemas.microsoft.com/office/drawing/2014/main" id="{00000000-0008-0000-0300-000097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400" name="Groupe 181399">
                                            <a:extLst>
                                              <a:ext uri="{FF2B5EF4-FFF2-40B4-BE49-F238E27FC236}">
                                                <a16:creationId xmlns:a16="http://schemas.microsoft.com/office/drawing/2014/main" id="{00000000-0008-0000-0300-000098C40200}"/>
                                              </a:ext>
                                            </a:extLst>
                                          </xdr:cNvPr>
                                          <xdr:cNvGrpSpPr/>
                                        </xdr:nvGrpSpPr>
                                        <xdr:grpSpPr>
                                          <a:xfrm>
                                            <a:off x="-1160141" y="-507001"/>
                                            <a:ext cx="8457537" cy="6289887"/>
                                            <a:chOff x="-1160141" y="-507001"/>
                                            <a:chExt cx="8457537" cy="6289887"/>
                                          </a:xfrm>
                                        </xdr:grpSpPr>
                                        <xdr:sp macro="" textlink="">
                                          <xdr:nvSpPr>
                                            <xdr:cNvPr id="181401" name="Text Box 60">
                                              <a:extLst>
                                                <a:ext uri="{FF2B5EF4-FFF2-40B4-BE49-F238E27FC236}">
                                                  <a16:creationId xmlns:a16="http://schemas.microsoft.com/office/drawing/2014/main" id="{00000000-0008-0000-0300-000099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402" name="Groupe 181401">
                                              <a:extLst>
                                                <a:ext uri="{FF2B5EF4-FFF2-40B4-BE49-F238E27FC236}">
                                                  <a16:creationId xmlns:a16="http://schemas.microsoft.com/office/drawing/2014/main" id="{00000000-0008-0000-0300-00009AC40200}"/>
                                                </a:ext>
                                              </a:extLst>
                                            </xdr:cNvPr>
                                            <xdr:cNvGrpSpPr/>
                                          </xdr:nvGrpSpPr>
                                          <xdr:grpSpPr>
                                            <a:xfrm>
                                              <a:off x="-1160141" y="-507001"/>
                                              <a:ext cx="8457537" cy="6289887"/>
                                              <a:chOff x="-1160141" y="-507001"/>
                                              <a:chExt cx="8457537" cy="6289887"/>
                                            </a:xfrm>
                                          </xdr:grpSpPr>
                                          <xdr:sp macro="" textlink="">
                                            <xdr:nvSpPr>
                                              <xdr:cNvPr id="181403" name="Line 77">
                                                <a:extLst>
                                                  <a:ext uri="{FF2B5EF4-FFF2-40B4-BE49-F238E27FC236}">
                                                    <a16:creationId xmlns:a16="http://schemas.microsoft.com/office/drawing/2014/main" id="{00000000-0008-0000-0300-00009B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04" name="Groupe 181403">
                                                <a:extLst>
                                                  <a:ext uri="{FF2B5EF4-FFF2-40B4-BE49-F238E27FC236}">
                                                    <a16:creationId xmlns:a16="http://schemas.microsoft.com/office/drawing/2014/main" id="{00000000-0008-0000-0300-00009CC40200}"/>
                                                  </a:ext>
                                                </a:extLst>
                                              </xdr:cNvPr>
                                              <xdr:cNvGrpSpPr/>
                                            </xdr:nvGrpSpPr>
                                            <xdr:grpSpPr>
                                              <a:xfrm>
                                                <a:off x="-1160141" y="-507001"/>
                                                <a:ext cx="8457537" cy="6289887"/>
                                                <a:chOff x="-1160141" y="-507001"/>
                                                <a:chExt cx="8457537" cy="6289887"/>
                                              </a:xfrm>
                                            </xdr:grpSpPr>
                                            <xdr:sp macro="" textlink="">
                                              <xdr:nvSpPr>
                                                <xdr:cNvPr id="181405" name="Text Box 62">
                                                  <a:extLst>
                                                    <a:ext uri="{FF2B5EF4-FFF2-40B4-BE49-F238E27FC236}">
                                                      <a16:creationId xmlns:a16="http://schemas.microsoft.com/office/drawing/2014/main" id="{00000000-0008-0000-0300-00009D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406" name="Groupe 181405">
                                                  <a:extLst>
                                                    <a:ext uri="{FF2B5EF4-FFF2-40B4-BE49-F238E27FC236}">
                                                      <a16:creationId xmlns:a16="http://schemas.microsoft.com/office/drawing/2014/main" id="{00000000-0008-0000-0300-00009EC40200}"/>
                                                    </a:ext>
                                                  </a:extLst>
                                                </xdr:cNvPr>
                                                <xdr:cNvGrpSpPr/>
                                              </xdr:nvGrpSpPr>
                                              <xdr:grpSpPr>
                                                <a:xfrm>
                                                  <a:off x="-1160141" y="-507001"/>
                                                  <a:ext cx="8457537" cy="6289887"/>
                                                  <a:chOff x="-1160141" y="-507001"/>
                                                  <a:chExt cx="8457537" cy="6289887"/>
                                                </a:xfrm>
                                              </xdr:grpSpPr>
                                              <xdr:sp macro="" textlink="">
                                                <xdr:nvSpPr>
                                                  <xdr:cNvPr id="181407" name="Text Box 54">
                                                    <a:extLst>
                                                      <a:ext uri="{FF2B5EF4-FFF2-40B4-BE49-F238E27FC236}">
                                                        <a16:creationId xmlns:a16="http://schemas.microsoft.com/office/drawing/2014/main" id="{00000000-0008-0000-0300-00009F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408" name="Groupe 181407">
                                                    <a:extLst>
                                                      <a:ext uri="{FF2B5EF4-FFF2-40B4-BE49-F238E27FC236}">
                                                        <a16:creationId xmlns:a16="http://schemas.microsoft.com/office/drawing/2014/main" id="{00000000-0008-0000-0300-0000A0C40200}"/>
                                                      </a:ext>
                                                    </a:extLst>
                                                  </xdr:cNvPr>
                                                  <xdr:cNvGrpSpPr/>
                                                </xdr:nvGrpSpPr>
                                                <xdr:grpSpPr>
                                                  <a:xfrm>
                                                    <a:off x="-1160141" y="-507001"/>
                                                    <a:ext cx="8457537" cy="6289887"/>
                                                    <a:chOff x="-1160141" y="-507001"/>
                                                    <a:chExt cx="8457537" cy="6289887"/>
                                                  </a:xfrm>
                                                </xdr:grpSpPr>
                                                <xdr:sp macro="" textlink="">
                                                  <xdr:nvSpPr>
                                                    <xdr:cNvPr id="181409" name="Rectangle 181408">
                                                      <a:extLst>
                                                        <a:ext uri="{FF2B5EF4-FFF2-40B4-BE49-F238E27FC236}">
                                                          <a16:creationId xmlns:a16="http://schemas.microsoft.com/office/drawing/2014/main" id="{00000000-0008-0000-0300-0000A1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10" name="Connecteur droit avec flèche 181409">
                                                      <a:extLst>
                                                        <a:ext uri="{FF2B5EF4-FFF2-40B4-BE49-F238E27FC236}">
                                                          <a16:creationId xmlns:a16="http://schemas.microsoft.com/office/drawing/2014/main" id="{00000000-0008-0000-0300-0000A2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1" name="Connecteur droit avec flèche 181410">
                                                      <a:extLst>
                                                        <a:ext uri="{FF2B5EF4-FFF2-40B4-BE49-F238E27FC236}">
                                                          <a16:creationId xmlns:a16="http://schemas.microsoft.com/office/drawing/2014/main" id="{00000000-0008-0000-0300-0000A3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2" name="Connecteur droit avec flèche 181411">
                                                      <a:extLst>
                                                        <a:ext uri="{FF2B5EF4-FFF2-40B4-BE49-F238E27FC236}">
                                                          <a16:creationId xmlns:a16="http://schemas.microsoft.com/office/drawing/2014/main" id="{00000000-0008-0000-0300-0000A4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13" name="Connecteur droit avec flèche 181412">
                                                      <a:extLst>
                                                        <a:ext uri="{FF2B5EF4-FFF2-40B4-BE49-F238E27FC236}">
                                                          <a16:creationId xmlns:a16="http://schemas.microsoft.com/office/drawing/2014/main" id="{00000000-0008-0000-0300-0000A5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414" name="Line 13">
                                                      <a:extLst>
                                                        <a:ext uri="{FF2B5EF4-FFF2-40B4-BE49-F238E27FC236}">
                                                          <a16:creationId xmlns:a16="http://schemas.microsoft.com/office/drawing/2014/main" id="{00000000-0008-0000-0300-0000A6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5" name="Rectangle 181414">
                                                      <a:extLst>
                                                        <a:ext uri="{FF2B5EF4-FFF2-40B4-BE49-F238E27FC236}">
                                                          <a16:creationId xmlns:a16="http://schemas.microsoft.com/office/drawing/2014/main" id="{00000000-0008-0000-0300-0000A7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416" name="Rectangle 181415">
                                                      <a:extLst>
                                                        <a:ext uri="{FF2B5EF4-FFF2-40B4-BE49-F238E27FC236}">
                                                          <a16:creationId xmlns:a16="http://schemas.microsoft.com/office/drawing/2014/main" id="{00000000-0008-0000-0300-0000A8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417" name="Line 21">
                                                      <a:extLst>
                                                        <a:ext uri="{FF2B5EF4-FFF2-40B4-BE49-F238E27FC236}">
                                                          <a16:creationId xmlns:a16="http://schemas.microsoft.com/office/drawing/2014/main" id="{00000000-0008-0000-0300-0000A9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8" name="Oval 24">
                                                      <a:extLst>
                                                        <a:ext uri="{FF2B5EF4-FFF2-40B4-BE49-F238E27FC236}">
                                                          <a16:creationId xmlns:a16="http://schemas.microsoft.com/office/drawing/2014/main" id="{00000000-0008-0000-0300-0000AA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19" name="Oval 25">
                                                      <a:extLst>
                                                        <a:ext uri="{FF2B5EF4-FFF2-40B4-BE49-F238E27FC236}">
                                                          <a16:creationId xmlns:a16="http://schemas.microsoft.com/office/drawing/2014/main" id="{00000000-0008-0000-0300-0000AB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20" name="Group 26">
                                                      <a:extLst>
                                                        <a:ext uri="{FF2B5EF4-FFF2-40B4-BE49-F238E27FC236}">
                                                          <a16:creationId xmlns:a16="http://schemas.microsoft.com/office/drawing/2014/main" id="{00000000-0008-0000-0300-0000ACC40200}"/>
                                                        </a:ext>
                                                      </a:extLst>
                                                    </xdr:cNvPr>
                                                    <xdr:cNvGrpSpPr>
                                                      <a:grpSpLocks/>
                                                    </xdr:cNvGrpSpPr>
                                                  </xdr:nvGrpSpPr>
                                                  <xdr:grpSpPr bwMode="auto">
                                                    <a:xfrm>
                                                      <a:off x="6813767" y="1978503"/>
                                                      <a:ext cx="483629" cy="838571"/>
                                                      <a:chOff x="6813767" y="1974449"/>
                                                      <a:chExt cx="615" cy="974"/>
                                                    </a:xfrm>
                                                  </xdr:grpSpPr>
                                                  <xdr:sp macro="" textlink="">
                                                    <xdr:nvSpPr>
                                                      <xdr:cNvPr id="181439" name="AutoShape 27">
                                                        <a:extLst>
                                                          <a:ext uri="{FF2B5EF4-FFF2-40B4-BE49-F238E27FC236}">
                                                            <a16:creationId xmlns:a16="http://schemas.microsoft.com/office/drawing/2014/main" id="{00000000-0008-0000-0300-0000BF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0" name="Rectangle 181439">
                                                        <a:extLst>
                                                          <a:ext uri="{FF2B5EF4-FFF2-40B4-BE49-F238E27FC236}">
                                                            <a16:creationId xmlns:a16="http://schemas.microsoft.com/office/drawing/2014/main" id="{00000000-0008-0000-0300-0000C0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41" name="AutoShape 29">
                                                        <a:extLst>
                                                          <a:ext uri="{FF2B5EF4-FFF2-40B4-BE49-F238E27FC236}">
                                                            <a16:creationId xmlns:a16="http://schemas.microsoft.com/office/drawing/2014/main" id="{00000000-0008-0000-0300-0000C1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421" name="Line 43">
                                                      <a:extLst>
                                                        <a:ext uri="{FF2B5EF4-FFF2-40B4-BE49-F238E27FC236}">
                                                          <a16:creationId xmlns:a16="http://schemas.microsoft.com/office/drawing/2014/main" id="{00000000-0008-0000-0300-0000AD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2" name="Line 44">
                                                      <a:extLst>
                                                        <a:ext uri="{FF2B5EF4-FFF2-40B4-BE49-F238E27FC236}">
                                                          <a16:creationId xmlns:a16="http://schemas.microsoft.com/office/drawing/2014/main" id="{00000000-0008-0000-0300-0000AE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3" name="Text Box 56">
                                                      <a:extLst>
                                                        <a:ext uri="{FF2B5EF4-FFF2-40B4-BE49-F238E27FC236}">
                                                          <a16:creationId xmlns:a16="http://schemas.microsoft.com/office/drawing/2014/main" id="{00000000-0008-0000-0300-0000AF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424" name="Text Box 58">
                                                      <a:extLst>
                                                        <a:ext uri="{FF2B5EF4-FFF2-40B4-BE49-F238E27FC236}">
                                                          <a16:creationId xmlns:a16="http://schemas.microsoft.com/office/drawing/2014/main" id="{00000000-0008-0000-0300-0000B0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Évent</a:t>
                                                      </a:r>
                                                    </a:p>
                                                    <a:p>
                                                      <a:pPr algn="l" eaLnBrk="0" hangingPunct="0">
                                                        <a:defRPr/>
                                                      </a:pPr>
                                                      <a:endParaRPr lang="en-US" sz="900" b="1">
                                                        <a:solidFill>
                                                          <a:srgbClr val="000066"/>
                                                        </a:solidFill>
                                                        <a:latin typeface="Arial" charset="0"/>
                                                      </a:endParaRPr>
                                                    </a:p>
                                                  </xdr:txBody>
                                                </xdr:sp>
                                                <xdr:sp macro="" textlink="">
                                                  <xdr:nvSpPr>
                                                    <xdr:cNvPr id="181425" name="Line 59">
                                                      <a:extLst>
                                                        <a:ext uri="{FF2B5EF4-FFF2-40B4-BE49-F238E27FC236}">
                                                          <a16:creationId xmlns:a16="http://schemas.microsoft.com/office/drawing/2014/main" id="{00000000-0008-0000-0300-0000B1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26" name="Text Box 65">
                                                      <a:extLst>
                                                        <a:ext uri="{FF2B5EF4-FFF2-40B4-BE49-F238E27FC236}">
                                                          <a16:creationId xmlns:a16="http://schemas.microsoft.com/office/drawing/2014/main" id="{00000000-0008-0000-0300-0000B2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Dégazeur</a:t>
                                                      </a:r>
                                                    </a:p>
                                                  </xdr:txBody>
                                                </xdr:sp>
                                                <xdr:cxnSp macro="">
                                                  <xdr:nvCxnSpPr>
                                                    <xdr:cNvPr id="181427" name="AutoShape 73">
                                                      <a:extLst>
                                                        <a:ext uri="{FF2B5EF4-FFF2-40B4-BE49-F238E27FC236}">
                                                          <a16:creationId xmlns:a16="http://schemas.microsoft.com/office/drawing/2014/main" id="{00000000-0008-0000-0300-0000B3C40200}"/>
                                                        </a:ext>
                                                      </a:extLst>
                                                    </xdr:cNvPr>
                                                    <xdr:cNvCxnSpPr>
                                                      <a:cxnSpLocks noChangeShapeType="1"/>
                                                      <a:endCxn id="181467"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428" name="AutoShape 74">
                                                      <a:extLst>
                                                        <a:ext uri="{FF2B5EF4-FFF2-40B4-BE49-F238E27FC236}">
                                                          <a16:creationId xmlns:a16="http://schemas.microsoft.com/office/drawing/2014/main" id="{00000000-0008-0000-0300-0000B4C40200}"/>
                                                        </a:ext>
                                                      </a:extLst>
                                                    </xdr:cNvPr>
                                                    <xdr:cNvCxnSpPr>
                                                      <a:cxnSpLocks noChangeShapeType="1"/>
                                                      <a:stCxn id="181409"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429" name="Rectangle 181428">
                                                      <a:extLst>
                                                        <a:ext uri="{FF2B5EF4-FFF2-40B4-BE49-F238E27FC236}">
                                                          <a16:creationId xmlns:a16="http://schemas.microsoft.com/office/drawing/2014/main" id="{00000000-0008-0000-0300-0000B5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1</a:t>
                                                      </a:r>
                                                      <a:endParaRPr lang="en-US" sz="1800" b="1">
                                                        <a:solidFill>
                                                          <a:srgbClr val="000066"/>
                                                        </a:solidFill>
                                                        <a:latin typeface="Arial" charset="0"/>
                                                      </a:endParaRPr>
                                                    </a:p>
                                                  </xdr:txBody>
                                                </xdr:sp>
                                                <xdr:sp macro="" textlink="">
                                                  <xdr:nvSpPr>
                                                    <xdr:cNvPr id="181430" name="Line 78">
                                                      <a:extLst>
                                                        <a:ext uri="{FF2B5EF4-FFF2-40B4-BE49-F238E27FC236}">
                                                          <a16:creationId xmlns:a16="http://schemas.microsoft.com/office/drawing/2014/main" id="{00000000-0008-0000-0300-0000B6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33" name="Connecteur droit avec flèche 181432">
                                                      <a:extLst>
                                                        <a:ext uri="{FF2B5EF4-FFF2-40B4-BE49-F238E27FC236}">
                                                          <a16:creationId xmlns:a16="http://schemas.microsoft.com/office/drawing/2014/main" id="{00000000-0008-0000-0300-0000B9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4" name="Connecteur droit avec flèche 181433">
                                                      <a:extLst>
                                                        <a:ext uri="{FF2B5EF4-FFF2-40B4-BE49-F238E27FC236}">
                                                          <a16:creationId xmlns:a16="http://schemas.microsoft.com/office/drawing/2014/main" id="{00000000-0008-0000-0300-0000BA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35" name="Connecteur droit avec flèche 181434">
                                                      <a:extLst>
                                                        <a:ext uri="{FF2B5EF4-FFF2-40B4-BE49-F238E27FC236}">
                                                          <a16:creationId xmlns:a16="http://schemas.microsoft.com/office/drawing/2014/main" id="{00000000-0008-0000-0300-0000BB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437" name="irc_mi">
                                                      <a:extLst>
                                                        <a:ext uri="{FF2B5EF4-FFF2-40B4-BE49-F238E27FC236}">
                                                          <a16:creationId xmlns:a16="http://schemas.microsoft.com/office/drawing/2014/main" id="{00000000-0008-0000-0300-0000BD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438" name="Rectangle 181437">
                                                      <a:extLst>
                                                        <a:ext uri="{FF2B5EF4-FFF2-40B4-BE49-F238E27FC236}">
                                                          <a16:creationId xmlns:a16="http://schemas.microsoft.com/office/drawing/2014/main" id="{00000000-0008-0000-0300-0000BE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181393" name="Groupe 181392">
                                        <a:extLst>
                                          <a:ext uri="{FF2B5EF4-FFF2-40B4-BE49-F238E27FC236}">
                                            <a16:creationId xmlns:a16="http://schemas.microsoft.com/office/drawing/2014/main" id="{00000000-0008-0000-0300-000091C40200}"/>
                                          </a:ext>
                                        </a:extLst>
                                      </xdr:cNvPr>
                                      <xdr:cNvGrpSpPr/>
                                    </xdr:nvGrpSpPr>
                                    <xdr:grpSpPr>
                                      <a:xfrm>
                                        <a:off x="5570222" y="2231964"/>
                                        <a:ext cx="1408798" cy="585733"/>
                                        <a:chOff x="5570222" y="2231994"/>
                                        <a:chExt cx="1412984" cy="579660"/>
                                      </a:xfrm>
                                    </xdr:grpSpPr>
                                    <xdr:sp macro="" textlink="">
                                      <xdr:nvSpPr>
                                        <xdr:cNvPr id="181394" name="Line 50">
                                          <a:extLst>
                                            <a:ext uri="{FF2B5EF4-FFF2-40B4-BE49-F238E27FC236}">
                                              <a16:creationId xmlns:a16="http://schemas.microsoft.com/office/drawing/2014/main" id="{00000000-0008-0000-0300-000092C402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95" name="Connecteur en angle 371">
                                          <a:extLst>
                                            <a:ext uri="{FF2B5EF4-FFF2-40B4-BE49-F238E27FC236}">
                                              <a16:creationId xmlns:a16="http://schemas.microsoft.com/office/drawing/2014/main" id="{00000000-0008-0000-0300-000093C402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81390" name="ZoneTexte 62">
                                      <a:extLst>
                                        <a:ext uri="{FF2B5EF4-FFF2-40B4-BE49-F238E27FC236}">
                                          <a16:creationId xmlns:a16="http://schemas.microsoft.com/office/drawing/2014/main" id="{00000000-0008-0000-0300-00008EC402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Perte de vapeur</a:t>
                                      </a:r>
                                    </a:p>
                                  </xdr:txBody>
                                </xdr:sp>
                                <xdr:sp macro="" textlink="">
                                  <xdr:nvSpPr>
                                    <xdr:cNvPr id="181391" name="ZoneTexte 62">
                                      <a:extLst>
                                        <a:ext uri="{FF2B5EF4-FFF2-40B4-BE49-F238E27FC236}">
                                          <a16:creationId xmlns:a16="http://schemas.microsoft.com/office/drawing/2014/main" id="{00000000-0008-0000-0300-00008FC4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sp macro="" textlink="">
                            <xdr:nvSpPr>
                              <xdr:cNvPr id="181384" name="ZoneTexte 62">
                                <a:extLst>
                                  <a:ext uri="{FF2B5EF4-FFF2-40B4-BE49-F238E27FC236}">
                                    <a16:creationId xmlns:a16="http://schemas.microsoft.com/office/drawing/2014/main" id="{00000000-0008-0000-0300-000088C402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Retour</a:t>
                                </a:r>
                                <a:r>
                                  <a:rPr lang="fr-CA" sz="1100" baseline="0">
                                    <a:latin typeface="+mn-lt"/>
                                    <a:cs typeface="Arial" pitchFamily="34" charset="0"/>
                                  </a:rPr>
                                  <a:t> total du condensat</a:t>
                                </a:r>
                                <a:endParaRPr lang="fr-CA" sz="1100">
                                  <a:latin typeface="+mn-lt"/>
                                  <a:cs typeface="Arial" pitchFamily="34" charset="0"/>
                                </a:endParaRPr>
                              </a:p>
                            </xdr:txBody>
                          </xdr:sp>
                        </xdr:grpSp>
                      </xdr:grpSp>
                    </xdr:grpSp>
                  </xdr:grpSp>
                  <xdr:cxnSp macro="">
                    <xdr:nvCxnSpPr>
                      <xdr:cNvPr id="181376" name="AutoShape 73">
                        <a:extLst>
                          <a:ext uri="{FF2B5EF4-FFF2-40B4-BE49-F238E27FC236}">
                            <a16:creationId xmlns:a16="http://schemas.microsoft.com/office/drawing/2014/main" id="{00000000-0008-0000-0300-000080C40200}"/>
                          </a:ext>
                        </a:extLst>
                      </xdr:cNvPr>
                      <xdr:cNvCxnSpPr>
                        <a:cxnSpLocks noChangeShapeType="1"/>
                        <a:stCxn id="181409"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16" name="Groupe 15">
                    <a:extLst>
                      <a:ext uri="{FF2B5EF4-FFF2-40B4-BE49-F238E27FC236}">
                        <a16:creationId xmlns:a16="http://schemas.microsoft.com/office/drawing/2014/main" id="{00000000-0008-0000-0300-000010000000}"/>
                      </a:ext>
                    </a:extLst>
                  </xdr:cNvPr>
                  <xdr:cNvGrpSpPr/>
                </xdr:nvGrpSpPr>
                <xdr:grpSpPr>
                  <a:xfrm>
                    <a:off x="2373290" y="8841442"/>
                    <a:ext cx="8479738" cy="762382"/>
                    <a:chOff x="2373290" y="8841442"/>
                    <a:chExt cx="8479738" cy="762382"/>
                  </a:xfrm>
                </xdr:grpSpPr>
                <xdr:sp macro="" textlink="">
                  <xdr:nvSpPr>
                    <xdr:cNvPr id="13" name="Line 13">
                      <a:extLst>
                        <a:ext uri="{FF2B5EF4-FFF2-40B4-BE49-F238E27FC236}">
                          <a16:creationId xmlns:a16="http://schemas.microsoft.com/office/drawing/2014/main" id="{00000000-0008-0000-0300-00000D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4" name="Nuage 13">
                      <a:extLst>
                        <a:ext uri="{FF2B5EF4-FFF2-40B4-BE49-F238E27FC236}">
                          <a16:creationId xmlns:a16="http://schemas.microsoft.com/office/drawing/2014/main" id="{00000000-0008-0000-0300-00000E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5" name="Text Box 61">
                      <a:extLst>
                        <a:ext uri="{FF2B5EF4-FFF2-40B4-BE49-F238E27FC236}">
                          <a16:creationId xmlns:a16="http://schemas.microsoft.com/office/drawing/2014/main" id="{00000000-0008-0000-0300-00000F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Vapeur pour utilisation "X"</a:t>
                      </a:r>
                    </a:p>
                  </xdr:txBody>
                </xdr:sp>
              </xdr:grpSp>
            </xdr:grpSp>
          </xdr:grpSp>
          <xdr:sp macro="" textlink="">
            <xdr:nvSpPr>
              <xdr:cNvPr id="19" name="Line 59">
                <a:extLst>
                  <a:ext uri="{FF2B5EF4-FFF2-40B4-BE49-F238E27FC236}">
                    <a16:creationId xmlns:a16="http://schemas.microsoft.com/office/drawing/2014/main" id="{00000000-0008-0000-0300-00001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1" name="Rectangle 20">
              <a:extLst>
                <a:ext uri="{FF2B5EF4-FFF2-40B4-BE49-F238E27FC236}">
                  <a16:creationId xmlns:a16="http://schemas.microsoft.com/office/drawing/2014/main" id="{00000000-0008-0000-0300-000015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3" name="ZoneTexte 22">
            <a:extLst>
              <a:ext uri="{FF2B5EF4-FFF2-40B4-BE49-F238E27FC236}">
                <a16:creationId xmlns:a16="http://schemas.microsoft.com/office/drawing/2014/main" id="{00000000-0008-0000-0300-000017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RÉSEAU DE VAPEUR Nº1</a:t>
            </a:r>
          </a:p>
        </xdr:txBody>
      </xdr:sp>
    </xdr:grpSp>
    <xdr:clientData/>
  </xdr:twoCellAnchor>
  <xdr:twoCellAnchor>
    <xdr:from>
      <xdr:col>9</xdr:col>
      <xdr:colOff>485378</xdr:colOff>
      <xdr:row>43</xdr:row>
      <xdr:rowOff>58752</xdr:rowOff>
    </xdr:from>
    <xdr:to>
      <xdr:col>24</xdr:col>
      <xdr:colOff>104376</xdr:colOff>
      <xdr:row>76</xdr:row>
      <xdr:rowOff>47546</xdr:rowOff>
    </xdr:to>
    <xdr:grpSp>
      <xdr:nvGrpSpPr>
        <xdr:cNvPr id="25" name="Groupe 24">
          <a:extLst>
            <a:ext uri="{FF2B5EF4-FFF2-40B4-BE49-F238E27FC236}">
              <a16:creationId xmlns:a16="http://schemas.microsoft.com/office/drawing/2014/main" id="{00000000-0008-0000-0300-000019000000}"/>
            </a:ext>
          </a:extLst>
        </xdr:cNvPr>
        <xdr:cNvGrpSpPr/>
      </xdr:nvGrpSpPr>
      <xdr:grpSpPr>
        <a:xfrm>
          <a:off x="12753578" y="8583627"/>
          <a:ext cx="12220573" cy="6332444"/>
          <a:chOff x="468605" y="8550089"/>
          <a:chExt cx="14311955" cy="7519147"/>
        </a:xfrm>
      </xdr:grpSpPr>
      <xdr:grpSp>
        <xdr:nvGrpSpPr>
          <xdr:cNvPr id="26" name="Groupe 25">
            <a:extLst>
              <a:ext uri="{FF2B5EF4-FFF2-40B4-BE49-F238E27FC236}">
                <a16:creationId xmlns:a16="http://schemas.microsoft.com/office/drawing/2014/main" id="{00000000-0008-0000-0300-00001A000000}"/>
              </a:ext>
            </a:extLst>
          </xdr:cNvPr>
          <xdr:cNvGrpSpPr/>
        </xdr:nvGrpSpPr>
        <xdr:grpSpPr>
          <a:xfrm>
            <a:off x="468605" y="8550089"/>
            <a:ext cx="14311955" cy="7519147"/>
            <a:chOff x="300516" y="8090647"/>
            <a:chExt cx="14311955" cy="7519147"/>
          </a:xfrm>
        </xdr:grpSpPr>
        <xdr:grpSp>
          <xdr:nvGrpSpPr>
            <xdr:cNvPr id="28" name="Groupe 27">
              <a:extLst>
                <a:ext uri="{FF2B5EF4-FFF2-40B4-BE49-F238E27FC236}">
                  <a16:creationId xmlns:a16="http://schemas.microsoft.com/office/drawing/2014/main" id="{00000000-0008-0000-0300-00001C000000}"/>
                </a:ext>
              </a:extLst>
            </xdr:cNvPr>
            <xdr:cNvGrpSpPr/>
          </xdr:nvGrpSpPr>
          <xdr:grpSpPr>
            <a:xfrm>
              <a:off x="300516" y="8157884"/>
              <a:ext cx="13942161" cy="7295028"/>
              <a:chOff x="300516" y="8157884"/>
              <a:chExt cx="13942161" cy="7295028"/>
            </a:xfrm>
          </xdr:grpSpPr>
          <xdr:grpSp>
            <xdr:nvGrpSpPr>
              <xdr:cNvPr id="30" name="Groupe 29">
                <a:extLst>
                  <a:ext uri="{FF2B5EF4-FFF2-40B4-BE49-F238E27FC236}">
                    <a16:creationId xmlns:a16="http://schemas.microsoft.com/office/drawing/2014/main" id="{00000000-0008-0000-0300-00001E000000}"/>
                  </a:ext>
                </a:extLst>
              </xdr:cNvPr>
              <xdr:cNvGrpSpPr/>
            </xdr:nvGrpSpPr>
            <xdr:grpSpPr>
              <a:xfrm>
                <a:off x="300516" y="8157884"/>
                <a:ext cx="13942161" cy="7295028"/>
                <a:chOff x="535839" y="8841442"/>
                <a:chExt cx="13942161" cy="7295028"/>
              </a:xfrm>
            </xdr:grpSpPr>
            <xdr:sp macro="" textlink="">
              <xdr:nvSpPr>
                <xdr:cNvPr id="32" name="Line 13">
                  <a:extLst>
                    <a:ext uri="{FF2B5EF4-FFF2-40B4-BE49-F238E27FC236}">
                      <a16:creationId xmlns:a16="http://schemas.microsoft.com/office/drawing/2014/main" id="{00000000-0008-0000-0300-00002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33" name="Groupe 32">
                  <a:extLst>
                    <a:ext uri="{FF2B5EF4-FFF2-40B4-BE49-F238E27FC236}">
                      <a16:creationId xmlns:a16="http://schemas.microsoft.com/office/drawing/2014/main" id="{00000000-0008-0000-0300-000021000000}"/>
                    </a:ext>
                  </a:extLst>
                </xdr:cNvPr>
                <xdr:cNvGrpSpPr/>
              </xdr:nvGrpSpPr>
              <xdr:grpSpPr>
                <a:xfrm>
                  <a:off x="535839" y="8841442"/>
                  <a:ext cx="13942161" cy="7295028"/>
                  <a:chOff x="535839" y="8841442"/>
                  <a:chExt cx="13942161" cy="7295028"/>
                </a:xfrm>
              </xdr:grpSpPr>
              <xdr:grpSp>
                <xdr:nvGrpSpPr>
                  <xdr:cNvPr id="34" name="Groupe 33">
                    <a:extLst>
                      <a:ext uri="{FF2B5EF4-FFF2-40B4-BE49-F238E27FC236}">
                        <a16:creationId xmlns:a16="http://schemas.microsoft.com/office/drawing/2014/main" id="{00000000-0008-0000-0300-000022000000}"/>
                      </a:ext>
                    </a:extLst>
                  </xdr:cNvPr>
                  <xdr:cNvGrpSpPr/>
                </xdr:nvGrpSpPr>
                <xdr:grpSpPr>
                  <a:xfrm>
                    <a:off x="535839" y="9177618"/>
                    <a:ext cx="13942161" cy="6958852"/>
                    <a:chOff x="222659" y="-148084"/>
                    <a:chExt cx="11865713" cy="5382334"/>
                  </a:xfrm>
                </xdr:grpSpPr>
                <xdr:sp macro="" textlink="">
                  <xdr:nvSpPr>
                    <xdr:cNvPr id="41" name="Line 44">
                      <a:extLst>
                        <a:ext uri="{FF2B5EF4-FFF2-40B4-BE49-F238E27FC236}">
                          <a16:creationId xmlns:a16="http://schemas.microsoft.com/office/drawing/2014/main" id="{00000000-0008-0000-0300-000029000000}"/>
                        </a:ext>
                      </a:extLst>
                    </xdr:cNvPr>
                    <xdr:cNvSpPr>
                      <a:spLocks noChangeShapeType="1"/>
                    </xdr:cNvSpPr>
                  </xdr:nvSpPr>
                  <xdr:spPr bwMode="auto">
                    <a:xfrm>
                      <a:off x="8451652" y="1397183"/>
                      <a:ext cx="10746" cy="99218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42" name="Groupe 41">
                      <a:extLst>
                        <a:ext uri="{FF2B5EF4-FFF2-40B4-BE49-F238E27FC236}">
                          <a16:creationId xmlns:a16="http://schemas.microsoft.com/office/drawing/2014/main" id="{00000000-0008-0000-0300-00002A000000}"/>
                        </a:ext>
                      </a:extLst>
                    </xdr:cNvPr>
                    <xdr:cNvGrpSpPr/>
                  </xdr:nvGrpSpPr>
                  <xdr:grpSpPr>
                    <a:xfrm>
                      <a:off x="222659" y="-148084"/>
                      <a:ext cx="11865713" cy="5382334"/>
                      <a:chOff x="222659" y="-148084"/>
                      <a:chExt cx="11865713" cy="5382334"/>
                    </a:xfrm>
                  </xdr:grpSpPr>
                  <xdr:grpSp>
                    <xdr:nvGrpSpPr>
                      <xdr:cNvPr id="43" name="Groupe 42">
                        <a:extLst>
                          <a:ext uri="{FF2B5EF4-FFF2-40B4-BE49-F238E27FC236}">
                            <a16:creationId xmlns:a16="http://schemas.microsoft.com/office/drawing/2014/main" id="{00000000-0008-0000-0300-00002B000000}"/>
                          </a:ext>
                        </a:extLst>
                      </xdr:cNvPr>
                      <xdr:cNvGrpSpPr/>
                    </xdr:nvGrpSpPr>
                    <xdr:grpSpPr>
                      <a:xfrm>
                        <a:off x="222659" y="-148084"/>
                        <a:ext cx="11865713" cy="5382331"/>
                        <a:chOff x="222659" y="-148084"/>
                        <a:chExt cx="11865713" cy="5382331"/>
                      </a:xfrm>
                    </xdr:grpSpPr>
                    <xdr:grpSp>
                      <xdr:nvGrpSpPr>
                        <xdr:cNvPr id="45" name="Groupe 44">
                          <a:extLst>
                            <a:ext uri="{FF2B5EF4-FFF2-40B4-BE49-F238E27FC236}">
                              <a16:creationId xmlns:a16="http://schemas.microsoft.com/office/drawing/2014/main" id="{00000000-0008-0000-0300-00002D000000}"/>
                            </a:ext>
                          </a:extLst>
                        </xdr:cNvPr>
                        <xdr:cNvGrpSpPr/>
                      </xdr:nvGrpSpPr>
                      <xdr:grpSpPr>
                        <a:xfrm>
                          <a:off x="222659" y="442739"/>
                          <a:ext cx="8221381" cy="4640366"/>
                          <a:chOff x="66217" y="257175"/>
                          <a:chExt cx="12210937" cy="6354582"/>
                        </a:xfrm>
                      </xdr:grpSpPr>
                      <xdr:sp macro="" textlink="">
                        <xdr:nvSpPr>
                          <xdr:cNvPr id="181367" name="Text Box 60">
                            <a:extLst>
                              <a:ext uri="{FF2B5EF4-FFF2-40B4-BE49-F238E27FC236}">
                                <a16:creationId xmlns:a16="http://schemas.microsoft.com/office/drawing/2014/main" id="{00000000-0008-0000-0300-000077C402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181368" name="Groupe 181367">
                            <a:extLst>
                              <a:ext uri="{FF2B5EF4-FFF2-40B4-BE49-F238E27FC236}">
                                <a16:creationId xmlns:a16="http://schemas.microsoft.com/office/drawing/2014/main" id="{00000000-0008-0000-0300-000078C40200}"/>
                              </a:ext>
                            </a:extLst>
                          </xdr:cNvPr>
                          <xdr:cNvGrpSpPr/>
                        </xdr:nvGrpSpPr>
                        <xdr:grpSpPr>
                          <a:xfrm>
                            <a:off x="66217" y="257175"/>
                            <a:ext cx="12210937" cy="6354582"/>
                            <a:chOff x="66217" y="257175"/>
                            <a:chExt cx="12210937" cy="6354582"/>
                          </a:xfrm>
                        </xdr:grpSpPr>
                        <xdr:sp macro="" textlink="">
                          <xdr:nvSpPr>
                            <xdr:cNvPr id="181369" name="ZoneTexte 92">
                              <a:extLst>
                                <a:ext uri="{FF2B5EF4-FFF2-40B4-BE49-F238E27FC236}">
                                  <a16:creationId xmlns:a16="http://schemas.microsoft.com/office/drawing/2014/main" id="{00000000-0008-0000-0300-000079C402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181370" name="Groupe 181369">
                              <a:extLst>
                                <a:ext uri="{FF2B5EF4-FFF2-40B4-BE49-F238E27FC236}">
                                  <a16:creationId xmlns:a16="http://schemas.microsoft.com/office/drawing/2014/main" id="{00000000-0008-0000-0300-00007AC40200}"/>
                                </a:ext>
                              </a:extLst>
                            </xdr:cNvPr>
                            <xdr:cNvGrpSpPr/>
                          </xdr:nvGrpSpPr>
                          <xdr:grpSpPr>
                            <a:xfrm>
                              <a:off x="1181096" y="257175"/>
                              <a:ext cx="11096058" cy="6354582"/>
                              <a:chOff x="1181096" y="257175"/>
                              <a:chExt cx="11096058" cy="6354582"/>
                            </a:xfrm>
                          </xdr:grpSpPr>
                          <xdr:sp macro="" textlink="">
                            <xdr:nvSpPr>
                              <xdr:cNvPr id="181371" name="ZoneTexte 62">
                                <a:extLst>
                                  <a:ext uri="{FF2B5EF4-FFF2-40B4-BE49-F238E27FC236}">
                                    <a16:creationId xmlns:a16="http://schemas.microsoft.com/office/drawing/2014/main" id="{00000000-0008-0000-0300-00007BC40200}"/>
                                  </a:ext>
                                </a:extLst>
                              </xdr:cNvPr>
                              <xdr:cNvSpPr txBox="1"/>
                            </xdr:nvSpPr>
                            <xdr:spPr>
                              <a:xfrm>
                                <a:off x="2826188" y="1539407"/>
                                <a:ext cx="1025337"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181436" name="Groupe 181435">
                                <a:extLst>
                                  <a:ext uri="{FF2B5EF4-FFF2-40B4-BE49-F238E27FC236}">
                                    <a16:creationId xmlns:a16="http://schemas.microsoft.com/office/drawing/2014/main" id="{00000000-0008-0000-0300-0000BCC40200}"/>
                                  </a:ext>
                                </a:extLst>
                              </xdr:cNvPr>
                              <xdr:cNvGrpSpPr/>
                            </xdr:nvGrpSpPr>
                            <xdr:grpSpPr>
                              <a:xfrm>
                                <a:off x="1181096" y="257175"/>
                                <a:ext cx="11096058" cy="6354582"/>
                                <a:chOff x="1181096" y="257175"/>
                                <a:chExt cx="11096058" cy="6354582"/>
                              </a:xfrm>
                            </xdr:grpSpPr>
                            <xdr:grpSp>
                              <xdr:nvGrpSpPr>
                                <xdr:cNvPr id="181504" name="Groupe 181503">
                                  <a:extLst>
                                    <a:ext uri="{FF2B5EF4-FFF2-40B4-BE49-F238E27FC236}">
                                      <a16:creationId xmlns:a16="http://schemas.microsoft.com/office/drawing/2014/main" id="{00000000-0008-0000-0300-000000C50200}"/>
                                    </a:ext>
                                  </a:extLst>
                                </xdr:cNvPr>
                                <xdr:cNvGrpSpPr/>
                              </xdr:nvGrpSpPr>
                              <xdr:grpSpPr>
                                <a:xfrm>
                                  <a:off x="1181096" y="278971"/>
                                  <a:ext cx="11096058" cy="6332786"/>
                                  <a:chOff x="1181100" y="238066"/>
                                  <a:chExt cx="7438514" cy="5404214"/>
                                </a:xfrm>
                              </xdr:grpSpPr>
                              <xdr:sp macro="" textlink="">
                                <xdr:nvSpPr>
                                  <xdr:cNvPr id="181506" name="Text Box 60">
                                    <a:extLst>
                                      <a:ext uri="{FF2B5EF4-FFF2-40B4-BE49-F238E27FC236}">
                                        <a16:creationId xmlns:a16="http://schemas.microsoft.com/office/drawing/2014/main" id="{00000000-0008-0000-0300-000002C5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507" name="Groupe 181506">
                                    <a:extLst>
                                      <a:ext uri="{FF2B5EF4-FFF2-40B4-BE49-F238E27FC236}">
                                        <a16:creationId xmlns:a16="http://schemas.microsoft.com/office/drawing/2014/main" id="{00000000-0008-0000-0300-000003C50200}"/>
                                      </a:ext>
                                    </a:extLst>
                                  </xdr:cNvPr>
                                  <xdr:cNvGrpSpPr/>
                                </xdr:nvGrpSpPr>
                                <xdr:grpSpPr>
                                  <a:xfrm>
                                    <a:off x="1181100" y="511879"/>
                                    <a:ext cx="7438514" cy="5130401"/>
                                    <a:chOff x="1181100" y="511879"/>
                                    <a:chExt cx="7438514" cy="5130401"/>
                                  </a:xfrm>
                                </xdr:grpSpPr>
                                <xdr:sp macro="" textlink="">
                                  <xdr:nvSpPr>
                                    <xdr:cNvPr id="181508" name="Line 77">
                                      <a:extLst>
                                        <a:ext uri="{FF2B5EF4-FFF2-40B4-BE49-F238E27FC236}">
                                          <a16:creationId xmlns:a16="http://schemas.microsoft.com/office/drawing/2014/main" id="{00000000-0008-0000-0300-000004C5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509" name="Groupe 181508">
                                      <a:extLst>
                                        <a:ext uri="{FF2B5EF4-FFF2-40B4-BE49-F238E27FC236}">
                                          <a16:creationId xmlns:a16="http://schemas.microsoft.com/office/drawing/2014/main" id="{00000000-0008-0000-0300-000005C50200}"/>
                                        </a:ext>
                                      </a:extLst>
                                    </xdr:cNvPr>
                                    <xdr:cNvGrpSpPr/>
                                  </xdr:nvGrpSpPr>
                                  <xdr:grpSpPr>
                                    <a:xfrm>
                                      <a:off x="1181100" y="511879"/>
                                      <a:ext cx="7438514" cy="5130401"/>
                                      <a:chOff x="1181100" y="511879"/>
                                      <a:chExt cx="7438514" cy="5130401"/>
                                    </a:xfrm>
                                  </xdr:grpSpPr>
                                  <xdr:sp macro="" textlink="">
                                    <xdr:nvSpPr>
                                      <xdr:cNvPr id="181510" name="Text Box 62">
                                        <a:extLst>
                                          <a:ext uri="{FF2B5EF4-FFF2-40B4-BE49-F238E27FC236}">
                                            <a16:creationId xmlns:a16="http://schemas.microsoft.com/office/drawing/2014/main" id="{00000000-0008-0000-0300-000006C502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511" name="Groupe 181510">
                                        <a:extLst>
                                          <a:ext uri="{FF2B5EF4-FFF2-40B4-BE49-F238E27FC236}">
                                            <a16:creationId xmlns:a16="http://schemas.microsoft.com/office/drawing/2014/main" id="{00000000-0008-0000-0300-000007C50200}"/>
                                          </a:ext>
                                        </a:extLst>
                                      </xdr:cNvPr>
                                      <xdr:cNvGrpSpPr/>
                                    </xdr:nvGrpSpPr>
                                    <xdr:grpSpPr>
                                      <a:xfrm>
                                        <a:off x="1181100" y="511879"/>
                                        <a:ext cx="7438514" cy="5130401"/>
                                        <a:chOff x="1181100" y="511879"/>
                                        <a:chExt cx="7438514" cy="5130401"/>
                                      </a:xfrm>
                                    </xdr:grpSpPr>
                                    <xdr:sp macro="" textlink="">
                                      <xdr:nvSpPr>
                                        <xdr:cNvPr id="181512" name="Text Box 54">
                                          <a:extLst>
                                            <a:ext uri="{FF2B5EF4-FFF2-40B4-BE49-F238E27FC236}">
                                              <a16:creationId xmlns:a16="http://schemas.microsoft.com/office/drawing/2014/main" id="{00000000-0008-0000-0300-000008C5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513" name="Groupe 181512">
                                          <a:extLst>
                                            <a:ext uri="{FF2B5EF4-FFF2-40B4-BE49-F238E27FC236}">
                                              <a16:creationId xmlns:a16="http://schemas.microsoft.com/office/drawing/2014/main" id="{00000000-0008-0000-0300-000009C50200}"/>
                                            </a:ext>
                                          </a:extLst>
                                        </xdr:cNvPr>
                                        <xdr:cNvGrpSpPr/>
                                      </xdr:nvGrpSpPr>
                                      <xdr:grpSpPr>
                                        <a:xfrm>
                                          <a:off x="1181100" y="511879"/>
                                          <a:ext cx="7438514" cy="4718297"/>
                                          <a:chOff x="1181100" y="511879"/>
                                          <a:chExt cx="7438514" cy="4718297"/>
                                        </a:xfrm>
                                      </xdr:grpSpPr>
                                      <xdr:sp macro="" textlink="">
                                        <xdr:nvSpPr>
                                          <xdr:cNvPr id="181514" name="Line 21">
                                            <a:extLst>
                                              <a:ext uri="{FF2B5EF4-FFF2-40B4-BE49-F238E27FC236}">
                                                <a16:creationId xmlns:a16="http://schemas.microsoft.com/office/drawing/2014/main" id="{00000000-0008-0000-0300-00000AC50200}"/>
                                              </a:ext>
                                            </a:extLst>
                                          </xdr:cNvPr>
                                          <xdr:cNvSpPr>
                                            <a:spLocks noChangeShapeType="1"/>
                                          </xdr:cNvSpPr>
                                        </xdr:nvSpPr>
                                        <xdr:spPr bwMode="auto">
                                          <a:xfrm>
                                            <a:off x="2022452" y="1334845"/>
                                            <a:ext cx="6597162" cy="14013"/>
                                          </a:xfrm>
                                          <a:prstGeom prst="line">
                                            <a:avLst/>
                                          </a:prstGeom>
                                          <a:noFill/>
                                          <a:ln w="28575">
                                            <a:solidFill>
                                              <a:srgbClr val="000066"/>
                                            </a:solidFill>
                                            <a:round/>
                                            <a:headEnd/>
                                            <a:tailEnd type="non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15" name="Connecteur droit avec flèche 181514">
                                            <a:extLst>
                                              <a:ext uri="{FF2B5EF4-FFF2-40B4-BE49-F238E27FC236}">
                                                <a16:creationId xmlns:a16="http://schemas.microsoft.com/office/drawing/2014/main" id="{00000000-0008-0000-0300-00000BC502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6" name="Connecteur droit avec flèche 181515">
                                            <a:extLst>
                                              <a:ext uri="{FF2B5EF4-FFF2-40B4-BE49-F238E27FC236}">
                                                <a16:creationId xmlns:a16="http://schemas.microsoft.com/office/drawing/2014/main" id="{00000000-0008-0000-0300-00000CC5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7" name="Connecteur droit avec flèche 181516">
                                            <a:extLst>
                                              <a:ext uri="{FF2B5EF4-FFF2-40B4-BE49-F238E27FC236}">
                                                <a16:creationId xmlns:a16="http://schemas.microsoft.com/office/drawing/2014/main" id="{00000000-0008-0000-0300-00000DC5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518" name="Connecteur droit avec flèche 181517">
                                            <a:extLst>
                                              <a:ext uri="{FF2B5EF4-FFF2-40B4-BE49-F238E27FC236}">
                                                <a16:creationId xmlns:a16="http://schemas.microsoft.com/office/drawing/2014/main" id="{00000000-0008-0000-0300-00000EC5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19" name="Rectangle 181518">
                                            <a:extLst>
                                              <a:ext uri="{FF2B5EF4-FFF2-40B4-BE49-F238E27FC236}">
                                                <a16:creationId xmlns:a16="http://schemas.microsoft.com/office/drawing/2014/main" id="{00000000-0008-0000-0300-00000FC5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520" name="Oval 24">
                                            <a:extLst>
                                              <a:ext uri="{FF2B5EF4-FFF2-40B4-BE49-F238E27FC236}">
                                                <a16:creationId xmlns:a16="http://schemas.microsoft.com/office/drawing/2014/main" id="{00000000-0008-0000-0300-000010C5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1" name="Oval 25">
                                            <a:extLst>
                                              <a:ext uri="{FF2B5EF4-FFF2-40B4-BE49-F238E27FC236}">
                                                <a16:creationId xmlns:a16="http://schemas.microsoft.com/office/drawing/2014/main" id="{00000000-0008-0000-0300-000011C5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2" name="Line 43">
                                            <a:extLst>
                                              <a:ext uri="{FF2B5EF4-FFF2-40B4-BE49-F238E27FC236}">
                                                <a16:creationId xmlns:a16="http://schemas.microsoft.com/office/drawing/2014/main" id="{00000000-0008-0000-0300-000012C5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3" name="Line 44">
                                            <a:extLst>
                                              <a:ext uri="{FF2B5EF4-FFF2-40B4-BE49-F238E27FC236}">
                                                <a16:creationId xmlns:a16="http://schemas.microsoft.com/office/drawing/2014/main" id="{00000000-0008-0000-0300-000013C5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4" name="Text Box 56">
                                            <a:extLst>
                                              <a:ext uri="{FF2B5EF4-FFF2-40B4-BE49-F238E27FC236}">
                                                <a16:creationId xmlns:a16="http://schemas.microsoft.com/office/drawing/2014/main" id="{00000000-0008-0000-0300-000014C5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525" name="Line 59">
                                            <a:extLst>
                                              <a:ext uri="{FF2B5EF4-FFF2-40B4-BE49-F238E27FC236}">
                                                <a16:creationId xmlns:a16="http://schemas.microsoft.com/office/drawing/2014/main" id="{00000000-0008-0000-0300-000015C5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6" name="Rectangle 181525">
                                            <a:extLst>
                                              <a:ext uri="{FF2B5EF4-FFF2-40B4-BE49-F238E27FC236}">
                                                <a16:creationId xmlns:a16="http://schemas.microsoft.com/office/drawing/2014/main" id="{00000000-0008-0000-0300-000016C502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27" name="Line 78">
                                            <a:extLst>
                                              <a:ext uri="{FF2B5EF4-FFF2-40B4-BE49-F238E27FC236}">
                                                <a16:creationId xmlns:a16="http://schemas.microsoft.com/office/drawing/2014/main" id="{00000000-0008-0000-0300-000017C5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528" name="Connecteur droit avec flèche 181527">
                                            <a:extLst>
                                              <a:ext uri="{FF2B5EF4-FFF2-40B4-BE49-F238E27FC236}">
                                                <a16:creationId xmlns:a16="http://schemas.microsoft.com/office/drawing/2014/main" id="{00000000-0008-0000-0300-000018C502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29" name="Rectangle 181528">
                                            <a:extLst>
                                              <a:ext uri="{FF2B5EF4-FFF2-40B4-BE49-F238E27FC236}">
                                                <a16:creationId xmlns:a16="http://schemas.microsoft.com/office/drawing/2014/main" id="{00000000-0008-0000-0300-000019C5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3</a:t>
                                            </a:r>
                                            <a:endParaRPr lang="en-US" sz="1800" b="1">
                                              <a:solidFill>
                                                <a:srgbClr val="000066"/>
                                              </a:solidFill>
                                              <a:latin typeface="Arial" charset="0"/>
                                            </a:endParaRPr>
                                          </a:p>
                                        </xdr:txBody>
                                      </xdr:sp>
                                      <xdr:cxnSp macro="">
                                        <xdr:nvCxnSpPr>
                                          <xdr:cNvPr id="181530" name="Connecteur droit avec flèche 181529">
                                            <a:extLst>
                                              <a:ext uri="{FF2B5EF4-FFF2-40B4-BE49-F238E27FC236}">
                                                <a16:creationId xmlns:a16="http://schemas.microsoft.com/office/drawing/2014/main" id="{00000000-0008-0000-0300-00001AC5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531" name="irc_mi">
                                            <a:extLst>
                                              <a:ext uri="{FF2B5EF4-FFF2-40B4-BE49-F238E27FC236}">
                                                <a16:creationId xmlns:a16="http://schemas.microsoft.com/office/drawing/2014/main" id="{00000000-0008-0000-0300-00001BC5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181505" name="ZoneTexte 62">
                                  <a:extLst>
                                    <a:ext uri="{FF2B5EF4-FFF2-40B4-BE49-F238E27FC236}">
                                      <a16:creationId xmlns:a16="http://schemas.microsoft.com/office/drawing/2014/main" id="{00000000-0008-0000-0300-000001C502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grpSp>
                    <xdr:grpSp>
                      <xdr:nvGrpSpPr>
                        <xdr:cNvPr id="46" name="Groupe 45">
                          <a:extLst>
                            <a:ext uri="{FF2B5EF4-FFF2-40B4-BE49-F238E27FC236}">
                              <a16:creationId xmlns:a16="http://schemas.microsoft.com/office/drawing/2014/main" id="{00000000-0008-0000-0300-00002E000000}"/>
                            </a:ext>
                          </a:extLst>
                        </xdr:cNvPr>
                        <xdr:cNvGrpSpPr/>
                      </xdr:nvGrpSpPr>
                      <xdr:grpSpPr>
                        <a:xfrm>
                          <a:off x="3344431" y="-148084"/>
                          <a:ext cx="8743941" cy="5382331"/>
                          <a:chOff x="-2311340" y="-594116"/>
                          <a:chExt cx="12987061" cy="7370643"/>
                        </a:xfrm>
                      </xdr:grpSpPr>
                      <xdr:sp macro="" textlink="">
                        <xdr:nvSpPr>
                          <xdr:cNvPr id="47" name="Text Box 60">
                            <a:extLst>
                              <a:ext uri="{FF2B5EF4-FFF2-40B4-BE49-F238E27FC236}">
                                <a16:creationId xmlns:a16="http://schemas.microsoft.com/office/drawing/2014/main" id="{00000000-0008-0000-0300-00002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Gaz</a:t>
                            </a:r>
                            <a:r>
                              <a:rPr lang="en-US" sz="1200" b="1" baseline="0">
                                <a:solidFill>
                                  <a:srgbClr val="000066"/>
                                </a:solidFill>
                                <a:latin typeface="Arial" charset="0"/>
                              </a:rPr>
                              <a:t> naturel</a:t>
                            </a:r>
                            <a:endParaRPr lang="en-US" sz="1200" b="1">
                              <a:solidFill>
                                <a:srgbClr val="000066"/>
                              </a:solidFill>
                              <a:latin typeface="Arial" charset="0"/>
                            </a:endParaRPr>
                          </a:p>
                        </xdr:txBody>
                      </xdr:sp>
                      <xdr:grpSp>
                        <xdr:nvGrpSpPr>
                          <xdr:cNvPr id="48" name="Groupe 47">
                            <a:extLst>
                              <a:ext uri="{FF2B5EF4-FFF2-40B4-BE49-F238E27FC236}">
                                <a16:creationId xmlns:a16="http://schemas.microsoft.com/office/drawing/2014/main" id="{00000000-0008-0000-0300-000030000000}"/>
                              </a:ext>
                            </a:extLst>
                          </xdr:cNvPr>
                          <xdr:cNvGrpSpPr/>
                        </xdr:nvGrpSpPr>
                        <xdr:grpSpPr>
                          <a:xfrm>
                            <a:off x="-2311340" y="-594116"/>
                            <a:ext cx="12987061" cy="7370643"/>
                            <a:chOff x="-2311340" y="-594116"/>
                            <a:chExt cx="12987061" cy="7370643"/>
                          </a:xfrm>
                        </xdr:grpSpPr>
                        <xdr:sp macro="" textlink="">
                          <xdr:nvSpPr>
                            <xdr:cNvPr id="49" name="ZoneTexte 92">
                              <a:extLst>
                                <a:ext uri="{FF2B5EF4-FFF2-40B4-BE49-F238E27FC236}">
                                  <a16:creationId xmlns:a16="http://schemas.microsoft.com/office/drawing/2014/main" id="{00000000-0008-0000-0300-000031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des pertes par radiation et par convection </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2311340" y="-594116"/>
                              <a:ext cx="12987061" cy="7370643"/>
                              <a:chOff x="-2311340" y="-594116"/>
                              <a:chExt cx="12987061" cy="7370643"/>
                            </a:xfrm>
                          </xdr:grpSpPr>
                          <xdr:grpSp>
                            <xdr:nvGrpSpPr>
                              <xdr:cNvPr id="51" name="Groupe 50">
                                <a:extLst>
                                  <a:ext uri="{FF2B5EF4-FFF2-40B4-BE49-F238E27FC236}">
                                    <a16:creationId xmlns:a16="http://schemas.microsoft.com/office/drawing/2014/main" id="{00000000-0008-0000-0300-000033000000}"/>
                                  </a:ext>
                                </a:extLst>
                              </xdr:cNvPr>
                              <xdr:cNvGrpSpPr/>
                            </xdr:nvGrpSpPr>
                            <xdr:grpSpPr>
                              <a:xfrm>
                                <a:off x="-2311340" y="-594116"/>
                                <a:ext cx="12987061" cy="7370643"/>
                                <a:chOff x="-2311340" y="-594116"/>
                                <a:chExt cx="12987061" cy="7370643"/>
                              </a:xfrm>
                            </xdr:grpSpPr>
                            <xdr:sp macro="" textlink="">
                              <xdr:nvSpPr>
                                <xdr:cNvPr id="53" name="ZoneTexte 62">
                                  <a:extLst>
                                    <a:ext uri="{FF2B5EF4-FFF2-40B4-BE49-F238E27FC236}">
                                      <a16:creationId xmlns:a16="http://schemas.microsoft.com/office/drawing/2014/main" id="{00000000-0008-0000-0300-000035000000}"/>
                                    </a:ext>
                                  </a:extLst>
                                </xdr:cNvPr>
                                <xdr:cNvSpPr txBox="1"/>
                              </xdr:nvSpPr>
                              <xdr:spPr>
                                <a:xfrm>
                                  <a:off x="2499062" y="2179937"/>
                                  <a:ext cx="1025336"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000">
                                      <a:latin typeface="+mn-lt"/>
                                      <a:cs typeface="Arial" pitchFamily="34" charset="0"/>
                                    </a:rPr>
                                    <a:t>Vapeur pour dégazeur</a:t>
                                  </a:r>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2311340" y="-594116"/>
                                  <a:ext cx="12987061" cy="7370643"/>
                                  <a:chOff x="-2311340" y="-594116"/>
                                  <a:chExt cx="12987061" cy="7370643"/>
                                </a:xfrm>
                              </xdr:grpSpPr>
                              <xdr:grpSp>
                                <xdr:nvGrpSpPr>
                                  <xdr:cNvPr id="55" name="Groupe 54">
                                    <a:extLst>
                                      <a:ext uri="{FF2B5EF4-FFF2-40B4-BE49-F238E27FC236}">
                                        <a16:creationId xmlns:a16="http://schemas.microsoft.com/office/drawing/2014/main" id="{00000000-0008-0000-0300-000037000000}"/>
                                      </a:ext>
                                    </a:extLst>
                                  </xdr:cNvPr>
                                  <xdr:cNvGrpSpPr/>
                                </xdr:nvGrpSpPr>
                                <xdr:grpSpPr>
                                  <a:xfrm>
                                    <a:off x="6853237" y="2450306"/>
                                    <a:ext cx="109119" cy="197173"/>
                                    <a:chOff x="6853237" y="2450306"/>
                                    <a:chExt cx="109119" cy="200420"/>
                                  </a:xfrm>
                                </xdr:grpSpPr>
                                <xdr:sp macro="" textlink="">
                                  <xdr:nvSpPr>
                                    <xdr:cNvPr id="181365" name="AutoShape 67">
                                      <a:extLst>
                                        <a:ext uri="{FF2B5EF4-FFF2-40B4-BE49-F238E27FC236}">
                                          <a16:creationId xmlns:a16="http://schemas.microsoft.com/office/drawing/2014/main" id="{00000000-0008-0000-0300-000075C40200}"/>
                                        </a:ext>
                                      </a:extLst>
                                    </xdr:cNvPr>
                                    <xdr:cNvSpPr>
                                      <a:spLocks noChangeArrowheads="1"/>
                                    </xdr:cNvSpPr>
                                  </xdr:nvSpPr>
                                  <xdr:spPr bwMode="auto">
                                    <a:xfrm>
                                      <a:off x="6853237" y="2450306"/>
                                      <a:ext cx="100013" cy="200420"/>
                                    </a:xfrm>
                                    <a:prstGeom prst="roundRect">
                                      <a:avLst>
                                        <a:gd name="adj" fmla="val 16667"/>
                                      </a:avLst>
                                    </a:prstGeom>
                                    <a:solidFill>
                                      <a:srgbClr val="CC99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6" name="Line 69">
                                      <a:extLst>
                                        <a:ext uri="{FF2B5EF4-FFF2-40B4-BE49-F238E27FC236}">
                                          <a16:creationId xmlns:a16="http://schemas.microsoft.com/office/drawing/2014/main" id="{00000000-0008-0000-0300-000076C40200}"/>
                                        </a:ext>
                                      </a:extLst>
                                    </xdr:cNvPr>
                                    <xdr:cNvSpPr>
                                      <a:spLocks noChangeShapeType="1"/>
                                    </xdr:cNvSpPr>
                                  </xdr:nvSpPr>
                                  <xdr:spPr bwMode="auto">
                                    <a:xfrm>
                                      <a:off x="6859609" y="2506295"/>
                                      <a:ext cx="102747" cy="0"/>
                                    </a:xfrm>
                                    <a:prstGeom prst="line">
                                      <a:avLst/>
                                    </a:prstGeom>
                                    <a:no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nvGrpSpPr>
                                  <xdr:cNvPr id="56" name="Groupe 55">
                                    <a:extLst>
                                      <a:ext uri="{FF2B5EF4-FFF2-40B4-BE49-F238E27FC236}">
                                        <a16:creationId xmlns:a16="http://schemas.microsoft.com/office/drawing/2014/main" id="{00000000-0008-0000-0300-000038000000}"/>
                                      </a:ext>
                                    </a:extLst>
                                  </xdr:cNvPr>
                                  <xdr:cNvGrpSpPr/>
                                </xdr:nvGrpSpPr>
                                <xdr:grpSpPr>
                                  <a:xfrm>
                                    <a:off x="-2311340" y="-594116"/>
                                    <a:ext cx="12987061" cy="7370643"/>
                                    <a:chOff x="-2311340" y="-594116"/>
                                    <a:chExt cx="12987061" cy="7370643"/>
                                  </a:xfrm>
                                </xdr:grpSpPr>
                                <xdr:grpSp>
                                  <xdr:nvGrpSpPr>
                                    <xdr:cNvPr id="57" name="Groupe 56">
                                      <a:extLst>
                                        <a:ext uri="{FF2B5EF4-FFF2-40B4-BE49-F238E27FC236}">
                                          <a16:creationId xmlns:a16="http://schemas.microsoft.com/office/drawing/2014/main" id="{00000000-0008-0000-0300-000039000000}"/>
                                        </a:ext>
                                      </a:extLst>
                                    </xdr:cNvPr>
                                    <xdr:cNvGrpSpPr/>
                                  </xdr:nvGrpSpPr>
                                  <xdr:grpSpPr>
                                    <a:xfrm>
                                      <a:off x="-2311340" y="-594116"/>
                                      <a:ext cx="12987061" cy="7370643"/>
                                      <a:chOff x="-1221294" y="-499536"/>
                                      <a:chExt cx="8933589" cy="6197276"/>
                                    </a:xfrm>
                                  </xdr:grpSpPr>
                                  <xdr:grpSp>
                                    <xdr:nvGrpSpPr>
                                      <xdr:cNvPr id="60" name="Groupe 59">
                                        <a:extLst>
                                          <a:ext uri="{FF2B5EF4-FFF2-40B4-BE49-F238E27FC236}">
                                            <a16:creationId xmlns:a16="http://schemas.microsoft.com/office/drawing/2014/main" id="{00000000-0008-0000-0300-00003C000000}"/>
                                          </a:ext>
                                        </a:extLst>
                                      </xdr:cNvPr>
                                      <xdr:cNvGrpSpPr/>
                                    </xdr:nvGrpSpPr>
                                    <xdr:grpSpPr>
                                      <a:xfrm>
                                        <a:off x="-1221294" y="-499536"/>
                                        <a:ext cx="8933589" cy="6197276"/>
                                        <a:chOff x="-1160141" y="-507001"/>
                                        <a:chExt cx="8706194" cy="6289887"/>
                                      </a:xfrm>
                                    </xdr:grpSpPr>
                                    <xdr:sp macro="" textlink="">
                                      <xdr:nvSpPr>
                                        <xdr:cNvPr id="181481" name="AutoShape 17">
                                          <a:extLst>
                                            <a:ext uri="{FF2B5EF4-FFF2-40B4-BE49-F238E27FC236}">
                                              <a16:creationId xmlns:a16="http://schemas.microsoft.com/office/drawing/2014/main" id="{00000000-0008-0000-0300-0000E9C40200}"/>
                                            </a:ext>
                                          </a:extLst>
                                        </xdr:cNvPr>
                                        <xdr:cNvSpPr>
                                          <a:spLocks noChangeArrowheads="1"/>
                                        </xdr:cNvSpPr>
                                      </xdr:nvSpPr>
                                      <xdr:spPr bwMode="auto">
                                        <a:xfrm>
                                          <a:off x="5358659" y="2265446"/>
                                          <a:ext cx="100732"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482" name="AutoShape 18">
                                          <a:extLst>
                                            <a:ext uri="{FF2B5EF4-FFF2-40B4-BE49-F238E27FC236}">
                                              <a16:creationId xmlns:a16="http://schemas.microsoft.com/office/drawing/2014/main" id="{00000000-0008-0000-0300-0000EAC40200}"/>
                                            </a:ext>
                                          </a:extLst>
                                        </xdr:cNvPr>
                                        <xdr:cNvSpPr>
                                          <a:spLocks noChangeArrowheads="1"/>
                                        </xdr:cNvSpPr>
                                      </xdr:nvSpPr>
                                      <xdr:spPr bwMode="auto">
                                        <a:xfrm flipH="1">
                                          <a:off x="4543875" y="2265446"/>
                                          <a:ext cx="87313" cy="352425"/>
                                        </a:xfrm>
                                        <a:prstGeom prst="flowChartDelay">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83" name="Groupe 181482">
                                          <a:extLst>
                                            <a:ext uri="{FF2B5EF4-FFF2-40B4-BE49-F238E27FC236}">
                                              <a16:creationId xmlns:a16="http://schemas.microsoft.com/office/drawing/2014/main" id="{00000000-0008-0000-0300-0000EBC40200}"/>
                                            </a:ext>
                                          </a:extLst>
                                        </xdr:cNvPr>
                                        <xdr:cNvGrpSpPr/>
                                      </xdr:nvGrpSpPr>
                                      <xdr:grpSpPr>
                                        <a:xfrm>
                                          <a:off x="-1160141" y="-507001"/>
                                          <a:ext cx="8706194" cy="6289887"/>
                                          <a:chOff x="-1160141" y="-507001"/>
                                          <a:chExt cx="8706194" cy="6289887"/>
                                        </a:xfrm>
                                      </xdr:grpSpPr>
                                      <xdr:sp macro="" textlink="">
                                        <xdr:nvSpPr>
                                          <xdr:cNvPr id="181484" name="Text Box 53">
                                            <a:extLst>
                                              <a:ext uri="{FF2B5EF4-FFF2-40B4-BE49-F238E27FC236}">
                                                <a16:creationId xmlns:a16="http://schemas.microsoft.com/office/drawing/2014/main" id="{00000000-0008-0000-0300-0000ECC402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Adoucisseur</a:t>
                                            </a:r>
                                          </a:p>
                                        </xdr:txBody>
                                      </xdr:sp>
                                      <xdr:grpSp>
                                        <xdr:nvGrpSpPr>
                                          <xdr:cNvPr id="181485" name="Groupe 181484">
                                            <a:extLst>
                                              <a:ext uri="{FF2B5EF4-FFF2-40B4-BE49-F238E27FC236}">
                                                <a16:creationId xmlns:a16="http://schemas.microsoft.com/office/drawing/2014/main" id="{00000000-0008-0000-0300-0000EDC40200}"/>
                                              </a:ext>
                                            </a:extLst>
                                          </xdr:cNvPr>
                                          <xdr:cNvGrpSpPr/>
                                        </xdr:nvGrpSpPr>
                                        <xdr:grpSpPr>
                                          <a:xfrm>
                                            <a:off x="-1160141" y="-507001"/>
                                            <a:ext cx="8457537" cy="6289887"/>
                                            <a:chOff x="-1160141" y="-507001"/>
                                            <a:chExt cx="8457537" cy="6289887"/>
                                          </a:xfrm>
                                        </xdr:grpSpPr>
                                        <xdr:sp macro="" textlink="">
                                          <xdr:nvSpPr>
                                            <xdr:cNvPr id="181486" name="Text Box 60">
                                              <a:extLst>
                                                <a:ext uri="{FF2B5EF4-FFF2-40B4-BE49-F238E27FC236}">
                                                  <a16:creationId xmlns:a16="http://schemas.microsoft.com/office/drawing/2014/main" id="{00000000-0008-0000-0300-0000EEC402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Fumées de combustion</a:t>
                                              </a:r>
                                            </a:p>
                                          </xdr:txBody>
                                        </xdr:sp>
                                        <xdr:grpSp>
                                          <xdr:nvGrpSpPr>
                                            <xdr:cNvPr id="181487" name="Groupe 181486">
                                              <a:extLst>
                                                <a:ext uri="{FF2B5EF4-FFF2-40B4-BE49-F238E27FC236}">
                                                  <a16:creationId xmlns:a16="http://schemas.microsoft.com/office/drawing/2014/main" id="{00000000-0008-0000-0300-0000EFC40200}"/>
                                                </a:ext>
                                              </a:extLst>
                                            </xdr:cNvPr>
                                            <xdr:cNvGrpSpPr/>
                                          </xdr:nvGrpSpPr>
                                          <xdr:grpSpPr>
                                            <a:xfrm>
                                              <a:off x="-1160141" y="-507001"/>
                                              <a:ext cx="8457537" cy="6289887"/>
                                              <a:chOff x="-1160141" y="-507001"/>
                                              <a:chExt cx="8457537" cy="6289887"/>
                                            </a:xfrm>
                                          </xdr:grpSpPr>
                                          <xdr:sp macro="" textlink="">
                                            <xdr:nvSpPr>
                                              <xdr:cNvPr id="181489" name="Line 77">
                                                <a:extLst>
                                                  <a:ext uri="{FF2B5EF4-FFF2-40B4-BE49-F238E27FC236}">
                                                    <a16:creationId xmlns:a16="http://schemas.microsoft.com/office/drawing/2014/main" id="{00000000-0008-0000-0300-0000F1C402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490" name="Groupe 181489">
                                                <a:extLst>
                                                  <a:ext uri="{FF2B5EF4-FFF2-40B4-BE49-F238E27FC236}">
                                                    <a16:creationId xmlns:a16="http://schemas.microsoft.com/office/drawing/2014/main" id="{00000000-0008-0000-0300-0000F2C40200}"/>
                                                  </a:ext>
                                                </a:extLst>
                                              </xdr:cNvPr>
                                              <xdr:cNvGrpSpPr/>
                                            </xdr:nvGrpSpPr>
                                            <xdr:grpSpPr>
                                              <a:xfrm>
                                                <a:off x="-1160141" y="-507001"/>
                                                <a:ext cx="8457537" cy="6289887"/>
                                                <a:chOff x="-1160141" y="-507001"/>
                                                <a:chExt cx="8457537" cy="6289887"/>
                                              </a:xfrm>
                                            </xdr:grpSpPr>
                                            <xdr:sp macro="" textlink="">
                                              <xdr:nvSpPr>
                                                <xdr:cNvPr id="181491" name="Text Box 62">
                                                  <a:extLst>
                                                    <a:ext uri="{FF2B5EF4-FFF2-40B4-BE49-F238E27FC236}">
                                                      <a16:creationId xmlns:a16="http://schemas.microsoft.com/office/drawing/2014/main" id="{00000000-0008-0000-0300-0000F3C402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Cheminée</a:t>
                                                  </a:r>
                                                </a:p>
                                              </xdr:txBody>
                                            </xdr:sp>
                                            <xdr:grpSp>
                                              <xdr:nvGrpSpPr>
                                                <xdr:cNvPr id="181492" name="Groupe 181491">
                                                  <a:extLst>
                                                    <a:ext uri="{FF2B5EF4-FFF2-40B4-BE49-F238E27FC236}">
                                                      <a16:creationId xmlns:a16="http://schemas.microsoft.com/office/drawing/2014/main" id="{00000000-0008-0000-0300-0000F4C40200}"/>
                                                    </a:ext>
                                                  </a:extLst>
                                                </xdr:cNvPr>
                                                <xdr:cNvGrpSpPr/>
                                              </xdr:nvGrpSpPr>
                                              <xdr:grpSpPr>
                                                <a:xfrm>
                                                  <a:off x="-1160141" y="-507001"/>
                                                  <a:ext cx="8457537" cy="6289887"/>
                                                  <a:chOff x="-1160141" y="-507001"/>
                                                  <a:chExt cx="8457537" cy="6289887"/>
                                                </a:xfrm>
                                              </xdr:grpSpPr>
                                              <xdr:sp macro="" textlink="">
                                                <xdr:nvSpPr>
                                                  <xdr:cNvPr id="181493" name="Text Box 54">
                                                    <a:extLst>
                                                      <a:ext uri="{FF2B5EF4-FFF2-40B4-BE49-F238E27FC236}">
                                                        <a16:creationId xmlns:a16="http://schemas.microsoft.com/office/drawing/2014/main" id="{00000000-0008-0000-0300-0000F5C402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Alimentation en produits chimiques</a:t>
                                                    </a:r>
                                                  </a:p>
                                                </xdr:txBody>
                                              </xdr:sp>
                                              <xdr:grpSp>
                                                <xdr:nvGrpSpPr>
                                                  <xdr:cNvPr id="181494" name="Groupe 181493">
                                                    <a:extLst>
                                                      <a:ext uri="{FF2B5EF4-FFF2-40B4-BE49-F238E27FC236}">
                                                        <a16:creationId xmlns:a16="http://schemas.microsoft.com/office/drawing/2014/main" id="{00000000-0008-0000-0300-0000F6C40200}"/>
                                                      </a:ext>
                                                    </a:extLst>
                                                  </xdr:cNvPr>
                                                  <xdr:cNvGrpSpPr/>
                                                </xdr:nvGrpSpPr>
                                                <xdr:grpSpPr>
                                                  <a:xfrm>
                                                    <a:off x="-1160141" y="-507001"/>
                                                    <a:ext cx="8457537" cy="6289887"/>
                                                    <a:chOff x="-1160141" y="-507001"/>
                                                    <a:chExt cx="8457537" cy="6289887"/>
                                                  </a:xfrm>
                                                </xdr:grpSpPr>
                                                <xdr:sp macro="" textlink="">
                                                  <xdr:nvSpPr>
                                                    <xdr:cNvPr id="181495" name="Rectangle 181494">
                                                      <a:extLst>
                                                        <a:ext uri="{FF2B5EF4-FFF2-40B4-BE49-F238E27FC236}">
                                                          <a16:creationId xmlns:a16="http://schemas.microsoft.com/office/drawing/2014/main" id="{00000000-0008-0000-0300-0000F7C40200}"/>
                                                        </a:ext>
                                                      </a:extLst>
                                                    </xdr:cNvPr>
                                                    <xdr:cNvSpPr>
                                                      <a:spLocks noChangeArrowheads="1"/>
                                                    </xdr:cNvSpPr>
                                                  </xdr:nvSpPr>
                                                  <xdr:spPr bwMode="auto">
                                                    <a:xfrm>
                                                      <a:off x="4629996" y="2616282"/>
                                                      <a:ext cx="728663" cy="939503"/>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496" name="Connecteur droit avec flèche 181495">
                                                      <a:extLst>
                                                        <a:ext uri="{FF2B5EF4-FFF2-40B4-BE49-F238E27FC236}">
                                                          <a16:creationId xmlns:a16="http://schemas.microsoft.com/office/drawing/2014/main" id="{00000000-0008-0000-0300-0000F8C402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7" name="Connecteur droit avec flèche 181496">
                                                      <a:extLst>
                                                        <a:ext uri="{FF2B5EF4-FFF2-40B4-BE49-F238E27FC236}">
                                                          <a16:creationId xmlns:a16="http://schemas.microsoft.com/office/drawing/2014/main" id="{00000000-0008-0000-0300-0000F9C402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8" name="Connecteur droit avec flèche 181497">
                                                      <a:extLst>
                                                        <a:ext uri="{FF2B5EF4-FFF2-40B4-BE49-F238E27FC236}">
                                                          <a16:creationId xmlns:a16="http://schemas.microsoft.com/office/drawing/2014/main" id="{00000000-0008-0000-0300-0000FAC402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499" name="Connecteur droit avec flèche 181498">
                                                      <a:extLst>
                                                        <a:ext uri="{FF2B5EF4-FFF2-40B4-BE49-F238E27FC236}">
                                                          <a16:creationId xmlns:a16="http://schemas.microsoft.com/office/drawing/2014/main" id="{00000000-0008-0000-0300-0000FBC402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500" name="Line 13">
                                                      <a:extLst>
                                                        <a:ext uri="{FF2B5EF4-FFF2-40B4-BE49-F238E27FC236}">
                                                          <a16:creationId xmlns:a16="http://schemas.microsoft.com/office/drawing/2014/main" id="{00000000-0008-0000-0300-0000FCC402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501" name="Rectangle 181500">
                                                      <a:extLst>
                                                        <a:ext uri="{FF2B5EF4-FFF2-40B4-BE49-F238E27FC236}">
                                                          <a16:creationId xmlns:a16="http://schemas.microsoft.com/office/drawing/2014/main" id="{00000000-0008-0000-0300-0000FDC402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Brûleur</a:t>
                                                      </a:r>
                                                    </a:p>
                                                  </xdr:txBody>
                                                </xdr:sp>
                                                <xdr:sp macro="" textlink="">
                                                  <xdr:nvSpPr>
                                                    <xdr:cNvPr id="181502" name="Rectangle 181501">
                                                      <a:extLst>
                                                        <a:ext uri="{FF2B5EF4-FFF2-40B4-BE49-F238E27FC236}">
                                                          <a16:creationId xmlns:a16="http://schemas.microsoft.com/office/drawing/2014/main" id="{00000000-0008-0000-0300-0000FEC40200}"/>
                                                        </a:ext>
                                                      </a:extLst>
                                                    </xdr:cNvPr>
                                                    <xdr:cNvSpPr>
                                                      <a:spLocks noChangeArrowheads="1"/>
                                                    </xdr:cNvSpPr>
                                                  </xdr:nvSpPr>
                                                  <xdr:spPr bwMode="auto">
                                                    <a:xfrm>
                                                      <a:off x="4625234" y="2265446"/>
                                                      <a:ext cx="733425" cy="352425"/>
                                                    </a:xfrm>
                                                    <a:prstGeom prst="rect">
                                                      <a:avLst/>
                                                    </a:prstGeom>
                                                    <a:solidFill>
                                                      <a:srgbClr val="66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endParaRPr lang="en-US" sz="700"/>
                                                    </a:p>
                                                    <a:p>
                                                      <a:pPr eaLnBrk="0" hangingPunct="0"/>
                                                      <a:endParaRPr lang="en-US" sz="700"/>
                                                    </a:p>
                                                  </xdr:txBody>
                                                </xdr:sp>
                                                <xdr:sp macro="" textlink="">
                                                  <xdr:nvSpPr>
                                                    <xdr:cNvPr id="181503" name="Line 21">
                                                      <a:extLst>
                                                        <a:ext uri="{FF2B5EF4-FFF2-40B4-BE49-F238E27FC236}">
                                                          <a16:creationId xmlns:a16="http://schemas.microsoft.com/office/drawing/2014/main" id="{00000000-0008-0000-0300-0000FFC40200}"/>
                                                        </a:ext>
                                                      </a:extLst>
                                                    </xdr:cNvPr>
                                                    <xdr:cNvSpPr>
                                                      <a:spLocks noChangeShapeType="1"/>
                                                    </xdr:cNvSpPr>
                                                  </xdr:nvSpPr>
                                                  <xdr:spPr bwMode="auto">
                                                    <a:xfrm>
                                                      <a:off x="2000501" y="2458301"/>
                                                      <a:ext cx="2534456" cy="31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4" name="Oval 24">
                                                      <a:extLst>
                                                        <a:ext uri="{FF2B5EF4-FFF2-40B4-BE49-F238E27FC236}">
                                                          <a16:creationId xmlns:a16="http://schemas.microsoft.com/office/drawing/2014/main" id="{00000000-0008-0000-0300-000060C402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5" name="Oval 25">
                                                      <a:extLst>
                                                        <a:ext uri="{FF2B5EF4-FFF2-40B4-BE49-F238E27FC236}">
                                                          <a16:creationId xmlns:a16="http://schemas.microsoft.com/office/drawing/2014/main" id="{00000000-0008-0000-0300-000061C402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1346" name="Group 26">
                                                      <a:extLst>
                                                        <a:ext uri="{FF2B5EF4-FFF2-40B4-BE49-F238E27FC236}">
                                                          <a16:creationId xmlns:a16="http://schemas.microsoft.com/office/drawing/2014/main" id="{00000000-0008-0000-0300-000062C40200}"/>
                                                        </a:ext>
                                                      </a:extLst>
                                                    </xdr:cNvPr>
                                                    <xdr:cNvGrpSpPr>
                                                      <a:grpSpLocks/>
                                                    </xdr:cNvGrpSpPr>
                                                  </xdr:nvGrpSpPr>
                                                  <xdr:grpSpPr bwMode="auto">
                                                    <a:xfrm>
                                                      <a:off x="6813767" y="1978503"/>
                                                      <a:ext cx="483629" cy="838571"/>
                                                      <a:chOff x="6813767" y="1974449"/>
                                                      <a:chExt cx="615" cy="974"/>
                                                    </a:xfrm>
                                                  </xdr:grpSpPr>
                                                  <xdr:sp macro="" textlink="">
                                                    <xdr:nvSpPr>
                                                      <xdr:cNvPr id="181362" name="AutoShape 27">
                                                        <a:extLst>
                                                          <a:ext uri="{FF2B5EF4-FFF2-40B4-BE49-F238E27FC236}">
                                                            <a16:creationId xmlns:a16="http://schemas.microsoft.com/office/drawing/2014/main" id="{00000000-0008-0000-0300-000072C402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3" name="Rectangle 181362">
                                                        <a:extLst>
                                                          <a:ext uri="{FF2B5EF4-FFF2-40B4-BE49-F238E27FC236}">
                                                            <a16:creationId xmlns:a16="http://schemas.microsoft.com/office/drawing/2014/main" id="{00000000-0008-0000-0300-000073C402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64" name="AutoShape 29">
                                                        <a:extLst>
                                                          <a:ext uri="{FF2B5EF4-FFF2-40B4-BE49-F238E27FC236}">
                                                            <a16:creationId xmlns:a16="http://schemas.microsoft.com/office/drawing/2014/main" id="{00000000-0008-0000-0300-000074C402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1347" name="Line 43">
                                                      <a:extLst>
                                                        <a:ext uri="{FF2B5EF4-FFF2-40B4-BE49-F238E27FC236}">
                                                          <a16:creationId xmlns:a16="http://schemas.microsoft.com/office/drawing/2014/main" id="{00000000-0008-0000-0300-000063C402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8" name="Line 44">
                                                      <a:extLst>
                                                        <a:ext uri="{FF2B5EF4-FFF2-40B4-BE49-F238E27FC236}">
                                                          <a16:creationId xmlns:a16="http://schemas.microsoft.com/office/drawing/2014/main" id="{00000000-0008-0000-0300-000064C402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49" name="Text Box 56">
                                                      <a:extLst>
                                                        <a:ext uri="{FF2B5EF4-FFF2-40B4-BE49-F238E27FC236}">
                                                          <a16:creationId xmlns:a16="http://schemas.microsoft.com/office/drawing/2014/main" id="{00000000-0008-0000-0300-000065C40200}"/>
                                                        </a:ext>
                                                      </a:extLst>
                                                    </xdr:cNvPr>
                                                    <xdr:cNvSpPr txBox="1">
                                                      <a:spLocks noChangeArrowheads="1"/>
                                                    </xdr:cNvSpPr>
                                                  </xdr:nvSpPr>
                                                  <xdr:spPr bwMode="auto">
                                                    <a:xfrm>
                                                      <a:off x="1618467" y="4509745"/>
                                                      <a:ext cx="762002" cy="241193"/>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Total des purges</a:t>
                                                      </a:r>
                                                    </a:p>
                                                    <a:p>
                                                      <a:pPr algn="ctr" eaLnBrk="0" hangingPunct="0">
                                                        <a:defRPr/>
                                                      </a:pPr>
                                                      <a:endParaRPr lang="en-US" sz="1100" b="1">
                                                        <a:solidFill>
                                                          <a:srgbClr val="000066"/>
                                                        </a:solidFill>
                                                        <a:latin typeface="Arial" charset="0"/>
                                                      </a:endParaRPr>
                                                    </a:p>
                                                  </xdr:txBody>
                                                </xdr:sp>
                                                <xdr:sp macro="" textlink="">
                                                  <xdr:nvSpPr>
                                                    <xdr:cNvPr id="181350" name="Text Box 58">
                                                      <a:extLst>
                                                        <a:ext uri="{FF2B5EF4-FFF2-40B4-BE49-F238E27FC236}">
                                                          <a16:creationId xmlns:a16="http://schemas.microsoft.com/office/drawing/2014/main" id="{00000000-0008-0000-0300-000066C40200}"/>
                                                        </a:ext>
                                                      </a:extLst>
                                                    </xdr:cNvPr>
                                                    <xdr:cNvSpPr txBox="1">
                                                      <a:spLocks noChangeArrowheads="1"/>
                                                    </xdr:cNvSpPr>
                                                  </xdr:nvSpPr>
                                                  <xdr:spPr bwMode="auto">
                                                    <a:xfrm>
                                                      <a:off x="5016833" y="1958725"/>
                                                      <a:ext cx="877368" cy="231462"/>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900" b="1">
                                                          <a:solidFill>
                                                            <a:srgbClr val="000066"/>
                                                          </a:solidFill>
                                                          <a:latin typeface="Arial" charset="0"/>
                                                        </a:rPr>
                                                        <a:t>Évent</a:t>
                                                      </a:r>
                                                    </a:p>
                                                    <a:p>
                                                      <a:pPr algn="l" eaLnBrk="0" hangingPunct="0">
                                                        <a:defRPr/>
                                                      </a:pPr>
                                                      <a:endParaRPr lang="en-US" sz="900" b="1">
                                                        <a:solidFill>
                                                          <a:srgbClr val="000066"/>
                                                        </a:solidFill>
                                                        <a:latin typeface="Arial" charset="0"/>
                                                      </a:endParaRPr>
                                                    </a:p>
                                                  </xdr:txBody>
                                                </xdr:sp>
                                                <xdr:sp macro="" textlink="">
                                                  <xdr:nvSpPr>
                                                    <xdr:cNvPr id="181351" name="Line 59">
                                                      <a:extLst>
                                                        <a:ext uri="{FF2B5EF4-FFF2-40B4-BE49-F238E27FC236}">
                                                          <a16:creationId xmlns:a16="http://schemas.microsoft.com/office/drawing/2014/main" id="{00000000-0008-0000-0300-000067C402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352" name="Text Box 65">
                                                      <a:extLst>
                                                        <a:ext uri="{FF2B5EF4-FFF2-40B4-BE49-F238E27FC236}">
                                                          <a16:creationId xmlns:a16="http://schemas.microsoft.com/office/drawing/2014/main" id="{00000000-0008-0000-0300-000068C40200}"/>
                                                        </a:ext>
                                                      </a:extLst>
                                                    </xdr:cNvPr>
                                                    <xdr:cNvSpPr txBox="1">
                                                      <a:spLocks noChangeArrowheads="1"/>
                                                    </xdr:cNvSpPr>
                                                  </xdr:nvSpPr>
                                                  <xdr:spPr bwMode="auto">
                                                    <a:xfrm>
                                                      <a:off x="4512521" y="2344821"/>
                                                      <a:ext cx="985838" cy="203200"/>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00" b="1">
                                                          <a:solidFill>
                                                            <a:srgbClr val="000066"/>
                                                          </a:solidFill>
                                                          <a:latin typeface="Arial" charset="0"/>
                                                        </a:rPr>
                                                        <a:t>Dégazeur</a:t>
                                                      </a:r>
                                                    </a:p>
                                                  </xdr:txBody>
                                                </xdr:sp>
                                                <xdr:cxnSp macro="">
                                                  <xdr:nvCxnSpPr>
                                                    <xdr:cNvPr id="181353" name="AutoShape 73">
                                                      <a:extLst>
                                                        <a:ext uri="{FF2B5EF4-FFF2-40B4-BE49-F238E27FC236}">
                                                          <a16:creationId xmlns:a16="http://schemas.microsoft.com/office/drawing/2014/main" id="{00000000-0008-0000-0300-000069C40200}"/>
                                                        </a:ext>
                                                      </a:extLst>
                                                    </xdr:cNvPr>
                                                    <xdr:cNvCxnSpPr>
                                                      <a:cxnSpLocks noChangeShapeType="1"/>
                                                      <a:endCxn id="181520"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81354" name="AutoShape 74">
                                                      <a:extLst>
                                                        <a:ext uri="{FF2B5EF4-FFF2-40B4-BE49-F238E27FC236}">
                                                          <a16:creationId xmlns:a16="http://schemas.microsoft.com/office/drawing/2014/main" id="{00000000-0008-0000-0300-00006AC40200}"/>
                                                        </a:ext>
                                                      </a:extLst>
                                                    </xdr:cNvPr>
                                                    <xdr:cNvCxnSpPr>
                                                      <a:cxnSpLocks noChangeShapeType="1"/>
                                                      <a:stCxn id="181495" idx="2"/>
                                                    </xdr:cNvCxnSpPr>
                                                  </xdr:nvCxnSpPr>
                                                  <xdr:spPr bwMode="auto">
                                                    <a:xfrm rot="5400000">
                                                      <a:off x="3510675" y="3594440"/>
                                                      <a:ext cx="1522308" cy="1444997"/>
                                                    </a:xfrm>
                                                    <a:prstGeom prst="bentConnector2">
                                                      <a:avLst/>
                                                    </a:prstGeom>
                                                    <a:noFill/>
                                                    <a:ln w="28575">
                                                      <a:solidFill>
                                                        <a:srgbClr val="000066"/>
                                                      </a:solidFill>
                                                      <a:miter lim="800000"/>
                                                      <a:headEnd/>
                                                      <a:tailEnd type="triangle" w="med" len="med"/>
                                                    </a:ln>
                                                  </xdr:spPr>
                                                </xdr:cxnSp>
                                                <xdr:sp macro="" textlink="">
                                                  <xdr:nvSpPr>
                                                    <xdr:cNvPr id="181355" name="Rectangle 181354">
                                                      <a:extLst>
                                                        <a:ext uri="{FF2B5EF4-FFF2-40B4-BE49-F238E27FC236}">
                                                          <a16:creationId xmlns:a16="http://schemas.microsoft.com/office/drawing/2014/main" id="{00000000-0008-0000-0300-00006BC402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Chaudière</a:t>
                                                      </a:r>
                                                      <a:r>
                                                        <a:rPr lang="en-US" sz="1800" b="1" baseline="0">
                                                          <a:solidFill>
                                                            <a:srgbClr val="000066"/>
                                                          </a:solidFill>
                                                          <a:latin typeface="Arial" charset="0"/>
                                                        </a:rPr>
                                                        <a:t> 4</a:t>
                                                      </a:r>
                                                      <a:endParaRPr lang="en-US" sz="1800" b="1">
                                                        <a:solidFill>
                                                          <a:srgbClr val="000066"/>
                                                        </a:solidFill>
                                                        <a:latin typeface="Arial" charset="0"/>
                                                      </a:endParaRPr>
                                                    </a:p>
                                                  </xdr:txBody>
                                                </xdr:sp>
                                                <xdr:sp macro="" textlink="">
                                                  <xdr:nvSpPr>
                                                    <xdr:cNvPr id="181356" name="Line 78">
                                                      <a:extLst>
                                                        <a:ext uri="{FF2B5EF4-FFF2-40B4-BE49-F238E27FC236}">
                                                          <a16:creationId xmlns:a16="http://schemas.microsoft.com/office/drawing/2014/main" id="{00000000-0008-0000-0300-00006CC402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81357" name="Connecteur droit avec flèche 181356">
                                                      <a:extLst>
                                                        <a:ext uri="{FF2B5EF4-FFF2-40B4-BE49-F238E27FC236}">
                                                          <a16:creationId xmlns:a16="http://schemas.microsoft.com/office/drawing/2014/main" id="{00000000-0008-0000-0300-00006DC402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8" name="Connecteur droit avec flèche 181357">
                                                      <a:extLst>
                                                        <a:ext uri="{FF2B5EF4-FFF2-40B4-BE49-F238E27FC236}">
                                                          <a16:creationId xmlns:a16="http://schemas.microsoft.com/office/drawing/2014/main" id="{00000000-0008-0000-0300-00006EC40200}"/>
                                                        </a:ext>
                                                      </a:extLst>
                                                    </xdr:cNvPr>
                                                    <xdr:cNvCxnSpPr/>
                                                  </xdr:nvCxnSpPr>
                                                  <xdr:spPr>
                                                    <a:xfrm flipH="1" flipV="1">
                                                      <a:off x="5003146" y="1635431"/>
                                                      <a:ext cx="5843" cy="3718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359" name="Connecteur droit avec flèche 181358">
                                                      <a:extLst>
                                                        <a:ext uri="{FF2B5EF4-FFF2-40B4-BE49-F238E27FC236}">
                                                          <a16:creationId xmlns:a16="http://schemas.microsoft.com/office/drawing/2014/main" id="{00000000-0008-0000-0300-00006FC40200}"/>
                                                        </a:ext>
                                                      </a:extLst>
                                                    </xdr:cNvPr>
                                                    <xdr:cNvCxnSpPr/>
                                                  </xdr:nvCxnSpPr>
                                                  <xdr:spPr>
                                                    <a:xfrm>
                                                      <a:off x="1994529" y="4179927"/>
                                                      <a:ext cx="3205" cy="36560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181360" name="irc_mi">
                                                      <a:extLst>
                                                        <a:ext uri="{FF2B5EF4-FFF2-40B4-BE49-F238E27FC236}">
                                                          <a16:creationId xmlns:a16="http://schemas.microsoft.com/office/drawing/2014/main" id="{00000000-0008-0000-0300-000070C402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181361" name="Rectangle 181360">
                                                      <a:extLst>
                                                        <a:ext uri="{FF2B5EF4-FFF2-40B4-BE49-F238E27FC236}">
                                                          <a16:creationId xmlns:a16="http://schemas.microsoft.com/office/drawing/2014/main" id="{00000000-0008-0000-0300-000071C402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grpSp>
                                  <xdr:grpSp>
                                    <xdr:nvGrpSpPr>
                                      <xdr:cNvPr id="61" name="Groupe 60">
                                        <a:extLst>
                                          <a:ext uri="{FF2B5EF4-FFF2-40B4-BE49-F238E27FC236}">
                                            <a16:creationId xmlns:a16="http://schemas.microsoft.com/office/drawing/2014/main" id="{00000000-0008-0000-0300-00003D000000}"/>
                                          </a:ext>
                                        </a:extLst>
                                      </xdr:cNvPr>
                                      <xdr:cNvGrpSpPr/>
                                    </xdr:nvGrpSpPr>
                                    <xdr:grpSpPr>
                                      <a:xfrm>
                                        <a:off x="5570222" y="2231964"/>
                                        <a:ext cx="1408798" cy="585733"/>
                                        <a:chOff x="5570222" y="2231994"/>
                                        <a:chExt cx="1412984" cy="579660"/>
                                      </a:xfrm>
                                    </xdr:grpSpPr>
                                    <xdr:sp macro="" textlink="">
                                      <xdr:nvSpPr>
                                        <xdr:cNvPr id="62" name="Line 50">
                                          <a:extLst>
                                            <a:ext uri="{FF2B5EF4-FFF2-40B4-BE49-F238E27FC236}">
                                              <a16:creationId xmlns:a16="http://schemas.microsoft.com/office/drawing/2014/main" id="{00000000-0008-0000-0300-00003E000000}"/>
                                            </a:ext>
                                          </a:extLst>
                                        </xdr:cNvPr>
                                        <xdr:cNvSpPr>
                                          <a:spLocks noChangeShapeType="1"/>
                                        </xdr:cNvSpPr>
                                      </xdr:nvSpPr>
                                      <xdr:spPr bwMode="auto">
                                        <a:xfrm flipH="1">
                                          <a:off x="5570222" y="2231994"/>
                                          <a:ext cx="1412984" cy="105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63" name="Connecteur en angle 371">
                                          <a:extLst>
                                            <a:ext uri="{FF2B5EF4-FFF2-40B4-BE49-F238E27FC236}">
                                              <a16:creationId xmlns:a16="http://schemas.microsoft.com/office/drawing/2014/main" id="{00000000-0008-0000-0300-00003F000000}"/>
                                            </a:ext>
                                          </a:extLst>
                                        </xdr:cNvPr>
                                        <xdr:cNvCxnSpPr/>
                                      </xdr:nvCxnSpPr>
                                      <xdr:spPr>
                                        <a:xfrm rot="10800000">
                                          <a:off x="5573491" y="2394082"/>
                                          <a:ext cx="662315" cy="417572"/>
                                        </a:xfrm>
                                        <a:prstGeom prst="bentConnector3">
                                          <a:avLst>
                                            <a:gd name="adj1" fmla="val 50000"/>
                                          </a:avLst>
                                        </a:prstGeom>
                                        <a:ln w="28575">
                                          <a:solidFill>
                                            <a:srgbClr val="000066"/>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58" name="ZoneTexte 62">
                                      <a:extLst>
                                        <a:ext uri="{FF2B5EF4-FFF2-40B4-BE49-F238E27FC236}">
                                          <a16:creationId xmlns:a16="http://schemas.microsoft.com/office/drawing/2014/main" id="{00000000-0008-0000-0300-00003A000000}"/>
                                        </a:ext>
                                      </a:extLst>
                                    </xdr:cNvPr>
                                    <xdr:cNvSpPr txBox="1"/>
                                  </xdr:nvSpPr>
                                  <xdr:spPr>
                                    <a:xfrm>
                                      <a:off x="6396990" y="138112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Perte de vapeur</a:t>
                                      </a:r>
                                    </a:p>
                                  </xdr:txBody>
                                </xdr:sp>
                                <xdr:sp macro="" textlink="">
                                  <xdr:nvSpPr>
                                    <xdr:cNvPr id="59" name="ZoneTexte 62">
                                      <a:extLst>
                                        <a:ext uri="{FF2B5EF4-FFF2-40B4-BE49-F238E27FC236}">
                                          <a16:creationId xmlns:a16="http://schemas.microsoft.com/office/drawing/2014/main" id="{00000000-0008-0000-0300-00003B0000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Perte par les</a:t>
                                      </a:r>
                                      <a:r>
                                        <a:rPr lang="fr-CA" sz="1100" baseline="0">
                                          <a:latin typeface="+mn-lt"/>
                                          <a:cs typeface="Arial" pitchFamily="34" charset="0"/>
                                        </a:rPr>
                                        <a:t> fumées</a:t>
                                      </a:r>
                                      <a:endParaRPr lang="fr-CA" sz="1100">
                                        <a:latin typeface="+mn-lt"/>
                                        <a:cs typeface="Arial" pitchFamily="34" charset="0"/>
                                      </a:endParaRPr>
                                    </a:p>
                                  </xdr:txBody>
                                </xdr:sp>
                              </xdr:grpSp>
                            </xdr:grpSp>
                          </xdr:grpSp>
                          <xdr:sp macro="" textlink="">
                            <xdr:nvSpPr>
                              <xdr:cNvPr id="52" name="ZoneTexte 62">
                                <a:extLst>
                                  <a:ext uri="{FF2B5EF4-FFF2-40B4-BE49-F238E27FC236}">
                                    <a16:creationId xmlns:a16="http://schemas.microsoft.com/office/drawing/2014/main" id="{00000000-0008-0000-0300-000034000000}"/>
                                  </a:ext>
                                </a:extLst>
                              </xdr:cNvPr>
                              <xdr:cNvSpPr txBox="1"/>
                            </xdr:nvSpPr>
                            <xdr:spPr>
                              <a:xfrm>
                                <a:off x="7756332" y="3351184"/>
                                <a:ext cx="1458532" cy="309949"/>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Retour</a:t>
                                </a:r>
                                <a:r>
                                  <a:rPr lang="fr-CA" sz="1100" baseline="0">
                                    <a:latin typeface="+mn-lt"/>
                                    <a:cs typeface="Arial" pitchFamily="34" charset="0"/>
                                  </a:rPr>
                                  <a:t> total du condensat</a:t>
                                </a:r>
                                <a:endParaRPr lang="fr-CA" sz="1100">
                                  <a:latin typeface="+mn-lt"/>
                                  <a:cs typeface="Arial" pitchFamily="34" charset="0"/>
                                </a:endParaRPr>
                              </a:p>
                            </xdr:txBody>
                          </xdr:sp>
                        </xdr:grpSp>
                      </xdr:grpSp>
                    </xdr:grpSp>
                  </xdr:grpSp>
                  <xdr:cxnSp macro="">
                    <xdr:nvCxnSpPr>
                      <xdr:cNvPr id="44" name="AutoShape 73">
                        <a:extLst>
                          <a:ext uri="{FF2B5EF4-FFF2-40B4-BE49-F238E27FC236}">
                            <a16:creationId xmlns:a16="http://schemas.microsoft.com/office/drawing/2014/main" id="{00000000-0008-0000-0300-00002C000000}"/>
                          </a:ext>
                        </a:extLst>
                      </xdr:cNvPr>
                      <xdr:cNvCxnSpPr>
                        <a:cxnSpLocks noChangeShapeType="1"/>
                        <a:stCxn id="181495" idx="2"/>
                      </xdr:cNvCxnSpPr>
                    </xdr:nvCxnSpPr>
                    <xdr:spPr bwMode="auto">
                      <a:xfrm rot="5400000">
                        <a:off x="5952503" y="1661170"/>
                        <a:ext cx="1905760" cy="5240400"/>
                      </a:xfrm>
                      <a:prstGeom prst="bentConnector2">
                        <a:avLst/>
                      </a:prstGeom>
                      <a:noFill/>
                      <a:ln w="28575">
                        <a:solidFill>
                          <a:srgbClr val="000066"/>
                        </a:solidFill>
                        <a:miter lim="800000"/>
                        <a:headEnd/>
                        <a:tailEnd type="none" w="med" len="med"/>
                      </a:ln>
                    </xdr:spPr>
                  </xdr:cxnSp>
                </xdr:grpSp>
              </xdr:grpSp>
              <xdr:grpSp>
                <xdr:nvGrpSpPr>
                  <xdr:cNvPr id="37" name="Groupe 36">
                    <a:extLst>
                      <a:ext uri="{FF2B5EF4-FFF2-40B4-BE49-F238E27FC236}">
                        <a16:creationId xmlns:a16="http://schemas.microsoft.com/office/drawing/2014/main" id="{00000000-0008-0000-0300-000025000000}"/>
                      </a:ext>
                    </a:extLst>
                  </xdr:cNvPr>
                  <xdr:cNvGrpSpPr/>
                </xdr:nvGrpSpPr>
                <xdr:grpSpPr>
                  <a:xfrm>
                    <a:off x="2373290" y="8841442"/>
                    <a:ext cx="8479738" cy="762382"/>
                    <a:chOff x="2373290" y="8841442"/>
                    <a:chExt cx="8479738" cy="762382"/>
                  </a:xfrm>
                </xdr:grpSpPr>
                <xdr:sp macro="" textlink="">
                  <xdr:nvSpPr>
                    <xdr:cNvPr id="38" name="Line 13">
                      <a:extLst>
                        <a:ext uri="{FF2B5EF4-FFF2-40B4-BE49-F238E27FC236}">
                          <a16:creationId xmlns:a16="http://schemas.microsoft.com/office/drawing/2014/main" id="{00000000-0008-0000-0300-000026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39" name="Nuage 38">
                      <a:extLst>
                        <a:ext uri="{FF2B5EF4-FFF2-40B4-BE49-F238E27FC236}">
                          <a16:creationId xmlns:a16="http://schemas.microsoft.com/office/drawing/2014/main" id="{00000000-0008-0000-0300-000027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40" name="Text Box 61">
                      <a:extLst>
                        <a:ext uri="{FF2B5EF4-FFF2-40B4-BE49-F238E27FC236}">
                          <a16:creationId xmlns:a16="http://schemas.microsoft.com/office/drawing/2014/main" id="{00000000-0008-0000-0300-000028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Vapeur pour utilisation "Y"</a:t>
                      </a:r>
                    </a:p>
                  </xdr:txBody>
                </xdr:sp>
              </xdr:grpSp>
            </xdr:grpSp>
          </xdr:grpSp>
          <xdr:sp macro="" textlink="">
            <xdr:nvSpPr>
              <xdr:cNvPr id="31" name="Line 59">
                <a:extLst>
                  <a:ext uri="{FF2B5EF4-FFF2-40B4-BE49-F238E27FC236}">
                    <a16:creationId xmlns:a16="http://schemas.microsoft.com/office/drawing/2014/main" id="{00000000-0008-0000-0300-00001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29" name="Rectangle 28">
              <a:extLst>
                <a:ext uri="{FF2B5EF4-FFF2-40B4-BE49-F238E27FC236}">
                  <a16:creationId xmlns:a16="http://schemas.microsoft.com/office/drawing/2014/main" id="{00000000-0008-0000-0300-00001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27" name="ZoneTexte 26">
            <a:extLst>
              <a:ext uri="{FF2B5EF4-FFF2-40B4-BE49-F238E27FC236}">
                <a16:creationId xmlns:a16="http://schemas.microsoft.com/office/drawing/2014/main" id="{00000000-0008-0000-0300-00001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RÉSEAU DE VAPEUR Nº2</a:t>
            </a:r>
          </a:p>
        </xdr:txBody>
      </xdr:sp>
    </xdr:grpSp>
    <xdr:clientData/>
  </xdr:twoCellAnchor>
  <xdr:twoCellAnchor editAs="oneCell">
    <xdr:from>
      <xdr:col>5</xdr:col>
      <xdr:colOff>1047750</xdr:colOff>
      <xdr:row>36</xdr:row>
      <xdr:rowOff>66675</xdr:rowOff>
    </xdr:from>
    <xdr:to>
      <xdr:col>9</xdr:col>
      <xdr:colOff>353407</xdr:colOff>
      <xdr:row>37</xdr:row>
      <xdr:rowOff>142912</xdr:rowOff>
    </xdr:to>
    <xdr:pic>
      <xdr:nvPicPr>
        <xdr:cNvPr id="181465" name="Image 181464">
          <a:extLst>
            <a:ext uri="{FF2B5EF4-FFF2-40B4-BE49-F238E27FC236}">
              <a16:creationId xmlns:a16="http://schemas.microsoft.com/office/drawing/2014/main" id="{00000000-0008-0000-0300-0000D9C40200}"/>
            </a:ext>
          </a:extLst>
        </xdr:cNvPr>
        <xdr:cNvPicPr>
          <a:picLocks noChangeAspect="1"/>
        </xdr:cNvPicPr>
      </xdr:nvPicPr>
      <xdr:blipFill>
        <a:blip xmlns:r="http://schemas.openxmlformats.org/officeDocument/2006/relationships" r:embed="rId5"/>
        <a:stretch>
          <a:fillRect/>
        </a:stretch>
      </xdr:blipFill>
      <xdr:spPr>
        <a:xfrm>
          <a:off x="5572125" y="7324725"/>
          <a:ext cx="7039957" cy="266737"/>
        </a:xfrm>
        <a:prstGeom prst="rect">
          <a:avLst/>
        </a:prstGeom>
      </xdr:spPr>
    </xdr:pic>
    <xdr:clientData/>
  </xdr:twoCellAnchor>
  <xdr:twoCellAnchor>
    <xdr:from>
      <xdr:col>6</xdr:col>
      <xdr:colOff>1657350</xdr:colOff>
      <xdr:row>34</xdr:row>
      <xdr:rowOff>123825</xdr:rowOff>
    </xdr:from>
    <xdr:to>
      <xdr:col>6</xdr:col>
      <xdr:colOff>1898067</xdr:colOff>
      <xdr:row>35</xdr:row>
      <xdr:rowOff>157490</xdr:rowOff>
    </xdr:to>
    <xdr:sp macro="" textlink="">
      <xdr:nvSpPr>
        <xdr:cNvPr id="181488" name="Ellipse 181487">
          <a:extLst>
            <a:ext uri="{FF2B5EF4-FFF2-40B4-BE49-F238E27FC236}">
              <a16:creationId xmlns:a16="http://schemas.microsoft.com/office/drawing/2014/main" id="{00000000-0008-0000-0300-0000F0C40200}"/>
            </a:ext>
          </a:extLst>
        </xdr:cNvPr>
        <xdr:cNvSpPr>
          <a:spLocks noChangeAspect="1"/>
        </xdr:cNvSpPr>
      </xdr:nvSpPr>
      <xdr:spPr>
        <a:xfrm>
          <a:off x="8115300" y="70008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34</xdr:row>
      <xdr:rowOff>114300</xdr:rowOff>
    </xdr:from>
    <xdr:to>
      <xdr:col>7</xdr:col>
      <xdr:colOff>1583742</xdr:colOff>
      <xdr:row>35</xdr:row>
      <xdr:rowOff>147965</xdr:rowOff>
    </xdr:to>
    <xdr:sp macro="" textlink="">
      <xdr:nvSpPr>
        <xdr:cNvPr id="181532" name="Ellipse 181531">
          <a:extLst>
            <a:ext uri="{FF2B5EF4-FFF2-40B4-BE49-F238E27FC236}">
              <a16:creationId xmlns:a16="http://schemas.microsoft.com/office/drawing/2014/main" id="{00000000-0008-0000-0300-00001CC50200}"/>
            </a:ext>
          </a:extLst>
        </xdr:cNvPr>
        <xdr:cNvSpPr>
          <a:spLocks noChangeAspect="1"/>
        </xdr:cNvSpPr>
      </xdr:nvSpPr>
      <xdr:spPr>
        <a:xfrm>
          <a:off x="9734550" y="69913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34</xdr:row>
      <xdr:rowOff>143998</xdr:rowOff>
    </xdr:from>
    <xdr:to>
      <xdr:col>8</xdr:col>
      <xdr:colOff>1420139</xdr:colOff>
      <xdr:row>35</xdr:row>
      <xdr:rowOff>177663</xdr:rowOff>
    </xdr:to>
    <xdr:sp macro="" textlink="">
      <xdr:nvSpPr>
        <xdr:cNvPr id="181534" name="Ellipse 181533">
          <a:extLst>
            <a:ext uri="{FF2B5EF4-FFF2-40B4-BE49-F238E27FC236}">
              <a16:creationId xmlns:a16="http://schemas.microsoft.com/office/drawing/2014/main" id="{00000000-0008-0000-0300-00001EC50200}"/>
            </a:ext>
          </a:extLst>
        </xdr:cNvPr>
        <xdr:cNvSpPr>
          <a:spLocks noChangeAspect="1"/>
        </xdr:cNvSpPr>
      </xdr:nvSpPr>
      <xdr:spPr>
        <a:xfrm>
          <a:off x="11504522" y="70210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189782</xdr:colOff>
      <xdr:row>41</xdr:row>
      <xdr:rowOff>8267</xdr:rowOff>
    </xdr:from>
    <xdr:to>
      <xdr:col>12</xdr:col>
      <xdr:colOff>306418</xdr:colOff>
      <xdr:row>61</xdr:row>
      <xdr:rowOff>198228</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353082" y="6094742"/>
          <a:ext cx="3174161" cy="4857211"/>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104775</xdr:colOff>
          <xdr:row>30</xdr:row>
          <xdr:rowOff>66675</xdr:rowOff>
        </xdr:from>
        <xdr:to>
          <xdr:col>3</xdr:col>
          <xdr:colOff>371475</xdr:colOff>
          <xdr:row>34</xdr:row>
          <xdr:rowOff>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160</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121</xdr:row>
          <xdr:rowOff>0</xdr:rowOff>
        </xdr:from>
        <xdr:to>
          <xdr:col>3</xdr:col>
          <xdr:colOff>333375</xdr:colOff>
          <xdr:row>122</xdr:row>
          <xdr:rowOff>9525</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427547</xdr:colOff>
      <xdr:row>41</xdr:row>
      <xdr:rowOff>566108</xdr:rowOff>
    </xdr:from>
    <xdr:to>
      <xdr:col>11</xdr:col>
      <xdr:colOff>853980</xdr:colOff>
      <xdr:row>48</xdr:row>
      <xdr:rowOff>132214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243939" y="6865188"/>
          <a:ext cx="1409700" cy="1739388"/>
        </a:xfrm>
        <a:prstGeom prst="rect">
          <a:avLst/>
        </a:prstGeom>
      </xdr:spPr>
    </xdr:pic>
    <xdr:clientData/>
  </xdr:twoCellAnchor>
  <xdr:twoCellAnchor>
    <xdr:from>
      <xdr:col>10</xdr:col>
      <xdr:colOff>770447</xdr:colOff>
      <xdr:row>48</xdr:row>
      <xdr:rowOff>54093</xdr:rowOff>
    </xdr:from>
    <xdr:to>
      <xdr:col>10</xdr:col>
      <xdr:colOff>770447</xdr:colOff>
      <xdr:row>50</xdr:row>
      <xdr:rowOff>152937</xdr:rowOff>
    </xdr:to>
    <xdr:cxnSp macro="">
      <xdr:nvCxnSpPr>
        <xdr:cNvPr id="7" name="Connecteur droit avec flèche 6">
          <a:extLst>
            <a:ext uri="{FF2B5EF4-FFF2-40B4-BE49-F238E27FC236}">
              <a16:creationId xmlns:a16="http://schemas.microsoft.com/office/drawing/2014/main" id="{00000000-0008-0000-0400-000007000000}"/>
            </a:ext>
          </a:extLst>
        </xdr:cNvPr>
        <xdr:cNvCxnSpPr/>
      </xdr:nvCxnSpPr>
      <xdr:spPr>
        <a:xfrm flipV="1">
          <a:off x="12586839" y="8455862"/>
          <a:ext cx="0" cy="476250"/>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521180</xdr:colOff>
      <xdr:row>50</xdr:row>
      <xdr:rowOff>143412</xdr:rowOff>
    </xdr:from>
    <xdr:to>
      <xdr:col>12</xdr:col>
      <xdr:colOff>526</xdr:colOff>
      <xdr:row>59</xdr:row>
      <xdr:rowOff>135184</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11358114" y="8922587"/>
          <a:ext cx="2533636" cy="1676762"/>
        </a:xfrm>
        <a:prstGeom prst="rect">
          <a:avLst/>
        </a:prstGeom>
      </xdr:spPr>
    </xdr:pic>
    <xdr:clientData/>
  </xdr:twoCellAnchor>
  <xdr:twoCellAnchor>
    <xdr:from>
      <xdr:col>9</xdr:col>
      <xdr:colOff>961486</xdr:colOff>
      <xdr:row>41</xdr:row>
      <xdr:rowOff>143774</xdr:rowOff>
    </xdr:from>
    <xdr:to>
      <xdr:col>11</xdr:col>
      <xdr:colOff>629010</xdr:colOff>
      <xdr:row>41</xdr:row>
      <xdr:rowOff>422335</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1798420" y="6442854"/>
          <a:ext cx="1626439"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rPr>
            <a:t>Schéma</a:t>
          </a:r>
          <a:r>
            <a:rPr lang="fr-CA" sz="1100" b="1" baseline="0">
              <a:solidFill>
                <a:srgbClr val="002060"/>
              </a:solidFill>
            </a:rPr>
            <a:t> -</a:t>
          </a:r>
          <a:r>
            <a:rPr lang="fr-CA" sz="1100" b="1">
              <a:solidFill>
                <a:srgbClr val="002060"/>
              </a:solidFill>
            </a:rPr>
            <a:t> Diamètre NPS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923365</xdr:colOff>
      <xdr:row>0</xdr:row>
      <xdr:rowOff>0</xdr:rowOff>
    </xdr:from>
    <xdr:to>
      <xdr:col>25</xdr:col>
      <xdr:colOff>209368</xdr:colOff>
      <xdr:row>3</xdr:row>
      <xdr:rowOff>58930</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265"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142875</xdr:colOff>
          <xdr:row>47</xdr:row>
          <xdr:rowOff>9525</xdr:rowOff>
        </xdr:from>
        <xdr:to>
          <xdr:col>2</xdr:col>
          <xdr:colOff>390525</xdr:colOff>
          <xdr:row>48</xdr:row>
          <xdr:rowOff>9525</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164</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21</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67185</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111</xdr:row>
          <xdr:rowOff>0</xdr:rowOff>
        </xdr:from>
        <xdr:to>
          <xdr:col>2</xdr:col>
          <xdr:colOff>1057275</xdr:colOff>
          <xdr:row>112</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113</xdr:row>
          <xdr:rowOff>0</xdr:rowOff>
        </xdr:from>
        <xdr:to>
          <xdr:col>2</xdr:col>
          <xdr:colOff>1057275</xdr:colOff>
          <xdr:row>114</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107</xdr:row>
          <xdr:rowOff>0</xdr:rowOff>
        </xdr:from>
        <xdr:to>
          <xdr:col>2</xdr:col>
          <xdr:colOff>1038225</xdr:colOff>
          <xdr:row>108</xdr:row>
          <xdr:rowOff>9525</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109</xdr:row>
          <xdr:rowOff>0</xdr:rowOff>
        </xdr:from>
        <xdr:to>
          <xdr:col>2</xdr:col>
          <xdr:colOff>1057275</xdr:colOff>
          <xdr:row>110</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105</xdr:row>
          <xdr:rowOff>0</xdr:rowOff>
        </xdr:from>
        <xdr:to>
          <xdr:col>2</xdr:col>
          <xdr:colOff>1038225</xdr:colOff>
          <xdr:row>106</xdr:row>
          <xdr:rowOff>28575</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116</xdr:row>
          <xdr:rowOff>66675</xdr:rowOff>
        </xdr:from>
        <xdr:to>
          <xdr:col>2</xdr:col>
          <xdr:colOff>981075</xdr:colOff>
          <xdr:row>117</xdr:row>
          <xdr:rowOff>180975</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1238250</xdr:colOff>
      <xdr:row>22</xdr:row>
      <xdr:rowOff>180975</xdr:rowOff>
    </xdr:from>
    <xdr:to>
      <xdr:col>19</xdr:col>
      <xdr:colOff>200024</xdr:colOff>
      <xdr:row>57</xdr:row>
      <xdr:rowOff>228600</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372475" y="4448175"/>
          <a:ext cx="12249149" cy="557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109</xdr:row>
      <xdr:rowOff>154781</xdr:rowOff>
    </xdr:from>
    <xdr:to>
      <xdr:col>10</xdr:col>
      <xdr:colOff>309035</xdr:colOff>
      <xdr:row>120</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148</xdr:row>
      <xdr:rowOff>19049</xdr:rowOff>
    </xdr:from>
    <xdr:to>
      <xdr:col>15</xdr:col>
      <xdr:colOff>116681</xdr:colOff>
      <xdr:row>162</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153</xdr:row>
      <xdr:rowOff>174626</xdr:rowOff>
    </xdr:from>
    <xdr:to>
      <xdr:col>6</xdr:col>
      <xdr:colOff>1427213</xdr:colOff>
      <xdr:row>163</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150</xdr:row>
      <xdr:rowOff>174625</xdr:rowOff>
    </xdr:from>
    <xdr:to>
      <xdr:col>6</xdr:col>
      <xdr:colOff>130253</xdr:colOff>
      <xdr:row>153</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366</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369</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146</xdr:row>
      <xdr:rowOff>209550</xdr:rowOff>
    </xdr:from>
    <xdr:to>
      <xdr:col>22</xdr:col>
      <xdr:colOff>422561</xdr:colOff>
      <xdr:row>156</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207</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237</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249</xdr:row>
      <xdr:rowOff>38099</xdr:rowOff>
    </xdr:from>
    <xdr:to>
      <xdr:col>13</xdr:col>
      <xdr:colOff>457200</xdr:colOff>
      <xdr:row>261</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304</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301</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302</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290</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287</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288</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316</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319</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320</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322</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317</xdr:row>
      <xdr:rowOff>38100</xdr:rowOff>
    </xdr:from>
    <xdr:to>
      <xdr:col>4</xdr:col>
      <xdr:colOff>504825</xdr:colOff>
      <xdr:row>324</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319</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552450</xdr:colOff>
      <xdr:row>23</xdr:row>
      <xdr:rowOff>152400</xdr:rowOff>
    </xdr:from>
    <xdr:to>
      <xdr:col>3</xdr:col>
      <xdr:colOff>552450</xdr:colOff>
      <xdr:row>24</xdr:row>
      <xdr:rowOff>38100</xdr:rowOff>
    </xdr:to>
    <xdr:cxnSp macro="">
      <xdr:nvCxnSpPr>
        <xdr:cNvPr id="22" name="Connecteur droit avec flèche 21">
          <a:extLst>
            <a:ext uri="{FF2B5EF4-FFF2-40B4-BE49-F238E27FC236}">
              <a16:creationId xmlns:a16="http://schemas.microsoft.com/office/drawing/2014/main" id="{00000000-0008-0000-0A00-000016000000}"/>
            </a:ext>
          </a:extLst>
        </xdr:cNvPr>
        <xdr:cNvCxnSpPr/>
      </xdr:nvCxnSpPr>
      <xdr:spPr>
        <a:xfrm>
          <a:off x="4838700" y="4657725"/>
          <a:ext cx="0" cy="1238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3679548</xdr:colOff>
      <xdr:row>40</xdr:row>
      <xdr:rowOff>828829</xdr:rowOff>
    </xdr:from>
    <xdr:to>
      <xdr:col>6</xdr:col>
      <xdr:colOff>428626</xdr:colOff>
      <xdr:row>41</xdr:row>
      <xdr:rowOff>76199</xdr:rowOff>
    </xdr:to>
    <xdr:pic>
      <xdr:nvPicPr>
        <xdr:cNvPr id="9" name="Image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6"/>
        <a:srcRect b="76068"/>
        <a:stretch/>
      </xdr:blipFill>
      <xdr:spPr>
        <a:xfrm>
          <a:off x="4270098" y="8677429"/>
          <a:ext cx="4578628" cy="723745"/>
        </a:xfrm>
        <a:prstGeom prst="rect">
          <a:avLst/>
        </a:prstGeom>
      </xdr:spPr>
    </xdr:pic>
    <xdr:clientData/>
  </xdr:twoCellAnchor>
  <xdr:twoCellAnchor editAs="oneCell">
    <xdr:from>
      <xdr:col>6</xdr:col>
      <xdr:colOff>285750</xdr:colOff>
      <xdr:row>40</xdr:row>
      <xdr:rowOff>177332</xdr:rowOff>
    </xdr:from>
    <xdr:to>
      <xdr:col>8</xdr:col>
      <xdr:colOff>304800</xdr:colOff>
      <xdr:row>41</xdr:row>
      <xdr:rowOff>641351</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rotWithShape="1">
        <a:blip xmlns:r="http://schemas.openxmlformats.org/officeDocument/2006/relationships" r:embed="rId6"/>
        <a:srcRect l="19246" t="24689" r="-248" b="-1089"/>
        <a:stretch/>
      </xdr:blipFill>
      <xdr:spPr>
        <a:xfrm>
          <a:off x="8699500" y="8601665"/>
          <a:ext cx="3119967" cy="19456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7" dT="2025-08-08T14:18:30.59" personId="{7BA2C6CB-8FAD-4123-9FB6-D31293453FD0}" id="{7724B788-6486-48C9-B771-BCE94EFAA39B}">
    <text xml:space="preserve">Par ailleurs, voici l'aide financière minimale sur laquelle nous nous sommes entendus avec Philippe et Fanny : 1000$. Ainsi, si le client soumet une demande pour une subvention de moins de 1000 $ (toutes mesures confondues) dans le calculateur, la subvention calculée doit être de 0$, avec un message en rouge en dessous stipulant que les demandes en dessous de 1000$ ne sont pas admissibles.  </tex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1.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2.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13.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1" dT="2024-01-11T14:35:38.70" personId="{7BA2C6CB-8FAD-4123-9FB6-D31293453FD0}" id="{45803A9C-3243-4027-8105-36577310010D}">
    <text xml:space="preserve">https://fr.slideshare.net/lcmartinelli1/spirax-sarco-thesteamandcondensateloopblock114
</text>
    <extLst>
      <x:ext xmlns:xltc2="http://schemas.microsoft.com/office/spreadsheetml/2020/threadedcomments2" uri="{F7C98A9C-CBB3-438F-8F68-D28B6AF4A901}">
        <xltc2:checksum>119573102</xltc2:checksum>
        <xltc2:hyperlink startIndex="0" length="86" url="https://fr.slideshare.net/lcmartinelli1/spirax-sarco-thesteamandcondensateloopblock114"/>
      </x:ext>
    </extLst>
  </threadedComment>
  <threadedComment ref="D41" dT="2024-01-11T14:35:40.86" personId="{7BA2C6CB-8FAD-4123-9FB6-D31293453FD0}" id="{34A672DD-D80D-4EC5-A51B-E3CB9CEFCC9D}" parentId="{45803A9C-3243-4027-8105-36577310010D}">
    <text xml:space="preserve">p.413/1268
3.21.7
</text>
  </threadedComment>
  <threadedComment ref="C43" dT="2025-05-01T12:23:40.92" personId="{7BA2C6CB-8FAD-4123-9FB6-D31293453FD0}" id="{653FBE9A-8ACE-49B1-BDB9-9DECE8B7C07F}">
    <text>Donc avant l’économiseur (si présent)</text>
  </threadedComment>
  <threadedComment ref="E103"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107" dT="2023-07-13T13:16:24.21" personId="{7BA2C6CB-8FAD-4123-9FB6-D31293453FD0}" id="{1B3D1917-937B-413C-B6B8-8CC588056A66}" done="1">
    <text xml:space="preserve">Peut-être 5% plutôt - voir rapport "144712 - Linkageless calculator improvements </text>
  </threadedComment>
  <threadedComment ref="D246" dT="2023-09-12T13:25:01.14" personId="{7BA2C6CB-8FAD-4123-9FB6-D31293453FD0}" id="{6FF0E1CC-6167-4AE1-8AD8-278A9F3D771E}">
    <text xml:space="preserve">Même class que les données du DoE: </text>
  </threadedComment>
  <threadedComment ref="D246"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8.xml><?xml version="1.0" encoding="utf-8"?>
<ThreadedComments xmlns="http://schemas.microsoft.com/office/spreadsheetml/2018/threadedcomments" xmlns:x="http://schemas.openxmlformats.org/spreadsheetml/2006/main">
  <threadedComment ref="C41" dT="2023-03-31T15:53:12.61" personId="{7BA2C6CB-8FAD-4123-9FB6-D31293453FD0}" id="{036FCD2C-834B-46D5-9E3B-D7BD65163AF8}">
    <text>Formule de Spirax Sarco (ref rapport projet CTGN n°146913, section 5.1.10)</text>
  </threadedComment>
</ThreadedComments>
</file>

<file path=xl/threadedComments/threadedComment9.xml><?xml version="1.0" encoding="utf-8"?>
<ThreadedComments xmlns="http://schemas.microsoft.com/office/spreadsheetml/2018/threadedcomments" xmlns:x="http://schemas.openxmlformats.org/spreadsheetml/2006/main">
  <threadedComment ref="C52" dT="2023-03-31T15:53:12.61" personId="{7BA2C6CB-8FAD-4123-9FB6-D31293453FD0}" id="{14D4C585-A98D-4C2F-BDFC-CDD133EB1DFB}">
    <text>Formule de Spirax Sarco (ref rapport projet CTGN n°146913, section 5.1.10)</tex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7.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1.bin"/><Relationship Id="rId4" Type="http://schemas.microsoft.com/office/2017/10/relationships/threadedComment" Target="../threadedComments/threadedComment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microsoft.com/office/2017/10/relationships/threadedComment" Target="../threadedComments/threadedComment9.xml"/><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microsoft.com/office/2017/10/relationships/threadedComment" Target="../threadedComments/threadedComment10.xml"/><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microsoft.com/office/2017/10/relationships/threadedComment" Target="../threadedComments/threadedComment11.xml"/><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microsoft.com/office/2017/10/relationships/threadedComment" Target="../threadedComments/threadedComment12.xml"/><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microsoft.com/office/2017/10/relationships/threadedComment" Target="../threadedComments/threadedComment13.xml"/><Relationship Id="rId4" Type="http://schemas.openxmlformats.org/officeDocument/2006/relationships/comments" Target="../comments21.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tidesandcurrents.noaa.gov/physocean.html?id=8510560"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3" Type="http://schemas.openxmlformats.org/officeDocument/2006/relationships/vmlDrawing" Target="../drawings/vmlDrawing5.vml"/><Relationship Id="rId7" Type="http://schemas.openxmlformats.org/officeDocument/2006/relationships/ctrlProp" Target="../ctrlProps/ctrlProp262.xml"/><Relationship Id="rId2" Type="http://schemas.openxmlformats.org/officeDocument/2006/relationships/drawing" Target="../drawings/drawing6.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5" Type="http://schemas.openxmlformats.org/officeDocument/2006/relationships/ctrlProp" Target="../ctrlProps/ctrlProp260.xml"/><Relationship Id="rId10" Type="http://schemas.openxmlformats.org/officeDocument/2006/relationships/comments" Target="../comments2.xml"/><Relationship Id="rId4" Type="http://schemas.openxmlformats.org/officeDocument/2006/relationships/ctrlProp" Target="../ctrlProps/ctrlProp259.xml"/><Relationship Id="rId9" Type="http://schemas.openxmlformats.org/officeDocument/2006/relationships/ctrlProp" Target="../ctrlProps/ctrlProp264.x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92"/>
  <sheetViews>
    <sheetView topLeftCell="A125" workbookViewId="0">
      <selection activeCell="H79" sqref="H79"/>
    </sheetView>
  </sheetViews>
  <sheetFormatPr baseColWidth="10" defaultColWidth="11.42578125" defaultRowHeight="15" outlineLevelRow="1"/>
  <cols>
    <col min="1" max="1" width="3.42578125" style="7" customWidth="1"/>
    <col min="2" max="2" width="3.140625" style="7" customWidth="1"/>
    <col min="3" max="3" width="24.42578125" style="7" customWidth="1"/>
    <col min="4" max="4" width="12.5703125" style="7" customWidth="1"/>
    <col min="5" max="5" width="33.42578125" style="7" customWidth="1"/>
    <col min="6" max="6" width="24.42578125" style="7" customWidth="1"/>
    <col min="7" max="7" width="25.85546875" style="7" customWidth="1"/>
    <col min="8" max="8" width="26.140625" style="7" customWidth="1"/>
    <col min="9" max="13" width="24.42578125" style="7" customWidth="1"/>
    <col min="14" max="14" width="20.140625" style="7" customWidth="1"/>
    <col min="15" max="15" width="26.140625" style="7" customWidth="1"/>
    <col min="16" max="16" width="18.5703125" style="7" customWidth="1"/>
    <col min="17" max="18" width="24.42578125" style="7" customWidth="1"/>
    <col min="19" max="19" width="3" style="7" customWidth="1"/>
    <col min="20" max="20" width="11.42578125" style="7"/>
    <col min="21" max="21" width="15.5703125" style="7" customWidth="1"/>
    <col min="22" max="16384" width="11.42578125" style="7"/>
  </cols>
  <sheetData>
    <row r="2" spans="2:22" ht="20.25">
      <c r="B2" s="570" t="s">
        <v>1793</v>
      </c>
    </row>
    <row r="3" spans="2:22" ht="20.25">
      <c r="B3" s="570"/>
    </row>
    <row r="4" spans="2:22" ht="20.25">
      <c r="B4" s="570"/>
      <c r="C4" s="1056" t="s">
        <v>1590</v>
      </c>
    </row>
    <row r="5" spans="2:22" ht="21" thickBot="1">
      <c r="B5" s="570"/>
      <c r="C5" s="997"/>
    </row>
    <row r="6" spans="2:22" ht="15" customHeight="1" thickBot="1">
      <c r="B6" s="986"/>
      <c r="D6" s="983"/>
      <c r="E6" s="983"/>
      <c r="F6" s="983"/>
      <c r="G6" s="998" t="s">
        <v>1597</v>
      </c>
      <c r="H6" s="988"/>
      <c r="I6" s="982" t="s">
        <v>646</v>
      </c>
      <c r="K6" s="987"/>
      <c r="L6" s="987"/>
      <c r="M6" s="987"/>
      <c r="N6" s="987"/>
      <c r="O6" s="987"/>
      <c r="P6" s="987"/>
      <c r="Q6" s="987"/>
      <c r="R6" s="987"/>
      <c r="S6" s="983"/>
      <c r="T6" s="978"/>
      <c r="U6" s="982"/>
      <c r="V6" s="982"/>
    </row>
    <row r="7" spans="2:22" ht="15" customHeight="1">
      <c r="B7" s="986"/>
      <c r="D7" s="983"/>
      <c r="E7" s="983"/>
      <c r="F7" s="983"/>
      <c r="G7" s="998"/>
      <c r="H7" s="996"/>
      <c r="I7" s="987"/>
      <c r="J7" s="982"/>
      <c r="K7" s="987"/>
      <c r="L7" s="987"/>
      <c r="M7" s="987"/>
      <c r="N7" s="987"/>
      <c r="O7" s="987"/>
      <c r="P7" s="987"/>
      <c r="Q7" s="987"/>
      <c r="R7" s="987"/>
      <c r="S7" s="983"/>
      <c r="T7" s="978"/>
      <c r="U7" s="982"/>
      <c r="V7" s="982"/>
    </row>
    <row r="8" spans="2:22" ht="26.45" customHeight="1">
      <c r="B8" s="986"/>
      <c r="D8" s="983"/>
      <c r="E8" s="983"/>
      <c r="F8" s="983"/>
      <c r="G8" s="998" t="s">
        <v>1808</v>
      </c>
      <c r="H8" s="198" t="str" cm="1">
        <f t="array" ref="H8">_xlfn.IFS(O88="Oui","Oui",O93="Oui","Oui",O94="Oui","Oui",O95="Oui","Oui",O118="Oui","Oui",O124="Oui","Oui",O128="Oui","Oui",O132="Oui","Oui",O136="Oui","Oui",O140="Oui","Oui",O144="Oui","Oui",O150="Oui","Oui",O156="Oui","Oui",O104="Oui","Oui",O88="Non","Non",O93="Non","Non",O94="Non","Non",O95="Non","Non",O118="Non","Non",O124="Non","Non",O128="Non","Non",O132="Non","Non",O136="Non","Non",O140="Non","Non",O144="Non","Non",O150="Non","Non",O156="Non","Non",O104="Non","Non")</f>
        <v>Non</v>
      </c>
      <c r="I8" s="1044" t="str">
        <f>IF(O156="Oui","Datech : Entrer le prix du gaz du client à la section e)","")</f>
        <v/>
      </c>
      <c r="J8" s="982"/>
      <c r="K8" s="987"/>
      <c r="L8" s="987"/>
      <c r="M8" s="987"/>
      <c r="N8" s="987"/>
      <c r="O8" s="987"/>
      <c r="P8" s="987"/>
      <c r="Q8" s="987"/>
      <c r="R8" s="987"/>
      <c r="S8" s="983"/>
      <c r="T8" s="978"/>
      <c r="U8" s="982"/>
      <c r="V8" s="982"/>
    </row>
    <row r="9" spans="2:22" ht="15" customHeight="1">
      <c r="B9" s="986"/>
      <c r="D9" s="983"/>
      <c r="E9" s="983"/>
      <c r="F9" s="983"/>
      <c r="G9" s="998"/>
      <c r="H9" s="998"/>
      <c r="I9" s="987"/>
      <c r="J9" s="982"/>
      <c r="K9" s="987"/>
      <c r="L9" s="987"/>
      <c r="M9" s="987"/>
      <c r="N9" s="987"/>
      <c r="O9" s="987"/>
      <c r="P9" s="987"/>
      <c r="Q9" s="987"/>
      <c r="R9" s="987"/>
      <c r="S9" s="983"/>
      <c r="T9" s="978"/>
      <c r="U9" s="982"/>
      <c r="V9" s="982"/>
    </row>
    <row r="10" spans="2:22" ht="15" customHeight="1">
      <c r="B10" s="986"/>
      <c r="C10" s="997" t="s">
        <v>1591</v>
      </c>
      <c r="D10" s="983"/>
      <c r="E10" s="983"/>
      <c r="F10" s="983"/>
      <c r="G10" s="993"/>
      <c r="H10" s="996"/>
      <c r="I10" s="987"/>
      <c r="J10" s="982"/>
      <c r="K10" s="987"/>
      <c r="L10" s="987"/>
      <c r="M10" s="987"/>
      <c r="N10" s="987"/>
      <c r="O10" s="987"/>
      <c r="P10" s="987"/>
      <c r="Q10" s="987"/>
      <c r="R10" s="987"/>
      <c r="S10" s="983"/>
      <c r="T10" s="978"/>
      <c r="U10" s="982"/>
      <c r="V10" s="982"/>
    </row>
    <row r="11" spans="2:22" ht="15" customHeight="1">
      <c r="B11" s="986"/>
      <c r="D11" s="983"/>
      <c r="E11" s="983"/>
      <c r="F11" s="983"/>
      <c r="G11" s="993"/>
      <c r="H11" s="996"/>
      <c r="I11" s="987"/>
      <c r="J11" s="982"/>
      <c r="K11" s="987"/>
      <c r="L11" s="987"/>
      <c r="M11" s="987"/>
      <c r="N11" s="987"/>
      <c r="O11" s="987"/>
      <c r="P11" s="987"/>
      <c r="Q11" s="987"/>
      <c r="R11" s="987"/>
      <c r="S11" s="983"/>
      <c r="T11" s="978"/>
      <c r="U11" s="982"/>
      <c r="V11" s="982"/>
    </row>
    <row r="12" spans="2:22" ht="15" customHeight="1">
      <c r="B12" s="986"/>
      <c r="C12" s="1842" t="s">
        <v>1547</v>
      </c>
      <c r="D12" s="1842"/>
      <c r="E12" s="1842"/>
      <c r="F12" s="1842"/>
      <c r="G12" s="1794" t="s">
        <v>303</v>
      </c>
      <c r="H12" s="1794"/>
      <c r="I12" s="1794"/>
      <c r="J12" s="1794"/>
      <c r="K12" s="1794"/>
      <c r="L12" s="1036"/>
      <c r="M12" s="1036"/>
      <c r="N12" s="1839"/>
      <c r="O12" s="1839"/>
      <c r="P12" s="1037"/>
      <c r="Q12" s="987"/>
      <c r="R12" s="987"/>
      <c r="S12" s="983"/>
      <c r="T12" s="978"/>
      <c r="U12" s="982"/>
      <c r="V12" s="982"/>
    </row>
    <row r="13" spans="2:22" ht="60" customHeight="1">
      <c r="B13" s="986"/>
      <c r="C13" s="1840" t="s">
        <v>1545</v>
      </c>
      <c r="D13" s="1840"/>
      <c r="E13" s="929" t="s">
        <v>1546</v>
      </c>
      <c r="F13" s="929" t="s">
        <v>1008</v>
      </c>
      <c r="G13" s="979" t="s">
        <v>1548</v>
      </c>
      <c r="H13" s="1840" t="s">
        <v>1549</v>
      </c>
      <c r="I13" s="1840"/>
      <c r="J13" s="1840" t="s">
        <v>1550</v>
      </c>
      <c r="K13" s="1840"/>
      <c r="L13" s="1841"/>
      <c r="M13" s="1841"/>
      <c r="N13" s="1038"/>
      <c r="O13" s="1038"/>
      <c r="P13" s="1038"/>
      <c r="Q13" s="987"/>
      <c r="R13" s="987"/>
      <c r="S13" s="983"/>
      <c r="T13" s="978"/>
      <c r="U13" s="982"/>
      <c r="V13" s="982"/>
    </row>
    <row r="14" spans="2:22" ht="15" customHeight="1">
      <c r="B14" s="986"/>
      <c r="C14" s="1834" t="s">
        <v>279</v>
      </c>
      <c r="D14" s="1834"/>
      <c r="E14" s="1100" t="str">
        <f>IF('3c. Calculateur MEÉ 2-3-4'!G23=0,"",'3c. Calculateur MEÉ 2-3-4'!G23)</f>
        <v/>
      </c>
      <c r="F14" s="1098" t="str">
        <f>IF(J21="","",J21&amp;" "&amp;H21)</f>
        <v/>
      </c>
      <c r="G14" s="1101" t="str">
        <f>IF('3c. Calculateur MEÉ 2-3-4'!G68="&lt; sélectionner &gt;","",'3c. Calculateur MEÉ 2-3-4'!G68)</f>
        <v/>
      </c>
      <c r="H14" s="1817" t="str" cm="1">
        <f t="array" ref="H14">_xlfn.IFS(E21="","",E21="Intégré à la chaudière","Intégré",E21="Sur la cheminée ","Non-intégré",E21="Non-intégré","Non-intégré")</f>
        <v/>
      </c>
      <c r="I14" s="1817"/>
      <c r="J14" s="1843" t="str">
        <f>IF(F21=0,"",F21)</f>
        <v/>
      </c>
      <c r="K14" s="1843"/>
      <c r="L14" s="1837"/>
      <c r="M14" s="1837"/>
      <c r="N14" s="1816"/>
      <c r="O14" s="1816"/>
      <c r="P14" s="1039"/>
      <c r="Q14" s="987"/>
      <c r="R14" s="987"/>
      <c r="S14" s="983"/>
      <c r="T14" s="978"/>
      <c r="U14" s="982"/>
      <c r="V14" s="982"/>
    </row>
    <row r="15" spans="2:22" ht="15" customHeight="1">
      <c r="B15" s="986"/>
      <c r="C15" s="1834" t="s">
        <v>280</v>
      </c>
      <c r="D15" s="1834"/>
      <c r="E15" s="1100" t="str">
        <f>IF('3c. Calculateur MEÉ 2-3-4'!I23=0,"",'3c. Calculateur MEÉ 2-3-4'!I23)</f>
        <v/>
      </c>
      <c r="F15" s="1098" t="str">
        <f t="shared" ref="F15:F17" si="0">IF(J22="","",J22&amp;" "&amp;H22)</f>
        <v/>
      </c>
      <c r="G15" s="1101" t="str">
        <f>IF('3c. Calculateur MEÉ 2-3-4'!I68="&lt; sélectionner &gt;","",'3c. Calculateur MEÉ 2-3-4'!I68)</f>
        <v/>
      </c>
      <c r="H15" s="1817" t="str" cm="1">
        <f t="array" ref="H15">_xlfn.IFS(E22="","",E22="Intégré à la chaudière","Intégré",E22="Sur la cheminée ","Non-intégré",E22="Non-intégré","Non-intégré")</f>
        <v/>
      </c>
      <c r="I15" s="1817"/>
      <c r="J15" s="1843" t="str">
        <f t="shared" ref="J15:J17" si="1">IF(F22=0,"",F22)</f>
        <v/>
      </c>
      <c r="K15" s="1843"/>
      <c r="L15" s="1837"/>
      <c r="M15" s="1837"/>
      <c r="N15" s="1816"/>
      <c r="O15" s="1816"/>
      <c r="P15" s="1039"/>
      <c r="Q15" s="987"/>
      <c r="R15" s="987"/>
      <c r="S15" s="983"/>
      <c r="T15" s="978"/>
      <c r="U15" s="982"/>
      <c r="V15" s="982"/>
    </row>
    <row r="16" spans="2:22" ht="15" customHeight="1">
      <c r="B16" s="986"/>
      <c r="C16" s="1834" t="s">
        <v>281</v>
      </c>
      <c r="D16" s="1834"/>
      <c r="E16" s="1100" t="str">
        <f>IF('3c. Calculateur MEÉ 2-3-4'!K23=0,"",'3c. Calculateur MEÉ 2-3-4'!K23)</f>
        <v/>
      </c>
      <c r="F16" s="1098" t="str">
        <f t="shared" si="0"/>
        <v/>
      </c>
      <c r="G16" s="1101" t="str">
        <f>IF('3c. Calculateur MEÉ 2-3-4'!K68="&lt; sélectionner &gt;","",'3c. Calculateur MEÉ 2-3-4'!K68)</f>
        <v/>
      </c>
      <c r="H16" s="1817" t="str" cm="1">
        <f t="array" ref="H16">_xlfn.IFS(E23="","",E23="Intégré à la chaudière","Intégré",E23="Sur la cheminée ","Non-intégré",E23="Non-intégré","Non-intégré")</f>
        <v/>
      </c>
      <c r="I16" s="1817"/>
      <c r="J16" s="1843" t="str">
        <f t="shared" si="1"/>
        <v/>
      </c>
      <c r="K16" s="1843"/>
      <c r="L16" s="1837"/>
      <c r="M16" s="1837"/>
      <c r="N16" s="1816"/>
      <c r="O16" s="1816"/>
      <c r="P16" s="1039"/>
      <c r="Q16" s="987"/>
      <c r="R16" s="987"/>
      <c r="S16" s="983"/>
      <c r="T16" s="978"/>
      <c r="U16" s="982"/>
      <c r="V16" s="982"/>
    </row>
    <row r="17" spans="2:22" ht="15" customHeight="1">
      <c r="B17" s="986"/>
      <c r="C17" s="1834" t="s">
        <v>282</v>
      </c>
      <c r="D17" s="1834"/>
      <c r="E17" s="1100" t="str">
        <f>IF('3c. Calculateur MEÉ 2-3-4'!M23=0,"",'3c. Calculateur MEÉ 2-3-4'!M23)</f>
        <v/>
      </c>
      <c r="F17" s="1098" t="str">
        <f t="shared" si="0"/>
        <v/>
      </c>
      <c r="G17" s="1101" t="str">
        <f>IF('3c. Calculateur MEÉ 2-3-4'!M68="&lt; sélectionner &gt;","",'3c. Calculateur MEÉ 2-3-4'!M68)</f>
        <v/>
      </c>
      <c r="H17" s="1817" t="str" cm="1">
        <f t="array" ref="H17">_xlfn.IFS(E24="","",E24="Intégré à la chaudière","Intégré",E24="Sur la cheminée ","Non-intégré",E24="Non-intégré","Non-intégré")</f>
        <v/>
      </c>
      <c r="I17" s="1817"/>
      <c r="J17" s="1843" t="str">
        <f t="shared" si="1"/>
        <v/>
      </c>
      <c r="K17" s="1843"/>
      <c r="L17" s="1837"/>
      <c r="M17" s="1837"/>
      <c r="N17" s="1816"/>
      <c r="O17" s="1816"/>
      <c r="P17" s="1039"/>
      <c r="Q17" s="987"/>
      <c r="R17" s="987"/>
      <c r="S17" s="983"/>
      <c r="T17" s="978"/>
      <c r="U17" s="982"/>
      <c r="V17" s="982"/>
    </row>
    <row r="18" spans="2:22" ht="15" customHeight="1" thickBot="1">
      <c r="B18" s="986"/>
      <c r="Q18" s="987"/>
      <c r="R18" s="987"/>
      <c r="S18" s="983"/>
      <c r="T18" s="978"/>
      <c r="U18" s="982"/>
      <c r="V18" s="982"/>
    </row>
    <row r="19" spans="2:22" ht="15" hidden="1" customHeight="1" outlineLevel="1">
      <c r="B19" s="986"/>
      <c r="C19" s="541" t="s">
        <v>1553</v>
      </c>
      <c r="Q19" s="987"/>
      <c r="R19" s="987"/>
      <c r="S19" s="983"/>
      <c r="T19" s="978"/>
      <c r="U19" s="982"/>
      <c r="V19" s="982"/>
    </row>
    <row r="20" spans="2:22" ht="26.25" hidden="1" customHeight="1" outlineLevel="1">
      <c r="B20" s="986"/>
      <c r="C20" s="1812" t="s">
        <v>1545</v>
      </c>
      <c r="D20" s="1813"/>
      <c r="E20" s="979" t="s">
        <v>1807</v>
      </c>
      <c r="F20" s="1840" t="s">
        <v>1550</v>
      </c>
      <c r="G20" s="1840"/>
      <c r="H20" s="1794" t="s">
        <v>1008</v>
      </c>
      <c r="I20" s="1794"/>
      <c r="J20" s="1794" t="s">
        <v>1552</v>
      </c>
      <c r="K20" s="1794"/>
      <c r="Q20" s="987"/>
      <c r="R20" s="987"/>
      <c r="S20" s="983"/>
      <c r="T20" s="978"/>
      <c r="U20" s="982"/>
      <c r="V20" s="982"/>
    </row>
    <row r="21" spans="2:22" ht="25.5" hidden="1" customHeight="1" outlineLevel="1">
      <c r="B21" s="986"/>
      <c r="C21" s="1835" t="s">
        <v>279</v>
      </c>
      <c r="D21" s="1836"/>
      <c r="E21" s="1109" t="str" cm="1">
        <f t="array" ref="E21">_xlfn.IFS('3c. Calculateur MEÉ 2-3-4'!G68="&lt; sélectionner &gt;","",'3c. Calculateur MEÉ 2-3-4'!G68="Éco. à condensation #1","Non-intégré",'3c. Calculateur MEÉ 2-3-4'!G68="Éco. à condensation #2","Non-intégré",'3c. Calculateur MEÉ 2-3-4'!G68="Éco. à condensation #3","Non-intégré",'3c. Calculateur MEÉ 2-3-4'!G68="Éco. à condensation #4","Non-intégré",'3c. Calculateur MEÉ 2-3-4'!G68="Éco. standard #1",'3c. Calculateur MEÉ 2-3-4'!G81,'3c. Calculateur MEÉ 2-3-4'!G68="Éco. standard #2",'3c. Calculateur MEÉ 2-3-4'!G81,'3c. Calculateur MEÉ 2-3-4'!G68="Éco. standard #3",'3c. Calculateur MEÉ 2-3-4'!G81,'3c. Calculateur MEÉ 2-3-4'!G68="Éco. standard #4",'3c. Calculateur MEÉ 2-3-4'!G81)</f>
        <v/>
      </c>
      <c r="F21" s="1821" t="str" cm="1">
        <f t="array" ref="F21">_xlfn.IFS('3c. Calculateur MEÉ 2-3-4'!G69=0,"",'3c. Calculateur MEÉ 2-3-4'!G69="s",'3c. Calculateur MEÉ 2-3-4'!G83,'3c. Calculateur MEÉ 2-3-4'!G69="c",'3c. Calculateur MEÉ 2-3-4'!G77)</f>
        <v/>
      </c>
      <c r="G21" s="1822"/>
      <c r="H21" s="1838" t="s">
        <v>350</v>
      </c>
      <c r="I21" s="1838"/>
      <c r="J21" s="1795" t="str">
        <f>IF('3c. Calculateur MEÉ 2-3-4'!G42="","",IF('3c. Calculateur MEÉ 2-3-4'!G42&lt;3,"Neuve","Existante"))</f>
        <v/>
      </c>
      <c r="K21" s="1796"/>
      <c r="Q21" s="987"/>
      <c r="R21" s="987"/>
      <c r="S21" s="983"/>
      <c r="T21" s="978"/>
      <c r="U21" s="982"/>
      <c r="V21" s="982"/>
    </row>
    <row r="22" spans="2:22" ht="25.5" hidden="1" customHeight="1" outlineLevel="1">
      <c r="B22" s="986"/>
      <c r="C22" s="1835" t="s">
        <v>280</v>
      </c>
      <c r="D22" s="1836"/>
      <c r="E22" s="1109" t="str" cm="1">
        <f t="array" ref="E22">_xlfn.IFS('3c. Calculateur MEÉ 2-3-4'!I68="&lt; sélectionner &gt;","",'3c. Calculateur MEÉ 2-3-4'!I68="Éco. à condensation #1","Non-intégré",'3c. Calculateur MEÉ 2-3-4'!I68="Éco. à condensation #2","Non-intégré",'3c. Calculateur MEÉ 2-3-4'!I68="Éco. à condensation #3","Non-intégré",'3c. Calculateur MEÉ 2-3-4'!I68="Éco. à condensation #4","Non-intégré",'3c. Calculateur MEÉ 2-3-4'!I68="Éco. standard #1",'3c. Calculateur MEÉ 2-3-4'!I81,'3c. Calculateur MEÉ 2-3-4'!I68="Éco. standard #2",'3c. Calculateur MEÉ 2-3-4'!I81,'3c. Calculateur MEÉ 2-3-4'!I68="Éco. standard #3",'3c. Calculateur MEÉ 2-3-4'!I81,'3c. Calculateur MEÉ 2-3-4'!I68="Éco. standard #4",'3c. Calculateur MEÉ 2-3-4'!I81)</f>
        <v/>
      </c>
      <c r="F22" s="1821" t="str" cm="1">
        <f t="array" ref="F22">_xlfn.IFS('3c. Calculateur MEÉ 2-3-4'!I69=0,"",'3c. Calculateur MEÉ 2-3-4'!I69="s",'3c. Calculateur MEÉ 2-3-4'!I83,'3c. Calculateur MEÉ 2-3-4'!I69="c",'3c. Calculateur MEÉ 2-3-4'!I77)</f>
        <v/>
      </c>
      <c r="G22" s="1822"/>
      <c r="H22" s="1838" t="s">
        <v>350</v>
      </c>
      <c r="I22" s="1838"/>
      <c r="J22" s="1795" t="str">
        <f>IF('3c. Calculateur MEÉ 2-3-4'!I42="","",IF('3c. Calculateur MEÉ 2-3-4'!I42&lt;3,"Neuve","Existante"))</f>
        <v/>
      </c>
      <c r="K22" s="1796"/>
      <c r="Q22" s="987"/>
      <c r="R22" s="987"/>
      <c r="S22" s="983"/>
      <c r="T22" s="978"/>
      <c r="U22" s="982"/>
      <c r="V22" s="982"/>
    </row>
    <row r="23" spans="2:22" ht="25.5" hidden="1" customHeight="1" outlineLevel="1">
      <c r="B23" s="986"/>
      <c r="C23" s="1835" t="s">
        <v>281</v>
      </c>
      <c r="D23" s="1836"/>
      <c r="E23" s="1109" t="str" cm="1">
        <f t="array" ref="E23">_xlfn.IFS('3c. Calculateur MEÉ 2-3-4'!K68="&lt; sélectionner &gt;","",'3c. Calculateur MEÉ 2-3-4'!K68="Éco. à condensation #1","Non-intégré",'3c. Calculateur MEÉ 2-3-4'!K68="Éco. à condensation #2","Non-intégré",'3c. Calculateur MEÉ 2-3-4'!K68="Éco. à condensation #3","Non-intégré",'3c. Calculateur MEÉ 2-3-4'!K68="Éco. à condensation #4","Non-intégré",'3c. Calculateur MEÉ 2-3-4'!K68="Éco. standard #1",'3c. Calculateur MEÉ 2-3-4'!K81,'3c. Calculateur MEÉ 2-3-4'!K68="Éco. standard #2",'3c. Calculateur MEÉ 2-3-4'!K81,'3c. Calculateur MEÉ 2-3-4'!K68="Éco. standard #3",'3c. Calculateur MEÉ 2-3-4'!K81,'3c. Calculateur MEÉ 2-3-4'!K68="Éco. standard #4",'3c. Calculateur MEÉ 2-3-4'!K81)</f>
        <v/>
      </c>
      <c r="F23" s="1821" t="str" cm="1">
        <f t="array" ref="F23">_xlfn.IFS('3c. Calculateur MEÉ 2-3-4'!K69=0,"",'3c. Calculateur MEÉ 2-3-4'!K69="s",'3c. Calculateur MEÉ 2-3-4'!K83,'3c. Calculateur MEÉ 2-3-4'!K69="c",'3c. Calculateur MEÉ 2-3-4'!K77)</f>
        <v/>
      </c>
      <c r="G23" s="1822"/>
      <c r="H23" s="1838" t="s">
        <v>350</v>
      </c>
      <c r="I23" s="1838"/>
      <c r="J23" s="1795" t="str">
        <f>IF('3c. Calculateur MEÉ 2-3-4'!K42="","",IF('3c. Calculateur MEÉ 2-3-4'!K42&lt;3,"Neuve","Existante"))</f>
        <v/>
      </c>
      <c r="K23" s="1796"/>
      <c r="Q23" s="987"/>
      <c r="R23" s="987"/>
      <c r="S23" s="983"/>
      <c r="T23" s="978"/>
      <c r="U23" s="982"/>
      <c r="V23" s="982"/>
    </row>
    <row r="24" spans="2:22" ht="25.5" hidden="1" customHeight="1" outlineLevel="1">
      <c r="B24" s="986"/>
      <c r="C24" s="1835" t="s">
        <v>282</v>
      </c>
      <c r="D24" s="1836"/>
      <c r="E24" s="1109" t="str" cm="1">
        <f t="array" ref="E24">_xlfn.IFS('3c. Calculateur MEÉ 2-3-4'!M68="&lt; sélectionner &gt;","",'3c. Calculateur MEÉ 2-3-4'!M68="Éco. à condensation #1","Non-intégré",'3c. Calculateur MEÉ 2-3-4'!M68="Éco. à condensation #2","Non-intégré",'3c. Calculateur MEÉ 2-3-4'!M68="Éco. à condensation #3","Non-intégré",'3c. Calculateur MEÉ 2-3-4'!M68="Éco. à condensation #4","Non-intégré",'3c. Calculateur MEÉ 2-3-4'!M68="Éco. standard #1",'3c. Calculateur MEÉ 2-3-4'!M81,'3c. Calculateur MEÉ 2-3-4'!M68="Éco. standard #2",'3c. Calculateur MEÉ 2-3-4'!M81,'3c. Calculateur MEÉ 2-3-4'!M68="Éco. standard #3",'3c. Calculateur MEÉ 2-3-4'!M81,'3c. Calculateur MEÉ 2-3-4'!K68="Éco. standard #4",'3c. Calculateur MEÉ 2-3-4'!M81)</f>
        <v/>
      </c>
      <c r="F24" s="1821" t="str" cm="1">
        <f t="array" ref="F24">_xlfn.IFS('3c. Calculateur MEÉ 2-3-4'!M69=0,"",'3c. Calculateur MEÉ 2-3-4'!M69="s",'3c. Calculateur MEÉ 2-3-4'!M83,'3c. Calculateur MEÉ 2-3-4'!M69="c",'3c. Calculateur MEÉ 2-3-4'!M77)</f>
        <v/>
      </c>
      <c r="G24" s="1822"/>
      <c r="H24" s="1838" t="s">
        <v>350</v>
      </c>
      <c r="I24" s="1838"/>
      <c r="J24" s="1795" t="str">
        <f>IF('3c. Calculateur MEÉ 2-3-4'!M42="","",IF('3c. Calculateur MEÉ 2-3-4'!M42&lt;3,"Neuve","Existante"))</f>
        <v/>
      </c>
      <c r="K24" s="1796"/>
      <c r="Q24" s="987"/>
      <c r="R24" s="987"/>
      <c r="S24" s="983"/>
      <c r="T24" s="978"/>
      <c r="U24" s="982"/>
      <c r="V24" s="982"/>
    </row>
    <row r="25" spans="2:22" ht="15" hidden="1" customHeight="1" outlineLevel="1">
      <c r="B25" s="986"/>
      <c r="Q25" s="987"/>
      <c r="R25" s="987"/>
      <c r="S25" s="983"/>
      <c r="T25" s="978"/>
      <c r="U25" s="982"/>
      <c r="V25" s="982"/>
    </row>
    <row r="26" spans="2:22" ht="33.75" customHeight="1" collapsed="1">
      <c r="B26" s="986"/>
      <c r="C26" s="1864" t="s">
        <v>1555</v>
      </c>
      <c r="D26" s="1865"/>
      <c r="E26" s="1866"/>
      <c r="F26" s="1772" t="s">
        <v>1569</v>
      </c>
      <c r="G26" s="1772" t="s">
        <v>1624</v>
      </c>
      <c r="H26" s="1772" t="s">
        <v>1701</v>
      </c>
      <c r="I26" s="1773" t="s">
        <v>1920</v>
      </c>
      <c r="Q26" s="987"/>
      <c r="R26" s="987"/>
      <c r="S26" s="983"/>
      <c r="T26" s="978"/>
      <c r="U26" s="982"/>
      <c r="V26" s="982"/>
    </row>
    <row r="27" spans="2:22">
      <c r="B27" s="986"/>
      <c r="C27" s="1829" t="s">
        <v>1556</v>
      </c>
      <c r="D27" s="1830"/>
      <c r="E27" s="1831"/>
      <c r="F27" s="1102" t="str">
        <f>IF(L124=0, "Mesure non installée",L124)</f>
        <v>Mesure non installée</v>
      </c>
      <c r="G27" s="1110" t="str" cm="1">
        <f t="array" ref="G27">_xlfn.IFS(F27="Mesure non installée","Mesure non installée",'3b. Calculateur - MEÉ 1'!I173*277.778/Hypothèses!D216=0,0,'3b. Calculateur - MEÉ 1'!I173*277.778/Hypothèses!D216&gt;0,'3b. Calculateur - MEÉ 1'!I173*277.778/Hypothèses!D216)</f>
        <v>Mesure non installée</v>
      </c>
      <c r="H27" s="1112">
        <f>'2. Rapport détaillé des coûts'!E141</f>
        <v>0</v>
      </c>
      <c r="I27" s="1774">
        <f>IF(F27="Mesure non installée",0,1)</f>
        <v>0</v>
      </c>
      <c r="Q27" s="987"/>
      <c r="R27" s="987"/>
      <c r="S27" s="983"/>
      <c r="T27" s="978"/>
      <c r="U27" s="982"/>
      <c r="V27" s="982"/>
    </row>
    <row r="28" spans="2:22">
      <c r="B28" s="986"/>
      <c r="C28" s="1798" t="s">
        <v>1557</v>
      </c>
      <c r="D28" s="1799"/>
      <c r="E28" s="1800"/>
      <c r="F28" s="1102" t="str">
        <f>IF(H128=0,"Mesure non installée",H128)</f>
        <v>Mesure non installée</v>
      </c>
      <c r="G28" s="1111"/>
      <c r="H28" s="1112">
        <f>'2. Rapport détaillé des coûts'!F145</f>
        <v>0</v>
      </c>
      <c r="I28" s="1774">
        <f t="shared" ref="I28:I45" si="2">IF(F28="Mesure non installée",0,1)</f>
        <v>0</v>
      </c>
      <c r="Q28" s="987"/>
      <c r="R28" s="987"/>
      <c r="S28" s="983"/>
      <c r="T28" s="978"/>
      <c r="U28" s="982"/>
      <c r="V28" s="982"/>
    </row>
    <row r="29" spans="2:22">
      <c r="B29" s="986"/>
      <c r="C29" s="1798" t="s">
        <v>1558</v>
      </c>
      <c r="D29" s="1799"/>
      <c r="E29" s="1800"/>
      <c r="F29" s="1102" t="str">
        <f>IF(I128=0,"Mesure non installée",I128)</f>
        <v>Mesure non installée</v>
      </c>
      <c r="G29" s="1111"/>
      <c r="H29" s="1112">
        <f>'2. Rapport détaillé des coûts'!F146</f>
        <v>0</v>
      </c>
      <c r="I29" s="1774">
        <f t="shared" si="2"/>
        <v>0</v>
      </c>
      <c r="Q29" s="987"/>
      <c r="R29" s="987"/>
      <c r="S29" s="983"/>
      <c r="T29" s="978"/>
      <c r="U29" s="982"/>
      <c r="V29" s="982"/>
    </row>
    <row r="30" spans="2:22">
      <c r="B30" s="986"/>
      <c r="C30" s="1798" t="s">
        <v>1559</v>
      </c>
      <c r="D30" s="1799"/>
      <c r="E30" s="1800"/>
      <c r="F30" s="1102" t="str">
        <f>IF(J128=0,"Mesure non installée",J128)</f>
        <v>Mesure non installée</v>
      </c>
      <c r="G30" s="1111"/>
      <c r="H30" s="1112">
        <f>'2. Rapport détaillé des coûts'!F147</f>
        <v>0</v>
      </c>
      <c r="I30" s="1774">
        <f t="shared" si="2"/>
        <v>0</v>
      </c>
      <c r="Q30" s="987"/>
      <c r="R30" s="987"/>
      <c r="S30" s="983"/>
      <c r="T30" s="978"/>
      <c r="U30" s="982"/>
      <c r="V30" s="982"/>
    </row>
    <row r="31" spans="2:22">
      <c r="B31" s="986"/>
      <c r="C31" s="1798" t="s">
        <v>1560</v>
      </c>
      <c r="D31" s="1799"/>
      <c r="E31" s="1800"/>
      <c r="F31" s="1102" t="str">
        <f>IF(K128=0,"Mesure non installée",K128)</f>
        <v>Mesure non installée</v>
      </c>
      <c r="G31" s="1111"/>
      <c r="H31" s="1112">
        <f>'2. Rapport détaillé des coûts'!F148</f>
        <v>0</v>
      </c>
      <c r="I31" s="1774">
        <f t="shared" si="2"/>
        <v>0</v>
      </c>
      <c r="Q31" s="987"/>
      <c r="R31" s="987"/>
      <c r="S31" s="983"/>
      <c r="T31" s="978"/>
      <c r="U31" s="982"/>
      <c r="V31" s="982"/>
    </row>
    <row r="32" spans="2:22">
      <c r="B32" s="986"/>
      <c r="C32" s="1798" t="s">
        <v>1609</v>
      </c>
      <c r="D32" s="1799"/>
      <c r="E32" s="1800"/>
      <c r="F32" s="1102" t="str">
        <f>IF(H132=0,"Mesure non installée",H132)</f>
        <v>Mesure non installée</v>
      </c>
      <c r="G32" s="1111"/>
      <c r="H32" s="1112">
        <f>'2. Rapport détaillé des coûts'!H145</f>
        <v>0</v>
      </c>
      <c r="I32" s="1774">
        <f t="shared" si="2"/>
        <v>0</v>
      </c>
      <c r="Q32" s="987"/>
      <c r="R32" s="987"/>
      <c r="S32" s="983"/>
      <c r="T32" s="978"/>
      <c r="U32" s="982"/>
      <c r="V32" s="982"/>
    </row>
    <row r="33" spans="2:22">
      <c r="B33" s="986"/>
      <c r="C33" s="1798" t="s">
        <v>1610</v>
      </c>
      <c r="D33" s="1799"/>
      <c r="E33" s="1800"/>
      <c r="F33" s="1102" t="str">
        <f>IF(I132=0,"Mesure non installée",I132)</f>
        <v>Mesure non installée</v>
      </c>
      <c r="G33" s="1111"/>
      <c r="H33" s="1112">
        <f>'2. Rapport détaillé des coûts'!H146</f>
        <v>0</v>
      </c>
      <c r="I33" s="1774">
        <f t="shared" si="2"/>
        <v>0</v>
      </c>
      <c r="Q33" s="987"/>
      <c r="R33" s="987"/>
      <c r="S33" s="983"/>
      <c r="T33" s="978"/>
      <c r="U33" s="982"/>
      <c r="V33" s="982"/>
    </row>
    <row r="34" spans="2:22">
      <c r="B34" s="986"/>
      <c r="C34" s="1798" t="s">
        <v>1611</v>
      </c>
      <c r="D34" s="1799"/>
      <c r="E34" s="1800"/>
      <c r="F34" s="1102" t="str">
        <f>IF(J132=0,"Mesure non installée",J132)</f>
        <v>Mesure non installée</v>
      </c>
      <c r="G34" s="1111"/>
      <c r="H34" s="1112">
        <f>'2. Rapport détaillé des coûts'!H147</f>
        <v>0</v>
      </c>
      <c r="I34" s="1774">
        <f t="shared" si="2"/>
        <v>0</v>
      </c>
      <c r="Q34" s="987"/>
      <c r="R34" s="987"/>
      <c r="S34" s="983"/>
      <c r="T34" s="978"/>
      <c r="U34" s="982"/>
      <c r="V34" s="982"/>
    </row>
    <row r="35" spans="2:22">
      <c r="B35" s="986"/>
      <c r="C35" s="1798" t="s">
        <v>1612</v>
      </c>
      <c r="D35" s="1799"/>
      <c r="E35" s="1800"/>
      <c r="F35" s="1102" t="str">
        <f>IF(K132=0,"Mesure non installée",K132)</f>
        <v>Mesure non installée</v>
      </c>
      <c r="G35" s="1111"/>
      <c r="H35" s="1112">
        <f>'2. Rapport détaillé des coûts'!H148</f>
        <v>0</v>
      </c>
      <c r="I35" s="1774">
        <f>IF(F35="Mesure non installée",0,1)</f>
        <v>0</v>
      </c>
      <c r="Q35" s="987"/>
      <c r="R35" s="987"/>
      <c r="S35" s="983"/>
      <c r="T35" s="978"/>
      <c r="U35" s="982"/>
      <c r="V35" s="982"/>
    </row>
    <row r="36" spans="2:22">
      <c r="B36" s="986"/>
      <c r="C36" s="1798" t="s">
        <v>1798</v>
      </c>
      <c r="D36" s="1799"/>
      <c r="E36" s="1800"/>
      <c r="F36" s="1102" t="str">
        <f>IF(F38=0,"Mesure non installée",F38)</f>
        <v>Mesure non installée</v>
      </c>
      <c r="G36" s="1111"/>
      <c r="H36" s="1112">
        <f>IF(F36="Mesure non installée",0,SUM('2. Rapport détaillé des coûts'!I145:K145))</f>
        <v>0</v>
      </c>
      <c r="I36" s="1774">
        <f>IF(F36="Mesure non installée",0,1)</f>
        <v>0</v>
      </c>
      <c r="J36" s="1248"/>
      <c r="Q36" s="987"/>
      <c r="R36" s="987"/>
      <c r="S36" s="983"/>
      <c r="T36" s="978"/>
      <c r="U36" s="982"/>
      <c r="V36" s="982"/>
    </row>
    <row r="37" spans="2:22" hidden="1">
      <c r="B37" s="986"/>
      <c r="C37" s="1775"/>
      <c r="D37" s="1246"/>
      <c r="E37" s="1247" t="s">
        <v>1933</v>
      </c>
      <c r="F37" s="1102" t="str">
        <f>'3c. Calculateur MEÉ 2-3-4'!G68</f>
        <v>&lt; sélectionner &gt;</v>
      </c>
      <c r="G37" s="1111"/>
      <c r="H37" s="1112"/>
      <c r="I37" s="1774"/>
      <c r="J37" s="1248"/>
      <c r="Q37" s="987"/>
      <c r="R37" s="987"/>
      <c r="S37" s="983"/>
      <c r="T37" s="978"/>
      <c r="U37" s="982"/>
      <c r="V37" s="982"/>
    </row>
    <row r="38" spans="2:22" hidden="1">
      <c r="B38" s="986"/>
      <c r="C38" s="1775"/>
      <c r="D38" s="1246"/>
      <c r="E38" s="1247" t="s">
        <v>1934</v>
      </c>
      <c r="F38" s="1102">
        <f>IF(F37="Non",0,IF(F37="&lt; sélectionner &gt;",0,VLOOKUP(F37,C63:E72,3,FALSE)))</f>
        <v>0</v>
      </c>
      <c r="G38" s="1111"/>
      <c r="H38" s="1112"/>
      <c r="I38" s="1774"/>
      <c r="J38" s="1248"/>
      <c r="Q38" s="987"/>
      <c r="R38" s="987"/>
      <c r="S38" s="983"/>
      <c r="T38" s="978"/>
      <c r="U38" s="982"/>
      <c r="V38" s="982"/>
    </row>
    <row r="39" spans="2:22">
      <c r="B39" s="986"/>
      <c r="C39" s="1798" t="s">
        <v>1799</v>
      </c>
      <c r="D39" s="1799"/>
      <c r="E39" s="1800"/>
      <c r="F39" s="1102" t="str">
        <f>IF(F41=0,"Mesure non installée",F41)</f>
        <v>Mesure non installée</v>
      </c>
      <c r="G39" s="1111"/>
      <c r="H39" s="1112">
        <f>IF(F39="Mesure non installée",0,SUM('2. Rapport détaillé des coûts'!I146:K146))</f>
        <v>0</v>
      </c>
      <c r="I39" s="1774">
        <f t="shared" si="2"/>
        <v>0</v>
      </c>
      <c r="Q39" s="987"/>
      <c r="R39" s="987"/>
      <c r="S39" s="983"/>
      <c r="T39" s="978"/>
      <c r="U39" s="982"/>
      <c r="V39" s="982"/>
    </row>
    <row r="40" spans="2:22" hidden="1">
      <c r="B40" s="986"/>
      <c r="C40" s="1823" t="s">
        <v>1933</v>
      </c>
      <c r="D40" s="1824"/>
      <c r="E40" s="1825"/>
      <c r="F40" s="1102" t="str">
        <f>'3c. Calculateur MEÉ 2-3-4'!I68</f>
        <v>&lt; sélectionner &gt;</v>
      </c>
      <c r="G40" s="1111"/>
      <c r="H40" s="1112"/>
      <c r="I40" s="1774"/>
      <c r="Q40" s="987"/>
      <c r="R40" s="987"/>
      <c r="S40" s="983"/>
      <c r="T40" s="978"/>
      <c r="U40" s="982"/>
      <c r="V40" s="982"/>
    </row>
    <row r="41" spans="2:22" hidden="1">
      <c r="B41" s="986"/>
      <c r="C41" s="1823" t="s">
        <v>1934</v>
      </c>
      <c r="D41" s="1824"/>
      <c r="E41" s="1825"/>
      <c r="F41" s="1102">
        <f>IF(F40="Non",0,IF(F40="&lt; sélectionner &gt;",0,VLOOKUP(F40,C63:E72,3,FALSE)))</f>
        <v>0</v>
      </c>
      <c r="G41" s="1111"/>
      <c r="H41" s="1112"/>
      <c r="I41" s="1774"/>
      <c r="Q41" s="987"/>
      <c r="R41" s="987"/>
      <c r="S41" s="983"/>
      <c r="T41" s="978"/>
      <c r="U41" s="982"/>
      <c r="V41" s="982"/>
    </row>
    <row r="42" spans="2:22">
      <c r="B42" s="986"/>
      <c r="C42" s="1798" t="s">
        <v>1800</v>
      </c>
      <c r="D42" s="1799"/>
      <c r="E42" s="1800"/>
      <c r="F42" s="1102" t="str">
        <f>IF(F44=0,"Mesure non installée",F44)</f>
        <v>Mesure non installée</v>
      </c>
      <c r="G42" s="1111"/>
      <c r="H42" s="1112">
        <f>IF(F42="Mesure non installée",0,SUM('2. Rapport détaillé des coûts'!I147:K147))</f>
        <v>0</v>
      </c>
      <c r="I42" s="1774">
        <f t="shared" si="2"/>
        <v>0</v>
      </c>
      <c r="Q42" s="987"/>
      <c r="R42" s="987"/>
      <c r="S42" s="983"/>
      <c r="T42" s="978"/>
      <c r="U42" s="982"/>
      <c r="V42" s="982"/>
    </row>
    <row r="43" spans="2:22" hidden="1">
      <c r="B43" s="986"/>
      <c r="C43" s="1823" t="s">
        <v>1933</v>
      </c>
      <c r="D43" s="1824"/>
      <c r="E43" s="1825"/>
      <c r="F43" s="1102" t="str">
        <f>'3c. Calculateur MEÉ 2-3-4'!K68</f>
        <v>&lt; sélectionner &gt;</v>
      </c>
      <c r="G43" s="1111"/>
      <c r="H43" s="1112"/>
      <c r="I43" s="1774"/>
      <c r="Q43" s="987"/>
      <c r="R43" s="987"/>
      <c r="S43" s="983"/>
      <c r="T43" s="978"/>
      <c r="U43" s="982"/>
      <c r="V43" s="982"/>
    </row>
    <row r="44" spans="2:22" hidden="1">
      <c r="B44" s="986"/>
      <c r="C44" s="1823" t="s">
        <v>1934</v>
      </c>
      <c r="D44" s="1824"/>
      <c r="E44" s="1825"/>
      <c r="F44" s="1102">
        <f>IF(F43="Non",0,IF(F43="&lt; sélectionner &gt;",0,VLOOKUP(F43,C63:E72,3,FALSE)))</f>
        <v>0</v>
      </c>
      <c r="G44" s="1111"/>
      <c r="H44" s="1112"/>
      <c r="I44" s="1774"/>
      <c r="Q44" s="987"/>
      <c r="R44" s="987"/>
      <c r="S44" s="983"/>
      <c r="T44" s="978"/>
      <c r="U44" s="982"/>
      <c r="V44" s="982"/>
    </row>
    <row r="45" spans="2:22">
      <c r="B45" s="986"/>
      <c r="C45" s="1801" t="s">
        <v>1801</v>
      </c>
      <c r="D45" s="1802"/>
      <c r="E45" s="1802"/>
      <c r="F45" s="1102" t="str">
        <f>IF(F47=0,"Mesure non installée",F47)</f>
        <v>Mesure non installée</v>
      </c>
      <c r="G45" s="1059"/>
      <c r="H45" s="1112">
        <f>IF(F45="Mesure non installée",0,SUM('2. Rapport détaillé des coûts'!I148:K148))</f>
        <v>0</v>
      </c>
      <c r="I45" s="1774">
        <f t="shared" si="2"/>
        <v>0</v>
      </c>
      <c r="J45" s="982"/>
      <c r="K45" s="987"/>
      <c r="L45" s="987"/>
      <c r="M45" s="987"/>
      <c r="N45" s="987"/>
      <c r="O45" s="987"/>
      <c r="P45" s="987"/>
      <c r="Q45" s="987"/>
      <c r="R45" s="987"/>
      <c r="S45" s="983"/>
      <c r="T45" s="978"/>
      <c r="U45" s="982"/>
      <c r="V45" s="982"/>
    </row>
    <row r="46" spans="2:22" hidden="1">
      <c r="B46" s="986"/>
      <c r="C46" s="1814" t="s">
        <v>1933</v>
      </c>
      <c r="D46" s="1815"/>
      <c r="E46" s="1815"/>
      <c r="F46" s="1102" t="str">
        <f>'3c. Calculateur MEÉ 2-3-4'!M68</f>
        <v>&lt; sélectionner &gt;</v>
      </c>
      <c r="G46" s="1059"/>
      <c r="H46" s="1112"/>
      <c r="I46" s="1774"/>
      <c r="J46" s="982"/>
      <c r="K46" s="987"/>
      <c r="L46" s="987"/>
      <c r="M46" s="987"/>
      <c r="N46" s="987"/>
      <c r="O46" s="987"/>
      <c r="P46" s="987"/>
      <c r="Q46" s="987"/>
      <c r="R46" s="987"/>
      <c r="S46" s="983"/>
      <c r="T46" s="978"/>
      <c r="U46" s="982"/>
      <c r="V46" s="982"/>
    </row>
    <row r="47" spans="2:22" hidden="1">
      <c r="B47" s="986"/>
      <c r="C47" s="1814" t="s">
        <v>1934</v>
      </c>
      <c r="D47" s="1815"/>
      <c r="E47" s="1815"/>
      <c r="F47" s="1102">
        <f>IF(F46="Non",0,IF(F46="&lt; sélectionner &gt;",0,VLOOKUP(F46,C63:E72,3,FALSE)))</f>
        <v>0</v>
      </c>
      <c r="G47" s="1059"/>
      <c r="H47" s="1112"/>
      <c r="I47" s="1774"/>
      <c r="J47" s="982"/>
      <c r="K47" s="987"/>
      <c r="L47" s="987"/>
      <c r="M47" s="987"/>
      <c r="N47" s="987"/>
      <c r="O47" s="987"/>
      <c r="P47" s="987"/>
      <c r="Q47" s="987"/>
      <c r="R47" s="987"/>
      <c r="S47" s="983"/>
      <c r="T47" s="978"/>
      <c r="U47" s="982"/>
      <c r="V47" s="982"/>
    </row>
    <row r="48" spans="2:22" ht="18.75">
      <c r="B48" s="986"/>
      <c r="C48" s="1826" t="s">
        <v>1537</v>
      </c>
      <c r="D48" s="1827"/>
      <c r="E48" s="1782"/>
      <c r="F48" s="1770">
        <f>SUM(F27:F45)</f>
        <v>0</v>
      </c>
      <c r="G48" s="1783">
        <f>SUM(G27)</f>
        <v>0</v>
      </c>
      <c r="H48" s="1771">
        <f>SUM(H27:H45)</f>
        <v>0</v>
      </c>
      <c r="I48" s="1776">
        <f>SUM(I27:I45)</f>
        <v>0</v>
      </c>
      <c r="J48" s="982"/>
      <c r="K48" s="987"/>
      <c r="L48" s="987"/>
      <c r="M48" s="987"/>
      <c r="N48" s="987"/>
      <c r="O48" s="987"/>
      <c r="P48" s="987"/>
      <c r="Q48" s="987"/>
      <c r="R48" s="987"/>
      <c r="S48" s="983"/>
      <c r="T48" s="978"/>
      <c r="U48" s="982"/>
      <c r="V48" s="982"/>
    </row>
    <row r="49" spans="2:22" ht="15.75" thickBot="1">
      <c r="B49" s="986"/>
      <c r="C49" s="1832" t="s">
        <v>1703</v>
      </c>
      <c r="D49" s="1833"/>
      <c r="E49" s="1777">
        <f>'4. Demande de versement'!H95</f>
        <v>0</v>
      </c>
      <c r="F49" s="1778"/>
      <c r="G49" s="1779"/>
      <c r="H49" s="1780"/>
      <c r="I49" s="1781"/>
      <c r="J49" s="982"/>
      <c r="K49" s="987"/>
      <c r="L49" s="987"/>
      <c r="M49" s="987"/>
      <c r="N49" s="987"/>
      <c r="O49" s="987"/>
      <c r="P49" s="987"/>
      <c r="Q49" s="987"/>
      <c r="R49" s="987"/>
      <c r="S49" s="983"/>
      <c r="T49" s="978"/>
      <c r="U49" s="982"/>
      <c r="V49" s="982"/>
    </row>
    <row r="50" spans="2:22">
      <c r="B50" s="986"/>
      <c r="C50" s="1190"/>
      <c r="D50" s="1190"/>
      <c r="E50" s="1195"/>
      <c r="F50" s="983"/>
      <c r="G50" s="993"/>
      <c r="H50" s="1113"/>
      <c r="I50" s="987"/>
      <c r="J50" s="982"/>
      <c r="K50" s="987"/>
      <c r="L50" s="987"/>
      <c r="M50" s="987"/>
      <c r="N50" s="987"/>
      <c r="O50" s="987"/>
      <c r="P50" s="987"/>
      <c r="Q50" s="987"/>
      <c r="R50" s="987"/>
      <c r="S50" s="983"/>
      <c r="T50" s="978"/>
      <c r="U50" s="982"/>
      <c r="V50" s="982"/>
    </row>
    <row r="51" spans="2:22" hidden="1" outlineLevel="1">
      <c r="B51" s="1260" t="s">
        <v>1553</v>
      </c>
      <c r="C51" s="1190"/>
      <c r="D51" s="1190"/>
      <c r="E51" s="1195"/>
      <c r="F51" s="983"/>
      <c r="G51" s="993"/>
      <c r="H51" s="1113"/>
      <c r="I51" s="987"/>
      <c r="J51" s="982"/>
      <c r="K51" s="987"/>
      <c r="L51" s="987"/>
      <c r="M51" s="987"/>
      <c r="N51" s="987"/>
      <c r="O51" s="987"/>
      <c r="P51" s="987"/>
      <c r="Q51" s="987"/>
      <c r="R51" s="987"/>
      <c r="S51" s="983"/>
      <c r="T51" s="978"/>
      <c r="U51" s="982"/>
      <c r="V51" s="982"/>
    </row>
    <row r="52" spans="2:22" ht="30" hidden="1" outlineLevel="1">
      <c r="B52" s="986"/>
      <c r="C52" s="22"/>
      <c r="D52" s="1254" t="s">
        <v>913</v>
      </c>
      <c r="E52" s="1253"/>
      <c r="F52" s="1253"/>
      <c r="G52" s="1253"/>
      <c r="H52" s="1253"/>
      <c r="I52" s="987"/>
      <c r="J52" s="982"/>
      <c r="K52" s="987"/>
      <c r="L52" s="987"/>
      <c r="M52" s="987"/>
      <c r="N52" s="987"/>
      <c r="O52" s="987"/>
      <c r="P52" s="987"/>
      <c r="Q52" s="987"/>
      <c r="R52" s="987"/>
      <c r="S52" s="983"/>
      <c r="T52" s="978"/>
      <c r="U52" s="982"/>
      <c r="V52" s="982"/>
    </row>
    <row r="53" spans="2:22" hidden="1" outlineLevel="1">
      <c r="B53" s="986"/>
      <c r="C53" s="1249" t="s">
        <v>512</v>
      </c>
      <c r="D53" s="799">
        <f>'P opération brûleur - éco'!H137</f>
        <v>0</v>
      </c>
      <c r="E53" s="1251"/>
      <c r="F53" s="1251"/>
      <c r="G53" s="1251"/>
      <c r="H53" s="1251"/>
      <c r="I53" s="987"/>
      <c r="J53" s="982"/>
      <c r="K53" s="987"/>
      <c r="L53" s="987"/>
      <c r="M53" s="987"/>
      <c r="N53" s="987"/>
      <c r="O53" s="987"/>
      <c r="P53" s="987"/>
      <c r="Q53" s="987"/>
      <c r="R53" s="987"/>
      <c r="S53" s="983"/>
      <c r="T53" s="978"/>
      <c r="U53" s="982"/>
      <c r="V53" s="982"/>
    </row>
    <row r="54" spans="2:22" hidden="1" outlineLevel="1">
      <c r="B54" s="986"/>
      <c r="C54" s="1249" t="s">
        <v>513</v>
      </c>
      <c r="D54" s="799">
        <f>'P opération brûleur - éco'!H138</f>
        <v>0</v>
      </c>
      <c r="E54" s="1251"/>
      <c r="F54" s="1251"/>
      <c r="G54" s="1251"/>
      <c r="H54" s="1251"/>
      <c r="I54" s="987"/>
      <c r="J54" s="982"/>
      <c r="K54" s="987"/>
      <c r="L54" s="987"/>
      <c r="M54" s="987"/>
      <c r="N54" s="987"/>
      <c r="O54" s="987"/>
      <c r="P54" s="987"/>
      <c r="Q54" s="987"/>
      <c r="R54" s="987"/>
      <c r="S54" s="983"/>
      <c r="T54" s="978"/>
      <c r="U54" s="982"/>
      <c r="V54" s="982"/>
    </row>
    <row r="55" spans="2:22" hidden="1" outlineLevel="1">
      <c r="B55" s="986"/>
      <c r="C55" s="1249" t="s">
        <v>514</v>
      </c>
      <c r="D55" s="799">
        <f>'P opération brûleur - éco'!H139</f>
        <v>0</v>
      </c>
      <c r="E55" s="1251"/>
      <c r="F55" s="1251"/>
      <c r="G55" s="1251"/>
      <c r="H55" s="1251"/>
      <c r="I55" s="987"/>
      <c r="J55" s="982"/>
      <c r="K55" s="987"/>
      <c r="L55" s="987"/>
      <c r="M55" s="987"/>
      <c r="N55" s="987"/>
      <c r="O55" s="987"/>
      <c r="P55" s="987"/>
      <c r="Q55" s="987"/>
      <c r="R55" s="987"/>
      <c r="S55" s="983"/>
      <c r="T55" s="978"/>
      <c r="U55" s="982"/>
      <c r="V55" s="982"/>
    </row>
    <row r="56" spans="2:22" hidden="1" outlineLevel="1">
      <c r="B56" s="986"/>
      <c r="C56" s="1249" t="s">
        <v>515</v>
      </c>
      <c r="D56" s="799">
        <f>'P opération brûleur - éco'!H140</f>
        <v>0</v>
      </c>
      <c r="E56" s="1251"/>
      <c r="F56" s="1251"/>
      <c r="G56" s="1251"/>
      <c r="H56" s="1251"/>
      <c r="I56" s="987"/>
      <c r="J56" s="982"/>
      <c r="K56" s="987"/>
      <c r="L56" s="987"/>
      <c r="M56" s="987"/>
      <c r="N56" s="987"/>
      <c r="O56" s="987"/>
      <c r="P56" s="987"/>
      <c r="Q56" s="987"/>
      <c r="R56" s="987"/>
      <c r="S56" s="983"/>
      <c r="T56" s="978"/>
      <c r="U56" s="982"/>
      <c r="V56" s="982"/>
    </row>
    <row r="57" spans="2:22" hidden="1" outlineLevel="1">
      <c r="B57" s="986"/>
      <c r="C57" s="1249" t="s">
        <v>516</v>
      </c>
      <c r="D57" s="799">
        <f>'P opération brûleur - éco'!H141</f>
        <v>0</v>
      </c>
      <c r="E57" s="1251"/>
      <c r="F57" s="1251"/>
      <c r="G57" s="1251"/>
      <c r="H57" s="1251"/>
      <c r="I57" s="987"/>
      <c r="J57" s="982"/>
      <c r="K57" s="987"/>
      <c r="L57" s="987"/>
      <c r="M57" s="987"/>
      <c r="N57" s="987"/>
      <c r="O57" s="987"/>
      <c r="P57" s="987"/>
      <c r="Q57" s="987"/>
      <c r="R57" s="987"/>
      <c r="S57" s="983"/>
      <c r="T57" s="978"/>
      <c r="U57" s="982"/>
      <c r="V57" s="982"/>
    </row>
    <row r="58" spans="2:22" hidden="1" outlineLevel="1">
      <c r="B58" s="986"/>
      <c r="C58" s="1249" t="s">
        <v>517</v>
      </c>
      <c r="D58" s="799">
        <f>'P opération brûleur - éco'!H142</f>
        <v>0</v>
      </c>
      <c r="E58" s="1251"/>
      <c r="F58" s="1251"/>
      <c r="G58" s="1251"/>
      <c r="H58" s="1251"/>
      <c r="I58" s="987"/>
      <c r="J58" s="982"/>
      <c r="K58" s="987"/>
      <c r="L58" s="987"/>
      <c r="M58" s="987"/>
      <c r="N58" s="987"/>
      <c r="O58" s="987"/>
      <c r="P58" s="987"/>
      <c r="Q58" s="987"/>
      <c r="R58" s="987"/>
      <c r="S58" s="983"/>
      <c r="T58" s="978"/>
      <c r="U58" s="982"/>
      <c r="V58" s="982"/>
    </row>
    <row r="59" spans="2:22" hidden="1" outlineLevel="1">
      <c r="B59" s="986"/>
      <c r="C59" s="1249" t="s">
        <v>518</v>
      </c>
      <c r="D59" s="799">
        <f>'P opération brûleur - éco'!H143</f>
        <v>0</v>
      </c>
      <c r="E59" s="1251"/>
      <c r="F59" s="1251"/>
      <c r="G59" s="1251"/>
      <c r="H59" s="1251"/>
      <c r="I59" s="987"/>
      <c r="J59" s="982"/>
      <c r="K59" s="987"/>
      <c r="L59" s="987"/>
      <c r="M59" s="987"/>
      <c r="N59" s="987"/>
      <c r="O59" s="987"/>
      <c r="P59" s="987"/>
      <c r="Q59" s="987"/>
      <c r="R59" s="987"/>
      <c r="S59" s="983"/>
      <c r="T59" s="978"/>
      <c r="U59" s="982"/>
      <c r="V59" s="982"/>
    </row>
    <row r="60" spans="2:22" hidden="1" outlineLevel="1">
      <c r="B60" s="986"/>
      <c r="C60" s="1249" t="s">
        <v>519</v>
      </c>
      <c r="D60" s="799">
        <f>'P opération brûleur - éco'!H144</f>
        <v>0</v>
      </c>
      <c r="E60" s="1251"/>
      <c r="F60" s="1251"/>
      <c r="G60" s="1251"/>
      <c r="H60" s="1251"/>
      <c r="I60" s="987"/>
      <c r="J60" s="982"/>
      <c r="K60" s="987"/>
      <c r="L60" s="987"/>
      <c r="M60" s="987"/>
      <c r="N60" s="987"/>
      <c r="O60" s="987"/>
      <c r="P60" s="987"/>
      <c r="Q60" s="987"/>
      <c r="R60" s="987"/>
      <c r="S60" s="983"/>
      <c r="T60" s="978"/>
      <c r="U60" s="982"/>
      <c r="V60" s="982"/>
    </row>
    <row r="61" spans="2:22" hidden="1" outlineLevel="1">
      <c r="B61" s="986"/>
      <c r="C61" s="1190"/>
      <c r="D61" s="1190"/>
      <c r="E61" s="1195"/>
      <c r="F61" s="983"/>
      <c r="G61" s="993"/>
      <c r="H61" s="1113"/>
      <c r="I61" s="987"/>
      <c r="J61" s="982"/>
      <c r="K61" s="987"/>
      <c r="L61" s="987"/>
      <c r="M61" s="987"/>
      <c r="N61" s="987"/>
      <c r="O61" s="987"/>
      <c r="P61" s="987"/>
      <c r="Q61" s="987"/>
      <c r="R61" s="987"/>
      <c r="S61" s="983"/>
      <c r="T61" s="978"/>
      <c r="U61" s="982"/>
      <c r="V61" s="982"/>
    </row>
    <row r="62" spans="2:22" ht="30" hidden="1" outlineLevel="1">
      <c r="B62" s="986"/>
      <c r="C62" s="22"/>
      <c r="D62" s="1254" t="s">
        <v>46</v>
      </c>
      <c r="E62" s="9" t="s">
        <v>1935</v>
      </c>
      <c r="F62" s="1253"/>
      <c r="G62" s="1253"/>
      <c r="H62" s="1253"/>
      <c r="I62" s="987"/>
      <c r="J62" s="982"/>
      <c r="K62" s="987"/>
      <c r="L62" s="987"/>
      <c r="M62" s="987"/>
      <c r="N62" s="987"/>
      <c r="O62" s="987"/>
      <c r="P62" s="987"/>
      <c r="Q62" s="987"/>
      <c r="R62" s="987"/>
      <c r="S62" s="983"/>
      <c r="T62" s="978"/>
      <c r="U62" s="982"/>
      <c r="V62" s="982"/>
    </row>
    <row r="63" spans="2:22" hidden="1" outlineLevel="1">
      <c r="B63" s="986"/>
      <c r="C63" s="1249" t="s">
        <v>512</v>
      </c>
      <c r="D63" s="1255" t="e">
        <f>D53/SUM($D$53:$D$56)</f>
        <v>#DIV/0!</v>
      </c>
      <c r="E63" s="799" t="e">
        <f>D63*'3c. Calculateur MEÉ 2-3-4'!$O$180</f>
        <v>#DIV/0!</v>
      </c>
      <c r="F63" s="1251"/>
      <c r="G63" s="1251"/>
      <c r="H63" s="1251"/>
      <c r="I63" s="987"/>
      <c r="J63" s="982"/>
      <c r="K63" s="987"/>
      <c r="L63" s="987"/>
      <c r="M63" s="987"/>
      <c r="N63" s="987"/>
      <c r="O63" s="987"/>
      <c r="P63" s="987"/>
      <c r="Q63" s="987"/>
      <c r="R63" s="987"/>
      <c r="S63" s="983"/>
      <c r="T63" s="978"/>
      <c r="U63" s="982"/>
      <c r="V63" s="982"/>
    </row>
    <row r="64" spans="2:22" hidden="1" outlineLevel="1">
      <c r="B64" s="986"/>
      <c r="C64" s="1249" t="s">
        <v>513</v>
      </c>
      <c r="D64" s="1255" t="e">
        <f t="shared" ref="D64:D66" si="3">D54/SUM($D$53:$D$56)</f>
        <v>#DIV/0!</v>
      </c>
      <c r="E64" s="799" t="e">
        <f>D64*'3c. Calculateur MEÉ 2-3-4'!$O$180</f>
        <v>#DIV/0!</v>
      </c>
      <c r="F64" s="1251"/>
      <c r="G64" s="1251"/>
      <c r="H64" s="1251"/>
      <c r="I64" s="987"/>
      <c r="J64" s="982"/>
      <c r="K64" s="987"/>
      <c r="L64" s="987"/>
      <c r="M64" s="987"/>
      <c r="N64" s="987"/>
      <c r="O64" s="987"/>
      <c r="P64" s="987"/>
      <c r="Q64" s="987"/>
      <c r="R64" s="987"/>
      <c r="S64" s="983"/>
      <c r="T64" s="978"/>
      <c r="U64" s="982"/>
      <c r="V64" s="982"/>
    </row>
    <row r="65" spans="2:22" hidden="1" outlineLevel="1">
      <c r="B65" s="986"/>
      <c r="C65" s="1249" t="s">
        <v>514</v>
      </c>
      <c r="D65" s="1255" t="e">
        <f t="shared" si="3"/>
        <v>#DIV/0!</v>
      </c>
      <c r="E65" s="799" t="e">
        <f>D65*'3c. Calculateur MEÉ 2-3-4'!$O$180</f>
        <v>#DIV/0!</v>
      </c>
      <c r="F65" s="1251"/>
      <c r="G65" s="1251"/>
      <c r="H65" s="1251"/>
      <c r="I65" s="987"/>
      <c r="J65" s="982"/>
      <c r="K65" s="987"/>
      <c r="L65" s="987"/>
      <c r="M65" s="987"/>
      <c r="N65" s="987"/>
      <c r="O65" s="987"/>
      <c r="P65" s="987"/>
      <c r="Q65" s="987"/>
      <c r="R65" s="987"/>
      <c r="S65" s="983"/>
      <c r="T65" s="978"/>
      <c r="U65" s="982"/>
      <c r="V65" s="982"/>
    </row>
    <row r="66" spans="2:22" hidden="1" outlineLevel="1">
      <c r="B66" s="986"/>
      <c r="C66" s="1249" t="s">
        <v>515</v>
      </c>
      <c r="D66" s="1255" t="e">
        <f t="shared" si="3"/>
        <v>#DIV/0!</v>
      </c>
      <c r="E66" s="799" t="e">
        <f>D66*'3c. Calculateur MEÉ 2-3-4'!$O$180</f>
        <v>#DIV/0!</v>
      </c>
      <c r="F66" s="1251"/>
      <c r="G66" s="1251"/>
      <c r="H66" s="1251"/>
      <c r="I66" s="987"/>
      <c r="J66" s="982"/>
      <c r="K66" s="987"/>
      <c r="L66" s="987"/>
      <c r="M66" s="987"/>
      <c r="N66" s="987"/>
      <c r="O66" s="987"/>
      <c r="P66" s="987"/>
      <c r="Q66" s="987"/>
      <c r="R66" s="987"/>
      <c r="S66" s="983"/>
      <c r="T66" s="978"/>
      <c r="U66" s="982"/>
      <c r="V66" s="982"/>
    </row>
    <row r="67" spans="2:22" hidden="1" outlineLevel="1">
      <c r="B67" s="986"/>
      <c r="C67" s="1256" t="s">
        <v>1537</v>
      </c>
      <c r="D67" s="1257" t="e">
        <f>SUM(D63:D66)</f>
        <v>#DIV/0!</v>
      </c>
      <c r="E67" s="1258" t="e">
        <f>SUM(E63:E66)</f>
        <v>#DIV/0!</v>
      </c>
      <c r="F67" s="1251"/>
      <c r="G67" s="1251"/>
      <c r="H67" s="1251"/>
      <c r="I67" s="987"/>
      <c r="J67" s="982"/>
      <c r="K67" s="987"/>
      <c r="L67" s="987"/>
      <c r="M67" s="987"/>
      <c r="N67" s="987"/>
      <c r="O67" s="987"/>
      <c r="P67" s="987"/>
      <c r="Q67" s="987"/>
      <c r="R67" s="987"/>
      <c r="S67" s="983"/>
      <c r="T67" s="978"/>
      <c r="U67" s="982"/>
      <c r="V67" s="982"/>
    </row>
    <row r="68" spans="2:22" hidden="1" outlineLevel="1">
      <c r="B68" s="986"/>
      <c r="C68" s="1250"/>
      <c r="D68" s="1252"/>
      <c r="E68" s="1251"/>
      <c r="F68" s="1251"/>
      <c r="G68" s="1251"/>
      <c r="H68" s="1251"/>
      <c r="I68" s="987"/>
      <c r="J68" s="982"/>
      <c r="K68" s="987"/>
      <c r="L68" s="987"/>
      <c r="M68" s="987"/>
      <c r="N68" s="987"/>
      <c r="O68" s="987"/>
      <c r="P68" s="987"/>
      <c r="Q68" s="987"/>
      <c r="R68" s="987"/>
      <c r="S68" s="983"/>
      <c r="T68" s="978"/>
      <c r="U68" s="982"/>
      <c r="V68" s="982"/>
    </row>
    <row r="69" spans="2:22" hidden="1" outlineLevel="1">
      <c r="B69" s="986"/>
      <c r="C69" s="1249" t="s">
        <v>516</v>
      </c>
      <c r="D69" s="1255" t="e">
        <f>D57/SUM($D$57:$D$60)</f>
        <v>#DIV/0!</v>
      </c>
      <c r="E69" s="799" t="e">
        <f>('3c. Calculateur MEÉ 2-3-4'!$O$181+'3c. Calculateur MEÉ 2-3-4'!$O$182)*'Onglet Énergir'!D69</f>
        <v>#DIV/0!</v>
      </c>
      <c r="F69" s="1251"/>
      <c r="G69" s="1251"/>
      <c r="H69" s="1251"/>
      <c r="I69" s="987"/>
      <c r="J69" s="982"/>
      <c r="K69" s="987"/>
      <c r="L69" s="987"/>
      <c r="M69" s="987"/>
      <c r="N69" s="987"/>
      <c r="O69" s="987"/>
      <c r="P69" s="987"/>
      <c r="Q69" s="987"/>
      <c r="R69" s="987"/>
      <c r="S69" s="983"/>
      <c r="T69" s="978"/>
      <c r="U69" s="982"/>
      <c r="V69" s="982"/>
    </row>
    <row r="70" spans="2:22" hidden="1" outlineLevel="1">
      <c r="B70" s="986"/>
      <c r="C70" s="1249" t="s">
        <v>517</v>
      </c>
      <c r="D70" s="1255" t="e">
        <f t="shared" ref="D70:D72" si="4">D58/SUM($D$57:$D$60)</f>
        <v>#DIV/0!</v>
      </c>
      <c r="E70" s="799" t="e">
        <f>('3c. Calculateur MEÉ 2-3-4'!$O$181+'3c. Calculateur MEÉ 2-3-4'!$O$182)*'Onglet Énergir'!D70</f>
        <v>#DIV/0!</v>
      </c>
      <c r="F70" s="1251"/>
      <c r="G70" s="1251"/>
      <c r="H70" s="1251"/>
      <c r="I70" s="987"/>
      <c r="J70" s="982"/>
      <c r="K70" s="987"/>
      <c r="L70" s="987"/>
      <c r="M70" s="987"/>
      <c r="N70" s="987"/>
      <c r="O70" s="987"/>
      <c r="P70" s="987"/>
      <c r="Q70" s="987"/>
      <c r="R70" s="987"/>
      <c r="S70" s="983"/>
      <c r="T70" s="978"/>
      <c r="U70" s="982"/>
      <c r="V70" s="982"/>
    </row>
    <row r="71" spans="2:22" hidden="1" outlineLevel="1">
      <c r="B71" s="986"/>
      <c r="C71" s="1249" t="s">
        <v>518</v>
      </c>
      <c r="D71" s="1255" t="e">
        <f t="shared" si="4"/>
        <v>#DIV/0!</v>
      </c>
      <c r="E71" s="799" t="e">
        <f>('3c. Calculateur MEÉ 2-3-4'!$O$181+'3c. Calculateur MEÉ 2-3-4'!$O$182)*'Onglet Énergir'!D71</f>
        <v>#DIV/0!</v>
      </c>
      <c r="F71" s="1251"/>
      <c r="G71" s="1251"/>
      <c r="H71" s="1251"/>
      <c r="I71" s="987"/>
      <c r="J71" s="982"/>
      <c r="K71" s="987"/>
      <c r="L71" s="987"/>
      <c r="M71" s="987"/>
      <c r="N71" s="987"/>
      <c r="O71" s="987"/>
      <c r="P71" s="987"/>
      <c r="Q71" s="987"/>
      <c r="R71" s="987"/>
      <c r="S71" s="983"/>
      <c r="T71" s="978"/>
      <c r="U71" s="982"/>
      <c r="V71" s="982"/>
    </row>
    <row r="72" spans="2:22" hidden="1" outlineLevel="1">
      <c r="B72" s="986"/>
      <c r="C72" s="1249" t="s">
        <v>519</v>
      </c>
      <c r="D72" s="1255" t="e">
        <f t="shared" si="4"/>
        <v>#DIV/0!</v>
      </c>
      <c r="E72" s="799" t="e">
        <f>('3c. Calculateur MEÉ 2-3-4'!$O$181+'3c. Calculateur MEÉ 2-3-4'!$O$182)*'Onglet Énergir'!D72</f>
        <v>#DIV/0!</v>
      </c>
      <c r="F72" s="1251"/>
      <c r="G72" s="1251"/>
      <c r="H72" s="1251"/>
      <c r="I72" s="987"/>
      <c r="J72" s="982"/>
      <c r="K72" s="987"/>
      <c r="L72" s="987"/>
      <c r="M72" s="987"/>
      <c r="N72" s="987"/>
      <c r="O72" s="987"/>
      <c r="P72" s="987"/>
      <c r="Q72" s="987"/>
      <c r="R72" s="987"/>
      <c r="S72" s="983"/>
      <c r="T72" s="978"/>
      <c r="U72" s="982"/>
      <c r="V72" s="982"/>
    </row>
    <row r="73" spans="2:22" hidden="1" outlineLevel="1">
      <c r="B73" s="986"/>
      <c r="C73" s="1256" t="s">
        <v>1537</v>
      </c>
      <c r="D73" s="1257" t="e">
        <f>SUM(D69:D72)</f>
        <v>#DIV/0!</v>
      </c>
      <c r="E73" s="1258" t="e">
        <f>SUM(E69:E72)</f>
        <v>#DIV/0!</v>
      </c>
      <c r="F73" s="983"/>
      <c r="G73" s="993"/>
      <c r="H73" s="1113"/>
      <c r="I73" s="987"/>
      <c r="J73" s="982"/>
      <c r="K73" s="987"/>
      <c r="L73" s="987"/>
      <c r="M73" s="987"/>
      <c r="N73" s="987"/>
      <c r="O73" s="987"/>
      <c r="P73" s="987"/>
      <c r="Q73" s="987"/>
      <c r="R73" s="987"/>
      <c r="S73" s="983"/>
      <c r="T73" s="978"/>
      <c r="U73" s="982"/>
      <c r="V73" s="982"/>
    </row>
    <row r="74" spans="2:22" collapsed="1">
      <c r="B74" s="986"/>
      <c r="C74" s="1190"/>
      <c r="D74" s="1190"/>
      <c r="E74" s="1195"/>
      <c r="F74" s="983"/>
      <c r="G74" s="993"/>
      <c r="H74" s="1113"/>
      <c r="I74" s="987"/>
      <c r="J74" s="982"/>
      <c r="K74" s="987"/>
      <c r="L74" s="987"/>
      <c r="M74" s="987"/>
      <c r="N74" s="987"/>
      <c r="O74" s="987"/>
      <c r="P74" s="987"/>
      <c r="Q74" s="987"/>
      <c r="R74" s="987"/>
      <c r="S74" s="983"/>
      <c r="T74" s="978"/>
      <c r="U74" s="982"/>
      <c r="V74" s="982"/>
    </row>
    <row r="75" spans="2:22" ht="15" customHeight="1">
      <c r="C75" s="997" t="s">
        <v>1794</v>
      </c>
      <c r="D75" s="983"/>
      <c r="E75" s="983"/>
      <c r="F75" s="983"/>
      <c r="G75" s="993"/>
      <c r="H75" s="996"/>
      <c r="I75" s="987"/>
      <c r="J75" s="982"/>
      <c r="K75" s="987"/>
      <c r="L75" s="987"/>
      <c r="M75" s="987"/>
      <c r="N75" s="987"/>
      <c r="O75" s="987"/>
      <c r="P75" s="987"/>
      <c r="Q75" s="987"/>
      <c r="R75" s="987"/>
      <c r="S75" s="983"/>
      <c r="T75" s="978"/>
      <c r="U75" s="982"/>
      <c r="V75" s="982"/>
    </row>
    <row r="76" spans="2:22" ht="15" customHeight="1">
      <c r="C76" s="1056"/>
      <c r="D76" s="983"/>
      <c r="E76" s="983"/>
      <c r="F76" s="983"/>
      <c r="G76" s="993"/>
      <c r="H76" s="996"/>
      <c r="I76" s="987"/>
      <c r="J76" s="982"/>
      <c r="K76" s="987"/>
      <c r="L76" s="987"/>
      <c r="M76" s="987"/>
      <c r="N76" s="987"/>
      <c r="O76" s="987"/>
      <c r="P76" s="987"/>
      <c r="Q76" s="987"/>
      <c r="R76" s="987"/>
      <c r="S76" s="983"/>
      <c r="T76" s="978"/>
      <c r="U76" s="982"/>
      <c r="V76" s="982"/>
    </row>
    <row r="77" spans="2:22" ht="60" customHeight="1">
      <c r="C77" s="1812" t="s">
        <v>1809</v>
      </c>
      <c r="D77" s="1813"/>
      <c r="E77" s="1035" t="s">
        <v>1618</v>
      </c>
      <c r="F77" s="1035" t="s">
        <v>1625</v>
      </c>
      <c r="G77" s="1048" t="s">
        <v>1795</v>
      </c>
      <c r="H77" s="1048" t="s">
        <v>1796</v>
      </c>
      <c r="I77" s="1048" t="s">
        <v>2026</v>
      </c>
      <c r="J77" s="1048" t="s">
        <v>2027</v>
      </c>
      <c r="K77" s="987"/>
      <c r="L77" s="987"/>
      <c r="M77" s="987"/>
      <c r="N77" s="987"/>
      <c r="O77" s="987"/>
      <c r="P77" s="987"/>
      <c r="Q77" s="987"/>
      <c r="R77" s="987"/>
      <c r="S77" s="983"/>
      <c r="T77" s="978"/>
      <c r="U77" s="982"/>
      <c r="V77" s="982"/>
    </row>
    <row r="78" spans="2:22" ht="15" customHeight="1">
      <c r="C78" s="1792" t="s">
        <v>1563</v>
      </c>
      <c r="D78" s="1793"/>
      <c r="E78" s="1809">
        <v>3</v>
      </c>
      <c r="F78" s="1103">
        <v>0.1</v>
      </c>
      <c r="G78" s="1060"/>
      <c r="H78" s="1060"/>
      <c r="I78" s="1060"/>
      <c r="J78" s="1060"/>
      <c r="K78" s="987"/>
      <c r="L78" s="987"/>
      <c r="M78" s="987"/>
      <c r="N78" s="987"/>
      <c r="O78" s="987"/>
      <c r="P78" s="987"/>
      <c r="Q78" s="987"/>
      <c r="R78" s="987"/>
      <c r="S78" s="983"/>
      <c r="T78" s="978"/>
      <c r="U78" s="982"/>
      <c r="V78" s="982"/>
    </row>
    <row r="79" spans="2:22" ht="15" customHeight="1">
      <c r="C79" s="1792" t="s">
        <v>1564</v>
      </c>
      <c r="D79" s="1793"/>
      <c r="E79" s="1810"/>
      <c r="F79" s="1103">
        <v>0.1</v>
      </c>
      <c r="G79" s="1828">
        <v>0.75</v>
      </c>
      <c r="H79" s="1790">
        <f>83.74795%-'P opération brûleur - avant MEE'!D77</f>
        <v>0.81147950000000002</v>
      </c>
      <c r="I79" s="1828">
        <v>0.25</v>
      </c>
      <c r="J79" s="1828">
        <v>0.6</v>
      </c>
      <c r="K79" s="987"/>
      <c r="L79" s="987"/>
      <c r="M79" s="987"/>
      <c r="N79" s="987"/>
      <c r="O79" s="987"/>
      <c r="P79" s="987"/>
      <c r="Q79" s="987"/>
      <c r="R79" s="987"/>
      <c r="S79" s="983"/>
      <c r="T79" s="978"/>
      <c r="U79" s="982"/>
      <c r="V79" s="982"/>
    </row>
    <row r="80" spans="2:22" ht="15" customHeight="1">
      <c r="C80" s="1792" t="s">
        <v>1802</v>
      </c>
      <c r="D80" s="1793"/>
      <c r="E80" s="1810"/>
      <c r="F80" s="1103">
        <v>0.05</v>
      </c>
      <c r="G80" s="1818"/>
      <c r="H80" s="1818">
        <v>0.86</v>
      </c>
      <c r="I80" s="1818"/>
      <c r="J80" s="1818"/>
      <c r="K80" s="987"/>
      <c r="L80" s="987"/>
      <c r="M80" s="987"/>
      <c r="N80" s="987"/>
      <c r="O80" s="987"/>
      <c r="P80" s="987"/>
      <c r="Q80" s="987"/>
      <c r="R80" s="987"/>
      <c r="S80" s="983"/>
      <c r="T80" s="978"/>
      <c r="U80" s="982"/>
      <c r="V80" s="982"/>
    </row>
    <row r="81" spans="2:22" ht="31.5" customHeight="1">
      <c r="C81" s="1792" t="s">
        <v>1567</v>
      </c>
      <c r="D81" s="1793"/>
      <c r="E81" s="1810"/>
      <c r="F81" s="1103">
        <v>0.1</v>
      </c>
      <c r="G81" s="1818"/>
      <c r="H81" s="1818"/>
      <c r="I81" s="1818"/>
      <c r="J81" s="1818"/>
      <c r="K81" s="987"/>
      <c r="L81" s="987"/>
      <c r="M81" s="987"/>
      <c r="N81" s="987"/>
      <c r="O81" s="987"/>
      <c r="P81" s="987"/>
      <c r="Q81" s="987"/>
      <c r="R81" s="987"/>
      <c r="S81" s="983"/>
      <c r="T81" s="978"/>
      <c r="U81" s="982"/>
      <c r="V81" s="982"/>
    </row>
    <row r="82" spans="2:22" ht="31.5" customHeight="1">
      <c r="C82" s="1792" t="s">
        <v>1803</v>
      </c>
      <c r="D82" s="1793"/>
      <c r="E82" s="1810"/>
      <c r="F82" s="1103">
        <v>0.2</v>
      </c>
      <c r="G82" s="1818"/>
      <c r="H82" s="1818"/>
      <c r="I82" s="1818"/>
      <c r="J82" s="1818"/>
      <c r="K82" s="987"/>
      <c r="L82" s="987"/>
      <c r="M82" s="987"/>
      <c r="N82" s="987"/>
      <c r="O82" s="987"/>
      <c r="P82" s="987"/>
      <c r="Q82" s="987"/>
      <c r="R82" s="987"/>
      <c r="S82" s="983"/>
      <c r="T82" s="978"/>
      <c r="U82" s="982"/>
      <c r="V82" s="982"/>
    </row>
    <row r="83" spans="2:22" ht="31.5" customHeight="1">
      <c r="C83" s="1792" t="s">
        <v>1804</v>
      </c>
      <c r="D83" s="1793"/>
      <c r="E83" s="1811"/>
      <c r="F83" s="1103">
        <v>0.2</v>
      </c>
      <c r="G83" s="1819"/>
      <c r="H83" s="1819"/>
      <c r="I83" s="1819"/>
      <c r="J83" s="1819"/>
      <c r="K83" s="987"/>
      <c r="L83" s="987"/>
      <c r="M83" s="987"/>
      <c r="N83" s="987"/>
      <c r="O83" s="987"/>
      <c r="P83" s="987"/>
      <c r="Q83" s="987"/>
      <c r="R83" s="987"/>
      <c r="S83" s="983"/>
      <c r="T83" s="978"/>
      <c r="U83" s="982"/>
      <c r="V83" s="982"/>
    </row>
    <row r="84" spans="2:22" ht="15" customHeight="1">
      <c r="C84" s="1056"/>
      <c r="D84" s="983"/>
      <c r="E84" s="983"/>
      <c r="F84" s="983"/>
      <c r="G84" s="993"/>
      <c r="H84" s="996"/>
      <c r="I84" s="987"/>
      <c r="J84" s="982"/>
      <c r="K84" s="987"/>
      <c r="L84" s="987"/>
      <c r="M84" s="987"/>
      <c r="N84" s="987"/>
      <c r="O84" s="987"/>
      <c r="P84" s="987"/>
      <c r="Q84" s="987"/>
      <c r="R84" s="987"/>
      <c r="S84" s="983"/>
      <c r="T84" s="978"/>
      <c r="U84" s="982"/>
      <c r="V84" s="982"/>
    </row>
    <row r="85" spans="2:22" ht="15" customHeight="1">
      <c r="B85" s="986"/>
      <c r="C85" s="981" t="s">
        <v>1598</v>
      </c>
      <c r="D85" s="983"/>
      <c r="E85" s="983"/>
      <c r="F85" s="983"/>
      <c r="G85" s="993"/>
      <c r="H85" s="996"/>
      <c r="I85" s="987"/>
      <c r="J85" s="982"/>
      <c r="K85" s="987"/>
      <c r="L85" s="987"/>
      <c r="M85" s="987"/>
      <c r="N85" s="987"/>
      <c r="O85" s="987"/>
      <c r="P85" s="987"/>
      <c r="Q85" s="987"/>
      <c r="R85" s="987"/>
      <c r="S85" s="983"/>
      <c r="T85" s="978"/>
      <c r="U85" s="982"/>
      <c r="V85" s="982"/>
    </row>
    <row r="86" spans="2:22" ht="15" customHeight="1">
      <c r="B86" s="986"/>
      <c r="C86" s="1041"/>
      <c r="D86" s="983"/>
      <c r="E86" s="983"/>
      <c r="F86" s="983"/>
      <c r="G86" s="993"/>
      <c r="H86" s="996"/>
      <c r="I86" s="987"/>
      <c r="J86" s="982"/>
      <c r="K86" s="987"/>
      <c r="L86" s="987"/>
      <c r="M86" s="987"/>
      <c r="N86" s="987"/>
      <c r="O86" s="987"/>
      <c r="P86" s="987"/>
      <c r="Q86" s="987"/>
      <c r="R86" s="987"/>
      <c r="S86" s="983"/>
      <c r="T86" s="978"/>
      <c r="U86" s="982"/>
      <c r="V86" s="982"/>
    </row>
    <row r="87" spans="2:22" s="917" customFormat="1" ht="74.25" customHeight="1">
      <c r="B87" s="1045"/>
      <c r="C87" s="1820" t="s">
        <v>24</v>
      </c>
      <c r="D87" s="1820"/>
      <c r="E87" s="1820"/>
      <c r="F87" s="1048" t="s">
        <v>1623</v>
      </c>
      <c r="G87" s="1048" t="s">
        <v>300</v>
      </c>
      <c r="H87" s="1048" t="s">
        <v>1599</v>
      </c>
      <c r="I87" s="1048" t="s">
        <v>1614</v>
      </c>
      <c r="J87" s="1048" t="s">
        <v>1606</v>
      </c>
      <c r="K87" s="1049" t="s">
        <v>1607</v>
      </c>
      <c r="L87" s="987"/>
      <c r="M87" s="1044"/>
      <c r="N87" s="1044"/>
      <c r="O87" s="1099" t="s">
        <v>1810</v>
      </c>
      <c r="P87" s="1044"/>
      <c r="Q87" s="1044"/>
      <c r="R87" s="1044"/>
      <c r="S87" s="1046"/>
      <c r="T87" s="1045"/>
      <c r="U87" s="1047"/>
      <c r="V87" s="1047"/>
    </row>
    <row r="88" spans="2:22" ht="29.25" customHeight="1">
      <c r="B88" s="986"/>
      <c r="C88" s="1803" t="s">
        <v>1619</v>
      </c>
      <c r="D88" s="1804"/>
      <c r="E88" s="1805"/>
      <c r="F88" s="1104">
        <f>625*2</f>
        <v>1250</v>
      </c>
      <c r="G88" s="1105" t="s">
        <v>1603</v>
      </c>
      <c r="H88" s="1106">
        <f>SUM('3b. Calculateur - MEÉ 1'!I43:I62)</f>
        <v>0</v>
      </c>
      <c r="I88" s="1059"/>
      <c r="J88" s="1104">
        <f>F88*H88</f>
        <v>0</v>
      </c>
      <c r="K88" s="1859">
        <f>'2. Rapport détaillé des coûts'!E141</f>
        <v>0</v>
      </c>
      <c r="L88" s="987"/>
      <c r="M88" s="987"/>
      <c r="N88" s="1863" t="s">
        <v>29</v>
      </c>
      <c r="O88" s="1855" t="str">
        <f>IF(K88&gt;3*(J88+J89+J90+J91+J92),"Oui","Non")</f>
        <v>Non</v>
      </c>
      <c r="P88" s="987"/>
      <c r="Q88" s="987"/>
      <c r="R88" s="987"/>
      <c r="S88" s="983"/>
      <c r="T88" s="978"/>
      <c r="U88" s="982"/>
      <c r="V88" s="982"/>
    </row>
    <row r="89" spans="2:22" ht="15" customHeight="1">
      <c r="B89" s="986"/>
      <c r="C89" s="1806" t="s">
        <v>1620</v>
      </c>
      <c r="D89" s="1807"/>
      <c r="E89" s="1808"/>
      <c r="F89" s="1104">
        <f>5000*1.5</f>
        <v>7500</v>
      </c>
      <c r="G89" s="1105" t="s">
        <v>1603</v>
      </c>
      <c r="H89" s="1106">
        <f>SUM('3b. Calculateur - MEÉ 1'!I67:I76)</f>
        <v>0</v>
      </c>
      <c r="I89" s="1059"/>
      <c r="J89" s="1104">
        <f>F89*H89</f>
        <v>0</v>
      </c>
      <c r="K89" s="1860"/>
      <c r="M89" s="987"/>
      <c r="N89" s="1863"/>
      <c r="O89" s="1855"/>
      <c r="P89" s="987"/>
      <c r="Q89" s="987"/>
      <c r="R89" s="987"/>
      <c r="S89" s="983"/>
      <c r="T89" s="978"/>
      <c r="U89" s="982"/>
      <c r="V89" s="982"/>
    </row>
    <row r="90" spans="2:22" ht="15" customHeight="1">
      <c r="B90" s="986"/>
      <c r="C90" s="1806" t="s">
        <v>1621</v>
      </c>
      <c r="D90" s="1807"/>
      <c r="E90" s="1808"/>
      <c r="F90" s="1104">
        <f>8000*1.5</f>
        <v>12000</v>
      </c>
      <c r="G90" s="1105" t="s">
        <v>1603</v>
      </c>
      <c r="H90" s="1106">
        <f>SUM('3b. Calculateur - MEÉ 1'!I81:I90)</f>
        <v>0</v>
      </c>
      <c r="I90" s="1059"/>
      <c r="J90" s="1104">
        <f t="shared" ref="J90:J94" si="5">F90*H90</f>
        <v>0</v>
      </c>
      <c r="K90" s="1860"/>
      <c r="M90" s="987"/>
      <c r="N90" s="1863"/>
      <c r="O90" s="1855"/>
      <c r="P90" s="987"/>
      <c r="Q90" s="987"/>
      <c r="R90" s="987"/>
      <c r="S90" s="983"/>
      <c r="T90" s="978"/>
      <c r="U90" s="982"/>
      <c r="V90" s="982"/>
    </row>
    <row r="91" spans="2:22" ht="15" customHeight="1">
      <c r="B91" s="986"/>
      <c r="C91" s="1806" t="s">
        <v>1622</v>
      </c>
      <c r="D91" s="1807"/>
      <c r="E91" s="1808"/>
      <c r="F91" s="1104">
        <f>F90</f>
        <v>12000</v>
      </c>
      <c r="G91" s="1105" t="s">
        <v>1603</v>
      </c>
      <c r="H91" s="1106">
        <f>SUM('3b. Calculateur - MEÉ 1'!I95:I104)</f>
        <v>0</v>
      </c>
      <c r="I91" s="1059"/>
      <c r="J91" s="1104">
        <f t="shared" si="5"/>
        <v>0</v>
      </c>
      <c r="K91" s="1860"/>
      <c r="M91" s="987"/>
      <c r="N91" s="1863"/>
      <c r="O91" s="1855"/>
      <c r="P91" s="987"/>
      <c r="Q91" s="987"/>
      <c r="R91" s="987"/>
      <c r="S91" s="983"/>
      <c r="T91" s="978"/>
      <c r="U91" s="982"/>
      <c r="V91" s="982"/>
    </row>
    <row r="92" spans="2:22" ht="15" customHeight="1">
      <c r="B92" s="986"/>
      <c r="C92" s="1806" t="s">
        <v>2016</v>
      </c>
      <c r="D92" s="1807"/>
      <c r="E92" s="1808"/>
      <c r="F92" s="1104">
        <v>55</v>
      </c>
      <c r="G92" s="1105" t="s">
        <v>2017</v>
      </c>
      <c r="H92" s="1106">
        <f>SUM('3b. Calculateur - MEÉ 1'!I109:I118)</f>
        <v>0</v>
      </c>
      <c r="I92" s="1059"/>
      <c r="J92" s="1104">
        <f>F92*H92</f>
        <v>0</v>
      </c>
      <c r="K92" s="1861"/>
      <c r="M92" s="987"/>
      <c r="N92" s="1057"/>
      <c r="O92" s="1050"/>
      <c r="P92" s="987"/>
      <c r="Q92" s="987"/>
      <c r="R92" s="987"/>
      <c r="S92" s="983"/>
      <c r="T92" s="978"/>
      <c r="U92" s="982"/>
      <c r="V92" s="982"/>
    </row>
    <row r="93" spans="2:22" ht="15" customHeight="1">
      <c r="B93" s="986"/>
      <c r="C93" s="1797" t="s">
        <v>17</v>
      </c>
      <c r="D93" s="1797"/>
      <c r="E93" s="1797"/>
      <c r="F93" s="1104">
        <v>51471</v>
      </c>
      <c r="G93" s="1105" t="s">
        <v>1604</v>
      </c>
      <c r="H93" s="1107">
        <f>COUNTIF('4. Demande de versement'!D29:G29,"&gt;0")</f>
        <v>0</v>
      </c>
      <c r="I93" s="1059"/>
      <c r="J93" s="1104">
        <f t="shared" si="5"/>
        <v>0</v>
      </c>
      <c r="K93" s="1104">
        <f>'2. Rapport détaillé des coûts'!F141</f>
        <v>0</v>
      </c>
      <c r="M93" s="987"/>
      <c r="N93" s="1057" t="s">
        <v>17</v>
      </c>
      <c r="O93" s="1050" t="str">
        <f>IF(K93&gt;3*J93,"Oui","Non")</f>
        <v>Non</v>
      </c>
      <c r="P93" s="987"/>
      <c r="Q93" s="987"/>
      <c r="R93" s="987"/>
      <c r="S93" s="983"/>
      <c r="T93" s="978"/>
      <c r="U93" s="982"/>
      <c r="V93" s="982"/>
    </row>
    <row r="94" spans="2:22" ht="15" customHeight="1">
      <c r="B94" s="986"/>
      <c r="C94" s="1797" t="s">
        <v>1608</v>
      </c>
      <c r="D94" s="1797"/>
      <c r="E94" s="1797"/>
      <c r="F94" s="1104">
        <v>16250</v>
      </c>
      <c r="G94" s="1105" t="s">
        <v>1604</v>
      </c>
      <c r="H94" s="1107">
        <f>COUNTIF('4. Demande de versement'!D31:G31,"&gt;0")</f>
        <v>0</v>
      </c>
      <c r="I94" s="1059"/>
      <c r="J94" s="1104">
        <f t="shared" si="5"/>
        <v>0</v>
      </c>
      <c r="K94" s="1104">
        <f>'2. Rapport détaillé des coûts'!H141</f>
        <v>0</v>
      </c>
      <c r="M94" s="987"/>
      <c r="N94" s="1057" t="s">
        <v>1617</v>
      </c>
      <c r="O94" s="1050" t="str">
        <f>IF(K94&gt;3*J94,"Oui","Non")</f>
        <v>Non</v>
      </c>
      <c r="P94" s="987"/>
      <c r="Q94" s="987"/>
      <c r="R94" s="987"/>
      <c r="S94" s="983"/>
      <c r="T94" s="978"/>
      <c r="U94" s="982"/>
      <c r="V94" s="982"/>
    </row>
    <row r="95" spans="2:22" ht="15" customHeight="1">
      <c r="B95" s="986"/>
      <c r="C95" s="1797" t="s">
        <v>1600</v>
      </c>
      <c r="D95" s="1797"/>
      <c r="E95" s="1797"/>
      <c r="F95" s="1104">
        <f>F96*0.35</f>
        <v>101.5</v>
      </c>
      <c r="G95" s="1105" t="s">
        <v>1605</v>
      </c>
      <c r="H95" s="1107">
        <f>COUNTIF('3c. Calculateur MEÉ 2-3-4'!G81:M81,"Intégré à la chaudière")</f>
        <v>1</v>
      </c>
      <c r="I95" s="1856">
        <f>SUM(F113:I113)</f>
        <v>0</v>
      </c>
      <c r="J95" s="1859">
        <f>IF(SUM(H95:H97)=0,0,((F95*H95+F96*H96+F97*H97)/SUM(H95:H97))*I95)</f>
        <v>0</v>
      </c>
      <c r="K95" s="1859">
        <f>'2. Rapport détaillé des coûts'!I141+'2. Rapport détaillé des coûts'!J141+'2. Rapport détaillé des coûts'!K141</f>
        <v>0</v>
      </c>
      <c r="M95" s="987"/>
      <c r="N95" s="1863" t="s">
        <v>303</v>
      </c>
      <c r="O95" s="1855" t="str">
        <f>IF(K95&gt;3*J95,"Oui","Non")</f>
        <v>Non</v>
      </c>
      <c r="P95" s="987"/>
      <c r="Q95" s="987"/>
      <c r="R95" s="987"/>
      <c r="S95" s="983"/>
      <c r="T95" s="978"/>
      <c r="U95" s="982"/>
      <c r="V95" s="982"/>
    </row>
    <row r="96" spans="2:22" ht="15" customHeight="1">
      <c r="B96" s="986"/>
      <c r="C96" s="1797" t="s">
        <v>1601</v>
      </c>
      <c r="D96" s="1797"/>
      <c r="E96" s="1797"/>
      <c r="F96" s="1104">
        <v>290</v>
      </c>
      <c r="G96" s="1105" t="s">
        <v>1605</v>
      </c>
      <c r="H96" s="1107">
        <f>COUNTIF('3c. Calculateur MEÉ 2-3-4'!G81:M81,"Sur la cheminée ")</f>
        <v>0</v>
      </c>
      <c r="I96" s="1857"/>
      <c r="J96" s="1860"/>
      <c r="K96" s="1860"/>
      <c r="M96" s="987"/>
      <c r="N96" s="1863"/>
      <c r="O96" s="1855"/>
      <c r="P96" s="987"/>
      <c r="Q96" s="987"/>
      <c r="R96" s="987"/>
      <c r="S96" s="983"/>
      <c r="T96" s="978"/>
      <c r="U96" s="982"/>
      <c r="V96" s="982"/>
    </row>
    <row r="97" spans="2:22" ht="15" customHeight="1">
      <c r="B97" s="986"/>
      <c r="C97" s="1797" t="s">
        <v>1602</v>
      </c>
      <c r="D97" s="1797"/>
      <c r="E97" s="1797"/>
      <c r="F97" s="1104">
        <v>375</v>
      </c>
      <c r="G97" s="1105" t="s">
        <v>1605</v>
      </c>
      <c r="H97" s="1108">
        <f>IF('3c. Calculateur MEÉ 2-3-4'!G64="Aucun",0,IF('3c. Calculateur MEÉ 2-3-4'!G64="&lt; sélectionner &gt;",0,'3c. Calculateur MEÉ 2-3-4'!G64))</f>
        <v>0</v>
      </c>
      <c r="I97" s="1858"/>
      <c r="J97" s="1861"/>
      <c r="K97" s="1861"/>
      <c r="M97" s="987"/>
      <c r="N97" s="1863"/>
      <c r="O97" s="1855"/>
      <c r="P97" s="987"/>
      <c r="Q97" s="987"/>
      <c r="R97" s="987"/>
      <c r="S97" s="983"/>
      <c r="T97" s="978"/>
      <c r="U97" s="982"/>
      <c r="V97" s="982"/>
    </row>
    <row r="98" spans="2:22" ht="15" customHeight="1">
      <c r="B98" s="986"/>
      <c r="C98" s="986"/>
      <c r="D98" s="986"/>
      <c r="E98" s="986"/>
      <c r="F98" s="986"/>
      <c r="G98" s="986"/>
      <c r="H98" s="986"/>
      <c r="I98" s="986"/>
      <c r="J98" s="986"/>
      <c r="K98" s="986"/>
      <c r="M98" s="987"/>
      <c r="N98" s="1057"/>
      <c r="O98" s="987"/>
      <c r="P98" s="987"/>
      <c r="Q98" s="987"/>
      <c r="R98" s="987"/>
      <c r="S98" s="983"/>
      <c r="T98" s="978"/>
      <c r="U98" s="982"/>
      <c r="V98" s="982"/>
    </row>
    <row r="99" spans="2:22" ht="15" customHeight="1">
      <c r="B99" s="986"/>
      <c r="C99" s="986"/>
      <c r="D99" s="986"/>
      <c r="E99" s="986"/>
      <c r="F99" s="986"/>
      <c r="G99" s="986"/>
      <c r="H99" s="986"/>
      <c r="I99" s="986"/>
      <c r="J99" s="986"/>
      <c r="K99" s="986"/>
      <c r="M99" s="987"/>
      <c r="N99" s="1057"/>
      <c r="O99" s="987"/>
      <c r="P99" s="987"/>
      <c r="Q99" s="987"/>
      <c r="R99" s="987"/>
      <c r="S99" s="983"/>
      <c r="T99" s="978"/>
      <c r="U99" s="982"/>
      <c r="V99" s="982"/>
    </row>
    <row r="100" spans="2:22" ht="15" customHeight="1">
      <c r="B100" s="986"/>
      <c r="C100" s="981" t="s">
        <v>2020</v>
      </c>
      <c r="D100" s="986"/>
      <c r="E100" s="986"/>
      <c r="F100" s="986"/>
      <c r="G100" s="986"/>
      <c r="H100" s="986"/>
      <c r="I100" s="986"/>
      <c r="J100" s="986"/>
      <c r="K100" s="986"/>
      <c r="M100" s="987"/>
      <c r="N100" s="1057"/>
      <c r="O100" s="987"/>
      <c r="P100" s="987"/>
      <c r="Q100" s="987"/>
      <c r="R100" s="987"/>
      <c r="S100" s="983"/>
      <c r="T100" s="978"/>
      <c r="U100" s="982"/>
      <c r="V100" s="982"/>
    </row>
    <row r="101" spans="2:22" ht="15" customHeight="1">
      <c r="B101" s="986"/>
      <c r="C101" s="983" t="s">
        <v>2025</v>
      </c>
      <c r="D101" s="986"/>
      <c r="E101" s="986"/>
      <c r="F101" s="986"/>
      <c r="G101" s="986"/>
      <c r="H101" s="986"/>
      <c r="I101" s="986"/>
      <c r="J101" s="986"/>
      <c r="K101" s="986"/>
      <c r="M101" s="987"/>
      <c r="N101" s="1057"/>
      <c r="O101" s="987"/>
      <c r="P101" s="987"/>
      <c r="Q101" s="987"/>
      <c r="R101" s="987"/>
      <c r="S101" s="983"/>
      <c r="T101" s="978"/>
      <c r="U101" s="982"/>
      <c r="V101" s="982"/>
    </row>
    <row r="102" spans="2:22" ht="15" customHeight="1">
      <c r="B102" s="986"/>
      <c r="C102" s="986"/>
      <c r="D102" s="986"/>
      <c r="E102" s="986"/>
      <c r="F102" s="986"/>
      <c r="G102" s="986"/>
      <c r="H102" s="986"/>
      <c r="I102" s="986"/>
      <c r="J102" s="986"/>
      <c r="K102" s="986"/>
      <c r="M102" s="987"/>
      <c r="N102" s="1057"/>
      <c r="O102" s="987"/>
      <c r="P102" s="987"/>
      <c r="Q102" s="987"/>
      <c r="R102" s="987"/>
      <c r="S102" s="983"/>
      <c r="T102" s="978"/>
      <c r="U102" s="982"/>
      <c r="V102" s="982"/>
    </row>
    <row r="103" spans="2:22" ht="21.95" customHeight="1">
      <c r="B103" s="986"/>
      <c r="G103" s="986"/>
      <c r="H103" s="987" t="s">
        <v>279</v>
      </c>
      <c r="I103" s="1788" t="s">
        <v>2028</v>
      </c>
      <c r="J103" s="1788" t="s">
        <v>281</v>
      </c>
      <c r="K103" s="987" t="s">
        <v>282</v>
      </c>
      <c r="M103" s="987"/>
      <c r="N103" s="1791" t="s">
        <v>2034</v>
      </c>
      <c r="O103" s="1791"/>
      <c r="P103" s="1791"/>
      <c r="Q103" s="987"/>
      <c r="R103" s="987"/>
      <c r="S103" s="983"/>
      <c r="T103" s="978"/>
      <c r="U103" s="982"/>
      <c r="V103" s="982"/>
    </row>
    <row r="104" spans="2:22" ht="23.45" customHeight="1">
      <c r="B104" s="986"/>
      <c r="C104" s="986"/>
      <c r="D104" s="986"/>
      <c r="E104" s="986"/>
      <c r="F104" s="986"/>
      <c r="G104" s="983" t="s">
        <v>2029</v>
      </c>
      <c r="H104" s="1789" t="str">
        <f>IF('3c. Calculateur MEÉ 2-3-4'!G36&lt;&gt;"",'3c. Calculateur MEÉ 2-3-4'!G36,"")</f>
        <v/>
      </c>
      <c r="I104" s="1789" t="str">
        <f>IF('3c. Calculateur MEÉ 2-3-4'!I36&lt;&gt;"",'3c. Calculateur MEÉ 2-3-4'!I36,"")</f>
        <v/>
      </c>
      <c r="J104" s="1787" t="str">
        <f>IF('3c. Calculateur MEÉ 2-3-4'!K36&lt;&gt;"",'3c. Calculateur MEÉ 2-3-4'!K36,"")</f>
        <v/>
      </c>
      <c r="K104" s="1789" t="str">
        <f>IF('3c. Calculateur MEÉ 2-3-4'!M36&lt;&gt;"",'3c. Calculateur MEÉ 2-3-4'!M36,"")</f>
        <v/>
      </c>
      <c r="L104" s="1786"/>
      <c r="M104" s="987"/>
      <c r="N104" s="1057"/>
      <c r="O104" s="991" t="str" cm="1">
        <f t="array" ref="O104">_xlfn.IFS(H105="Oui","Oui",I105="Oui","Oui",J105="Oui","Oui",K105="Oui","Oui",H105="Non","Non",I105="Non","Non",J105="Non","Non",K105="Non","Non")</f>
        <v>Non</v>
      </c>
      <c r="P104" s="987"/>
      <c r="Q104" s="987"/>
      <c r="R104" s="987"/>
      <c r="S104" s="983"/>
      <c r="T104" s="978"/>
      <c r="U104" s="982"/>
      <c r="V104" s="982"/>
    </row>
    <row r="105" spans="2:22" ht="23.45" hidden="1" customHeight="1">
      <c r="B105" s="986"/>
      <c r="C105" s="986"/>
      <c r="D105" s="986"/>
      <c r="E105" s="986"/>
      <c r="F105" s="986"/>
      <c r="G105" s="983" t="s">
        <v>2033</v>
      </c>
      <c r="H105" s="983" t="str" cm="1">
        <f t="array" ref="H105">_xlfn.IFS(H104="","Non",H104&lt;$I$79,"Oui",H104&gt;$J$79,"Oui",H104&gt;$I$79,"Non",H104&lt;$J$79,"Non")</f>
        <v>Non</v>
      </c>
      <c r="I105" s="983" t="str" cm="1">
        <f t="array" ref="I105">_xlfn.IFS(I104="","Non",I104&lt;$I$79,"Oui",I104&gt;$J$79,"Oui",I104&gt;$I$79,"Non",I104&lt;$J$79,"Non")</f>
        <v>Non</v>
      </c>
      <c r="J105" s="983" t="str" cm="1">
        <f t="array" ref="J105">_xlfn.IFS(J104="","Non",J104&lt;$I$79,"Oui",J104&gt;$J$79,"Oui",J104&gt;$I$79,"Non",J104&lt;$J$79,"Non")</f>
        <v>Non</v>
      </c>
      <c r="K105" s="983" t="str" cm="1">
        <f t="array" ref="K105">_xlfn.IFS(K104="","Non",K104&lt;$I$79,"Oui",K104&gt;$J$79,"Oui",K104&gt;$I$79,"Non",K104&lt;$J$79,"Non")</f>
        <v>Non</v>
      </c>
      <c r="M105" s="987"/>
      <c r="N105" s="1057"/>
      <c r="O105" s="987"/>
      <c r="P105" s="987"/>
      <c r="Q105" s="987"/>
      <c r="R105" s="987"/>
      <c r="S105" s="983"/>
      <c r="T105" s="978"/>
      <c r="U105" s="982"/>
      <c r="V105" s="982"/>
    </row>
    <row r="106" spans="2:22" ht="23.45" customHeight="1">
      <c r="B106" s="986"/>
      <c r="C106" s="986"/>
      <c r="D106" s="986"/>
      <c r="E106" s="986"/>
      <c r="F106" s="986"/>
      <c r="G106" s="983"/>
      <c r="H106" s="983"/>
      <c r="I106" s="983"/>
      <c r="J106" s="983"/>
      <c r="K106" s="983"/>
      <c r="M106" s="987"/>
      <c r="N106" s="1057"/>
      <c r="O106" s="987"/>
      <c r="P106" s="987"/>
      <c r="Q106" s="987"/>
      <c r="R106" s="987"/>
      <c r="S106" s="983"/>
      <c r="T106" s="978"/>
      <c r="U106" s="982"/>
      <c r="V106" s="982"/>
    </row>
    <row r="107" spans="2:22" ht="15" customHeight="1">
      <c r="B107" s="986"/>
      <c r="C107" s="986"/>
      <c r="D107" s="986"/>
      <c r="E107" s="986"/>
      <c r="F107" s="986"/>
      <c r="G107" s="986"/>
      <c r="H107" s="986"/>
      <c r="I107" s="986"/>
      <c r="J107" s="986"/>
      <c r="K107" s="986"/>
      <c r="M107" s="987"/>
      <c r="N107" s="1057"/>
      <c r="O107" s="990"/>
      <c r="P107" s="987"/>
      <c r="Q107" s="987"/>
      <c r="R107" s="987"/>
      <c r="S107" s="983"/>
      <c r="T107" s="978"/>
      <c r="U107" s="982"/>
      <c r="V107" s="982"/>
    </row>
    <row r="108" spans="2:22" ht="15" hidden="1" customHeight="1" outlineLevel="1">
      <c r="B108" s="986"/>
      <c r="C108" s="986"/>
      <c r="D108" s="1260" t="s">
        <v>1553</v>
      </c>
      <c r="E108" s="986"/>
      <c r="F108" s="986"/>
      <c r="G108" s="986"/>
      <c r="H108" s="986"/>
      <c r="I108" s="986"/>
      <c r="J108" s="986"/>
      <c r="K108" s="986"/>
      <c r="M108" s="987"/>
      <c r="N108" s="1057"/>
      <c r="O108" s="990"/>
      <c r="P108" s="987"/>
      <c r="Q108" s="987"/>
      <c r="R108" s="987"/>
      <c r="S108" s="983"/>
      <c r="T108" s="978"/>
      <c r="U108" s="982"/>
      <c r="V108" s="982"/>
    </row>
    <row r="109" spans="2:22" ht="15" hidden="1" customHeight="1" outlineLevel="1">
      <c r="B109" s="986"/>
      <c r="C109" s="986"/>
      <c r="D109" s="986"/>
      <c r="E109" s="1659"/>
      <c r="F109" s="990" t="s">
        <v>279</v>
      </c>
      <c r="G109" s="990" t="s">
        <v>280</v>
      </c>
      <c r="H109" s="990" t="s">
        <v>281</v>
      </c>
      <c r="I109" s="990" t="s">
        <v>282</v>
      </c>
      <c r="J109" s="986"/>
      <c r="K109" s="986"/>
      <c r="M109" s="987"/>
      <c r="N109" s="1057"/>
      <c r="O109" s="990"/>
      <c r="P109" s="987"/>
      <c r="Q109" s="987"/>
      <c r="R109" s="987"/>
      <c r="S109" s="983"/>
      <c r="T109" s="978"/>
      <c r="U109" s="982"/>
      <c r="V109" s="982"/>
    </row>
    <row r="110" spans="2:22" ht="15" hidden="1" customHeight="1" outlineLevel="1">
      <c r="B110" s="986"/>
      <c r="C110" s="986"/>
      <c r="D110" s="986"/>
      <c r="E110" s="993" t="s">
        <v>1945</v>
      </c>
      <c r="F110" s="990" t="str">
        <f>IF('3c. Calculateur MEÉ 2-3-4'!G68="Non","Non",IF('3c. Calculateur MEÉ 2-3-4'!G68="&lt; sélectionner &gt;", "Non","Oui"))</f>
        <v>Non</v>
      </c>
      <c r="G110" s="990" t="str">
        <f>IF('3c. Calculateur MEÉ 2-3-4'!I68="Non","Non",IF('3c. Calculateur MEÉ 2-3-4'!I68="&lt; sélectionner &gt;", "Non","Oui"))</f>
        <v>Non</v>
      </c>
      <c r="H110" s="990" t="str">
        <f>IF('3c. Calculateur MEÉ 2-3-4'!K68="Non","Non",IF('3c. Calculateur MEÉ 2-3-4'!K68="&lt; sélectionner &gt;", "Non","Oui"))</f>
        <v>Non</v>
      </c>
      <c r="I110" s="990" t="str">
        <f>IF('3c. Calculateur MEÉ 2-3-4'!M68="Non","Non",IF('3c. Calculateur MEÉ 2-3-4'!M68="&lt; sélectionner &gt;", "Non","Oui"))</f>
        <v>Non</v>
      </c>
      <c r="J110" s="986"/>
      <c r="K110" s="986"/>
      <c r="M110" s="987"/>
      <c r="N110" s="1057"/>
      <c r="O110" s="990"/>
      <c r="P110" s="987"/>
      <c r="Q110" s="987"/>
      <c r="R110" s="987"/>
      <c r="S110" s="983"/>
      <c r="T110" s="978"/>
      <c r="U110" s="982"/>
      <c r="V110" s="982"/>
    </row>
    <row r="111" spans="2:22" ht="15" hidden="1" customHeight="1" outlineLevel="1">
      <c r="B111" s="986"/>
      <c r="C111" s="986"/>
      <c r="D111" s="986"/>
      <c r="E111" s="993"/>
      <c r="F111" s="990">
        <f>IF(F110="Oui",1,0)</f>
        <v>0</v>
      </c>
      <c r="G111" s="990">
        <f t="shared" ref="G111:I111" si="6">IF(G110="Oui",1,0)</f>
        <v>0</v>
      </c>
      <c r="H111" s="990">
        <f t="shared" si="6"/>
        <v>0</v>
      </c>
      <c r="I111" s="990">
        <f t="shared" si="6"/>
        <v>0</v>
      </c>
      <c r="J111" s="986"/>
      <c r="K111" s="986"/>
      <c r="M111" s="987"/>
      <c r="N111" s="1057"/>
      <c r="O111" s="990"/>
      <c r="P111" s="987"/>
      <c r="Q111" s="987"/>
      <c r="R111" s="987"/>
      <c r="S111" s="983"/>
      <c r="T111" s="978"/>
      <c r="U111" s="982"/>
      <c r="V111" s="982"/>
    </row>
    <row r="112" spans="2:22" ht="15" hidden="1" customHeight="1" outlineLevel="1">
      <c r="B112" s="986"/>
      <c r="C112" s="986"/>
      <c r="D112" s="986"/>
      <c r="E112" s="993" t="s">
        <v>1946</v>
      </c>
      <c r="F112" s="1660">
        <f>'3c. Calculateur MEÉ 2-3-4'!G23</f>
        <v>0</v>
      </c>
      <c r="G112" s="1660">
        <f>'3c. Calculateur MEÉ 2-3-4'!I23</f>
        <v>0</v>
      </c>
      <c r="H112" s="1660">
        <f>'3c. Calculateur MEÉ 2-3-4'!K23</f>
        <v>0</v>
      </c>
      <c r="I112" s="1660">
        <f>'3c. Calculateur MEÉ 2-3-4'!M23</f>
        <v>0</v>
      </c>
      <c r="J112" s="986"/>
      <c r="K112" s="986"/>
      <c r="M112" s="987"/>
      <c r="N112" s="1057"/>
      <c r="O112" s="990"/>
      <c r="P112" s="987"/>
      <c r="Q112" s="987"/>
      <c r="R112" s="987"/>
      <c r="S112" s="983"/>
      <c r="T112" s="978"/>
      <c r="U112" s="982"/>
      <c r="V112" s="982"/>
    </row>
    <row r="113" spans="2:22" ht="15" hidden="1" customHeight="1" outlineLevel="1">
      <c r="B113" s="986"/>
      <c r="C113" s="986"/>
      <c r="D113" s="986"/>
      <c r="E113" s="993" t="s">
        <v>1947</v>
      </c>
      <c r="F113" s="990">
        <f>F111*F112</f>
        <v>0</v>
      </c>
      <c r="G113" s="990">
        <f t="shared" ref="G113:I113" si="7">G111*G112</f>
        <v>0</v>
      </c>
      <c r="H113" s="990">
        <f t="shared" si="7"/>
        <v>0</v>
      </c>
      <c r="I113" s="990">
        <f t="shared" si="7"/>
        <v>0</v>
      </c>
      <c r="J113" s="986"/>
      <c r="K113" s="986"/>
      <c r="M113" s="987"/>
      <c r="N113" s="1057"/>
      <c r="O113" s="990"/>
      <c r="P113" s="987"/>
      <c r="Q113" s="987"/>
      <c r="R113" s="987"/>
      <c r="S113" s="983"/>
      <c r="T113" s="978"/>
      <c r="U113" s="982"/>
      <c r="V113" s="982"/>
    </row>
    <row r="114" spans="2:22" ht="15" hidden="1" customHeight="1" outlineLevel="1">
      <c r="B114" s="986"/>
      <c r="C114" s="986"/>
      <c r="D114" s="986"/>
      <c r="E114" s="986"/>
      <c r="F114" s="986"/>
      <c r="G114" s="986"/>
      <c r="H114" s="986"/>
      <c r="I114" s="986"/>
      <c r="J114" s="986"/>
      <c r="K114" s="986"/>
      <c r="M114" s="987"/>
      <c r="N114" s="1057"/>
      <c r="O114" s="990"/>
      <c r="P114" s="987"/>
      <c r="Q114" s="987"/>
      <c r="R114" s="987"/>
      <c r="S114" s="983"/>
      <c r="T114" s="978"/>
      <c r="U114" s="982"/>
      <c r="V114" s="982"/>
    </row>
    <row r="115" spans="2:22" ht="15" customHeight="1" collapsed="1">
      <c r="B115" s="986"/>
      <c r="C115" s="981" t="s">
        <v>2021</v>
      </c>
      <c r="D115" s="983"/>
      <c r="E115" s="983"/>
      <c r="F115" s="983"/>
      <c r="G115" s="993"/>
      <c r="H115" s="996"/>
      <c r="I115" s="987"/>
      <c r="J115" s="982"/>
      <c r="K115" s="987"/>
      <c r="L115" s="987"/>
      <c r="M115" s="987"/>
      <c r="N115" s="987"/>
      <c r="O115" s="987"/>
      <c r="P115" s="987"/>
      <c r="Q115" s="987"/>
      <c r="R115" s="987"/>
      <c r="S115" s="983"/>
      <c r="T115" s="978"/>
      <c r="U115" s="982"/>
      <c r="V115" s="982"/>
    </row>
    <row r="116" spans="2:22" ht="35.25" customHeight="1">
      <c r="B116" s="986"/>
      <c r="C116" s="1041"/>
      <c r="D116" s="983"/>
      <c r="E116" s="983"/>
      <c r="F116" s="983"/>
      <c r="G116" s="993"/>
      <c r="H116" s="996"/>
      <c r="I116" s="987"/>
      <c r="K116" s="987"/>
      <c r="L116" s="987"/>
      <c r="M116" s="987"/>
      <c r="N116" s="1791" t="s">
        <v>2030</v>
      </c>
      <c r="O116" s="1791"/>
      <c r="P116" s="1791"/>
      <c r="Q116" s="987"/>
      <c r="R116" s="987"/>
      <c r="S116" s="983"/>
      <c r="T116" s="978"/>
      <c r="U116" s="982"/>
      <c r="V116" s="982"/>
    </row>
    <row r="117" spans="2:22" ht="15" customHeight="1">
      <c r="B117" s="986"/>
      <c r="C117" s="981"/>
      <c r="D117" s="983"/>
      <c r="E117" s="983"/>
      <c r="F117" s="983"/>
      <c r="G117" s="1042" t="s">
        <v>1615</v>
      </c>
      <c r="H117" s="1043">
        <f>'3c. Calculateur MEÉ 2-3-4'!I168</f>
        <v>0</v>
      </c>
      <c r="I117" s="989" t="s">
        <v>1596</v>
      </c>
      <c r="K117" s="987"/>
      <c r="L117" s="987"/>
      <c r="M117" s="987"/>
      <c r="N117" s="987"/>
      <c r="O117" s="982"/>
      <c r="P117" s="987"/>
      <c r="Q117" s="987"/>
      <c r="R117" s="987"/>
      <c r="S117" s="983"/>
      <c r="T117" s="978"/>
      <c r="U117" s="982"/>
      <c r="V117" s="982"/>
    </row>
    <row r="118" spans="2:22" ht="15" customHeight="1">
      <c r="B118" s="986"/>
      <c r="D118" s="983"/>
      <c r="E118" s="983"/>
      <c r="F118" s="983"/>
      <c r="G118" s="993"/>
      <c r="H118" s="996"/>
      <c r="I118" s="987"/>
      <c r="K118" s="987"/>
      <c r="L118" s="987"/>
      <c r="M118" s="987"/>
      <c r="N118" s="987"/>
      <c r="O118" s="198" t="str">
        <f>IF(H117&gt;H119,"Oui","Non")</f>
        <v>Non</v>
      </c>
      <c r="P118" s="987"/>
      <c r="Q118" s="987"/>
      <c r="R118" s="987"/>
      <c r="S118" s="983"/>
      <c r="T118" s="978"/>
      <c r="U118" s="982"/>
      <c r="V118" s="982"/>
    </row>
    <row r="119" spans="2:22" ht="15" customHeight="1">
      <c r="B119" s="986"/>
      <c r="D119" s="983"/>
      <c r="E119" s="983"/>
      <c r="F119" s="983"/>
      <c r="G119" s="998" t="s">
        <v>1797</v>
      </c>
      <c r="H119" s="1043">
        <f>H6</f>
        <v>0</v>
      </c>
      <c r="I119" s="989" t="s">
        <v>1596</v>
      </c>
      <c r="J119" s="982"/>
      <c r="K119" s="987"/>
      <c r="L119" s="987"/>
      <c r="M119" s="987"/>
      <c r="N119" s="987"/>
      <c r="O119" s="987"/>
      <c r="P119" s="987"/>
      <c r="Q119" s="987"/>
      <c r="R119" s="987"/>
      <c r="S119" s="983"/>
      <c r="T119" s="978"/>
      <c r="U119" s="982"/>
      <c r="V119" s="982"/>
    </row>
    <row r="120" spans="2:22" ht="15" customHeight="1">
      <c r="B120" s="986"/>
      <c r="D120" s="983"/>
      <c r="E120" s="983"/>
      <c r="F120" s="983"/>
      <c r="G120" s="993"/>
      <c r="H120" s="996"/>
      <c r="I120" s="987"/>
      <c r="J120" s="982"/>
      <c r="K120" s="987"/>
      <c r="L120" s="987"/>
      <c r="M120" s="987"/>
      <c r="N120" s="987"/>
      <c r="O120" s="987"/>
      <c r="P120" s="987"/>
      <c r="Q120" s="987"/>
      <c r="R120" s="987"/>
      <c r="S120" s="983"/>
      <c r="T120" s="978"/>
      <c r="U120" s="982"/>
      <c r="V120" s="982"/>
    </row>
    <row r="121" spans="2:22" ht="15" customHeight="1">
      <c r="C121" s="1041" t="s">
        <v>2022</v>
      </c>
      <c r="D121" s="983"/>
      <c r="E121" s="983"/>
      <c r="F121" s="983"/>
      <c r="G121" s="983"/>
      <c r="H121" s="989"/>
      <c r="I121" s="987"/>
      <c r="J121" s="989"/>
      <c r="K121" s="987"/>
      <c r="L121" s="989"/>
      <c r="M121" s="987"/>
      <c r="N121" s="989"/>
      <c r="O121" s="989"/>
      <c r="P121" s="989"/>
      <c r="Q121" s="989"/>
      <c r="R121" s="989"/>
      <c r="S121" s="983"/>
      <c r="T121" s="982"/>
      <c r="U121" s="982"/>
      <c r="V121" s="982"/>
    </row>
    <row r="122" spans="2:22" ht="15" customHeight="1">
      <c r="C122" s="981"/>
      <c r="D122" s="983"/>
      <c r="E122" s="983"/>
      <c r="F122" s="983"/>
      <c r="G122" s="983"/>
      <c r="H122" s="1862" t="s">
        <v>1177</v>
      </c>
      <c r="I122" s="1862"/>
      <c r="J122" s="1862"/>
      <c r="K122" s="1862"/>
      <c r="L122" s="1862"/>
      <c r="M122" s="1862"/>
      <c r="N122" s="989"/>
      <c r="O122" s="989"/>
      <c r="P122" s="989"/>
      <c r="Q122" s="989"/>
      <c r="R122" s="989"/>
      <c r="S122" s="983"/>
      <c r="T122" s="982"/>
      <c r="U122" s="982"/>
      <c r="V122" s="982"/>
    </row>
    <row r="123" spans="2:22" ht="34.5" customHeight="1">
      <c r="B123" s="986"/>
      <c r="C123" s="982"/>
      <c r="D123" s="983"/>
      <c r="E123" s="983"/>
      <c r="F123" s="983"/>
      <c r="G123" s="983"/>
      <c r="H123" s="987" t="s">
        <v>279</v>
      </c>
      <c r="I123" s="987" t="s">
        <v>280</v>
      </c>
      <c r="J123" s="987" t="s">
        <v>281</v>
      </c>
      <c r="K123" s="987" t="s">
        <v>282</v>
      </c>
      <c r="L123" s="987" t="s">
        <v>1551</v>
      </c>
      <c r="M123" s="987" t="s">
        <v>1537</v>
      </c>
      <c r="N123" s="1791" t="s">
        <v>2031</v>
      </c>
      <c r="O123" s="1791"/>
      <c r="P123" s="1791"/>
      <c r="Q123" s="987"/>
      <c r="V123" s="982"/>
    </row>
    <row r="124" spans="2:22" ht="15" customHeight="1">
      <c r="B124" s="986"/>
      <c r="C124" s="532"/>
      <c r="D124" s="983"/>
      <c r="E124" s="983"/>
      <c r="F124" s="983"/>
      <c r="G124" s="993" t="s">
        <v>1538</v>
      </c>
      <c r="H124" s="1059"/>
      <c r="I124" s="1059"/>
      <c r="J124" s="1059"/>
      <c r="K124" s="1059"/>
      <c r="L124" s="980">
        <f>IF('3b. Calculateur - MEÉ 1'!$G$173="-",0,'3b. Calculateur - MEÉ 1'!$G$173)</f>
        <v>0</v>
      </c>
      <c r="M124" s="980">
        <f>L124</f>
        <v>0</v>
      </c>
      <c r="N124" s="992" t="s">
        <v>1448</v>
      </c>
      <c r="O124" s="198" t="str">
        <f>IF(L126&gt;F78,"Oui","Non")</f>
        <v>Non</v>
      </c>
      <c r="Q124" s="989"/>
      <c r="V124" s="992"/>
    </row>
    <row r="125" spans="2:22" ht="5.25" customHeight="1">
      <c r="B125" s="986"/>
      <c r="C125" s="532"/>
      <c r="D125" s="983"/>
      <c r="E125" s="983"/>
      <c r="F125" s="983"/>
      <c r="G125" s="993"/>
      <c r="H125" s="989"/>
      <c r="I125" s="989"/>
      <c r="J125" s="989"/>
      <c r="K125" s="989"/>
      <c r="L125" s="989"/>
      <c r="M125" s="989"/>
      <c r="N125" s="982"/>
      <c r="O125" s="990"/>
      <c r="Q125" s="989"/>
      <c r="V125" s="982"/>
    </row>
    <row r="126" spans="2:22" ht="15" customHeight="1">
      <c r="B126" s="986"/>
      <c r="D126" s="983"/>
      <c r="E126" s="983"/>
      <c r="F126" s="983"/>
      <c r="G126" s="993"/>
      <c r="H126" s="989"/>
      <c r="I126" s="989"/>
      <c r="J126" s="989"/>
      <c r="K126" s="989"/>
      <c r="L126" s="1058">
        <f>IF(L124=0,0,L124/H6)</f>
        <v>0</v>
      </c>
      <c r="M126" s="989"/>
      <c r="N126" s="982"/>
      <c r="O126" s="990"/>
      <c r="Q126" s="989"/>
      <c r="V126" s="982"/>
    </row>
    <row r="127" spans="2:22" ht="5.25" customHeight="1">
      <c r="B127" s="986"/>
      <c r="D127" s="983"/>
      <c r="E127" s="983"/>
      <c r="F127" s="983"/>
      <c r="G127" s="993"/>
      <c r="H127" s="989"/>
      <c r="I127" s="989"/>
      <c r="J127" s="989"/>
      <c r="K127" s="989"/>
      <c r="L127" s="989"/>
      <c r="M127" s="989"/>
      <c r="N127" s="982"/>
      <c r="O127" s="990"/>
      <c r="Q127" s="989"/>
      <c r="V127" s="982"/>
    </row>
    <row r="128" spans="2:22" ht="15" customHeight="1">
      <c r="B128" s="986"/>
      <c r="D128" s="983"/>
      <c r="E128" s="983"/>
      <c r="F128" s="983"/>
      <c r="G128" s="993" t="s">
        <v>1539</v>
      </c>
      <c r="H128" s="980">
        <f>IF('3c. Calculateur MEÉ 2-3-4'!$G$172="-",0,'3c. Calculateur MEÉ 2-3-4'!$G$172)</f>
        <v>0</v>
      </c>
      <c r="I128" s="980">
        <f>IF('3c. Calculateur MEÉ 2-3-4'!$I$172="-",0,'3c. Calculateur MEÉ 2-3-4'!$I$172)</f>
        <v>0</v>
      </c>
      <c r="J128" s="980">
        <f>IF('3c. Calculateur MEÉ 2-3-4'!$K$172="-",0,'3c. Calculateur MEÉ 2-3-4'!$K$172)</f>
        <v>0</v>
      </c>
      <c r="K128" s="980">
        <f>IF('3c. Calculateur MEÉ 2-3-4'!$M$172="-",0,'3c. Calculateur MEÉ 2-3-4'!$M$172)</f>
        <v>0</v>
      </c>
      <c r="L128" s="1059"/>
      <c r="M128" s="980">
        <f>H128+I128+J128+K128</f>
        <v>0</v>
      </c>
      <c r="N128" s="992" t="s">
        <v>1448</v>
      </c>
      <c r="O128" s="198" t="str" cm="1">
        <f t="array" ref="O128">_xlfn.IFS(H130&gt;$F$79,"Oui",I130&gt;$F$79,"Oui",J130&gt;$F$79,"Oui",K130&gt;$F$79,"Oui",H130&lt;=$F$79,"Non",I130&lt;=$F$79,"Non",J130&lt;=$F$79,"Non",K130&lt;=$F$79,"Non")</f>
        <v>Non</v>
      </c>
      <c r="Q128" s="987"/>
      <c r="V128" s="982"/>
    </row>
    <row r="129" spans="2:22" ht="6.75" customHeight="1">
      <c r="B129" s="986"/>
      <c r="D129" s="983"/>
      <c r="E129" s="983"/>
      <c r="F129" s="983"/>
      <c r="G129" s="993"/>
      <c r="H129" s="983"/>
      <c r="I129" s="983"/>
      <c r="J129" s="983"/>
      <c r="K129" s="983"/>
      <c r="L129" s="987"/>
      <c r="M129" s="987"/>
      <c r="N129" s="982"/>
      <c r="O129" s="990"/>
      <c r="Q129" s="987"/>
      <c r="V129" s="982"/>
    </row>
    <row r="130" spans="2:22" ht="15" customHeight="1">
      <c r="B130" s="986"/>
      <c r="D130" s="983"/>
      <c r="E130" s="983"/>
      <c r="F130" s="983"/>
      <c r="G130" s="984"/>
      <c r="H130" s="994">
        <f>IF(H128=0,0,H128/H6)</f>
        <v>0</v>
      </c>
      <c r="I130" s="994">
        <f>IF(I128=0,0,I128/H6)</f>
        <v>0</v>
      </c>
      <c r="J130" s="994">
        <f>IF(J128=0,0,J128/H6)</f>
        <v>0</v>
      </c>
      <c r="K130" s="994">
        <f>IF(K128=0,0,K128/H6)</f>
        <v>0</v>
      </c>
      <c r="L130" s="987"/>
      <c r="M130" s="987"/>
      <c r="N130" s="982"/>
      <c r="O130" s="990"/>
      <c r="Q130" s="987"/>
      <c r="V130" s="982"/>
    </row>
    <row r="131" spans="2:22" ht="5.25" customHeight="1">
      <c r="B131" s="986"/>
      <c r="D131" s="983"/>
      <c r="E131" s="983"/>
      <c r="F131" s="983"/>
      <c r="G131" s="993"/>
      <c r="H131" s="989"/>
      <c r="I131" s="989"/>
      <c r="J131" s="989"/>
      <c r="K131" s="989"/>
      <c r="L131" s="989"/>
      <c r="M131" s="989"/>
      <c r="N131" s="982"/>
      <c r="O131" s="990"/>
      <c r="Q131" s="989"/>
      <c r="V131" s="982"/>
    </row>
    <row r="132" spans="2:22" ht="15" customHeight="1">
      <c r="B132" s="986"/>
      <c r="D132" s="983"/>
      <c r="E132" s="983"/>
      <c r="F132" s="983"/>
      <c r="G132" s="993" t="s">
        <v>1540</v>
      </c>
      <c r="H132" s="980">
        <f>IF('3c. Calculateur MEÉ 2-3-4'!$G$176="-",0,'3c. Calculateur MEÉ 2-3-4'!$G$176)</f>
        <v>0</v>
      </c>
      <c r="I132" s="980">
        <f>IF('3c. Calculateur MEÉ 2-3-4'!$I$176="-",0,'3c. Calculateur MEÉ 2-3-4'!$I$176)</f>
        <v>0</v>
      </c>
      <c r="J132" s="980">
        <f>IF('3c. Calculateur MEÉ 2-3-4'!$K$176="-",0,'3c. Calculateur MEÉ 2-3-4'!$K$176)</f>
        <v>0</v>
      </c>
      <c r="K132" s="980">
        <f>IF('3c. Calculateur MEÉ 2-3-4'!$M$176="-",0,'3c. Calculateur MEÉ 2-3-4'!$M$176)</f>
        <v>0</v>
      </c>
      <c r="L132" s="1059"/>
      <c r="M132" s="980">
        <f>H132+I132+J132+K132</f>
        <v>0</v>
      </c>
      <c r="N132" s="992" t="s">
        <v>1448</v>
      </c>
      <c r="O132" s="198" t="str" cm="1">
        <f t="array" ref="O132">_xlfn.IFS(H134&gt;$F$80,"Oui",I134&gt;$F$80,"Oui",J134&gt;$F$80,"Oui",K134&gt;$F$80,"Oui",H134&lt;=$F$80,"Non",I134&lt;=$F$80,"Non",J134&lt;=$F$80,"Non",K134&lt;=$F$80,"Non")</f>
        <v>Non</v>
      </c>
      <c r="Q132" s="989"/>
      <c r="V132" s="982"/>
    </row>
    <row r="133" spans="2:22" ht="6.75" customHeight="1">
      <c r="B133" s="986"/>
      <c r="D133" s="983"/>
      <c r="E133" s="983"/>
      <c r="F133" s="983"/>
      <c r="G133" s="993"/>
      <c r="H133" s="989"/>
      <c r="I133" s="989"/>
      <c r="J133" s="989"/>
      <c r="K133" s="989"/>
      <c r="L133" s="989"/>
      <c r="M133" s="989"/>
      <c r="N133" s="982"/>
      <c r="O133" s="990"/>
      <c r="Q133" s="989"/>
      <c r="V133" s="982"/>
    </row>
    <row r="134" spans="2:22" ht="15" customHeight="1">
      <c r="B134" s="986"/>
      <c r="D134" s="983"/>
      <c r="E134" s="983"/>
      <c r="F134" s="983"/>
      <c r="G134" s="984"/>
      <c r="H134" s="994">
        <f>IF(H132=0,0,H132/H6)</f>
        <v>0</v>
      </c>
      <c r="I134" s="994">
        <f>IF(I132=0,0,I132/H6)</f>
        <v>0</v>
      </c>
      <c r="J134" s="994">
        <f>IF(J132=0,0,J132/H6)</f>
        <v>0</v>
      </c>
      <c r="K134" s="994">
        <f>IF(K132=0,0,K132/H6)</f>
        <v>0</v>
      </c>
      <c r="L134" s="987"/>
      <c r="M134" s="989"/>
      <c r="N134" s="982"/>
      <c r="O134" s="990"/>
      <c r="Q134" s="989"/>
      <c r="V134" s="982"/>
    </row>
    <row r="135" spans="2:22" ht="6.75" customHeight="1">
      <c r="B135" s="986"/>
      <c r="D135" s="983"/>
      <c r="E135" s="983"/>
      <c r="F135" s="983"/>
      <c r="G135" s="993"/>
      <c r="H135" s="989"/>
      <c r="I135" s="989"/>
      <c r="J135" s="989"/>
      <c r="K135" s="989"/>
      <c r="L135" s="989"/>
      <c r="M135" s="989"/>
      <c r="N135" s="982"/>
      <c r="O135" s="990"/>
      <c r="Q135" s="989"/>
      <c r="V135" s="982"/>
    </row>
    <row r="136" spans="2:22" ht="15" customHeight="1">
      <c r="B136" s="986"/>
      <c r="D136" s="983"/>
      <c r="E136" s="983"/>
      <c r="F136" s="983"/>
      <c r="G136" s="993" t="s">
        <v>1541</v>
      </c>
      <c r="H136" s="980">
        <f>IF('3c. Calculateur MEÉ 2-3-4'!$G$180="-",0,'3c. Calculateur MEÉ 2-3-4'!$G$180)</f>
        <v>0</v>
      </c>
      <c r="I136" s="980">
        <f>IF('3c. Calculateur MEÉ 2-3-4'!$I$180="-",0,'3c. Calculateur MEÉ 2-3-4'!$I$180)</f>
        <v>0</v>
      </c>
      <c r="J136" s="980">
        <f>IF('3c. Calculateur MEÉ 2-3-4'!$K$180="-",0,'3c. Calculateur MEÉ 2-3-4'!$K$180)</f>
        <v>0</v>
      </c>
      <c r="K136" s="980">
        <f>IF('3c. Calculateur MEÉ 2-3-4'!$M$180="-",0,'3c. Calculateur MEÉ 2-3-4'!$M$180)</f>
        <v>0</v>
      </c>
      <c r="L136" s="1059"/>
      <c r="M136" s="980">
        <f>H136+I136+J136+K136</f>
        <v>0</v>
      </c>
      <c r="N136" s="992" t="s">
        <v>1448</v>
      </c>
      <c r="O136" s="198" t="str" cm="1">
        <f t="array" ref="O136">_xlfn.IFS(H138&gt;$F$81,"Oui",I138&gt;$F$81,"Oui",J138&gt;$F$81,"Oui",K138&gt;$F$81,"Oui",H138&lt;=$F$81,"Non",I138&lt;=$F$81,"Non",J138&lt;=$F$81,"Non",K138&lt;=$F$81,"Non")</f>
        <v>Non</v>
      </c>
      <c r="Q136" s="989"/>
      <c r="V136" s="982"/>
    </row>
    <row r="137" spans="2:22" ht="5.25" customHeight="1">
      <c r="B137" s="986"/>
      <c r="D137" s="983"/>
      <c r="E137" s="983"/>
      <c r="F137" s="983"/>
      <c r="G137" s="993"/>
      <c r="H137" s="989"/>
      <c r="I137" s="989"/>
      <c r="J137" s="989"/>
      <c r="K137" s="989"/>
      <c r="L137" s="989"/>
      <c r="M137" s="989"/>
      <c r="N137" s="982"/>
      <c r="O137" s="990"/>
      <c r="Q137" s="989"/>
      <c r="V137" s="982"/>
    </row>
    <row r="138" spans="2:22" ht="15" customHeight="1">
      <c r="B138" s="986"/>
      <c r="D138" s="983"/>
      <c r="E138" s="983"/>
      <c r="F138" s="983"/>
      <c r="G138" s="984"/>
      <c r="H138" s="994">
        <f>IF(H136=0,0,H136/H6)</f>
        <v>0</v>
      </c>
      <c r="I138" s="994">
        <f>IF(I136=0,0,I136/H6)</f>
        <v>0</v>
      </c>
      <c r="J138" s="994">
        <f>IF(J136=0,0,J136/H6)</f>
        <v>0</v>
      </c>
      <c r="K138" s="994">
        <f>IF(K136=0,0,K136/H6)</f>
        <v>0</v>
      </c>
      <c r="L138" s="989"/>
      <c r="M138" s="989"/>
      <c r="N138" s="982"/>
      <c r="O138" s="990"/>
      <c r="Q138" s="989"/>
      <c r="V138" s="982"/>
    </row>
    <row r="139" spans="2:22" ht="5.25" customHeight="1">
      <c r="B139" s="986"/>
      <c r="D139" s="983"/>
      <c r="E139" s="983"/>
      <c r="F139" s="983"/>
      <c r="G139" s="993"/>
      <c r="H139" s="989"/>
      <c r="I139" s="989"/>
      <c r="J139" s="989"/>
      <c r="K139" s="989"/>
      <c r="L139" s="989"/>
      <c r="M139" s="989"/>
      <c r="N139" s="982"/>
      <c r="O139" s="990"/>
      <c r="Q139" s="989"/>
      <c r="V139" s="982"/>
    </row>
    <row r="140" spans="2:22" ht="15" customHeight="1">
      <c r="B140" s="986"/>
      <c r="D140" s="983"/>
      <c r="E140" s="983"/>
      <c r="F140" s="983"/>
      <c r="G140" s="993" t="s">
        <v>1542</v>
      </c>
      <c r="H140" s="980">
        <f>IF('3c. Calculateur MEÉ 2-3-4'!$G$181="-",0,'3c. Calculateur MEÉ 2-3-4'!$G$181)</f>
        <v>0</v>
      </c>
      <c r="I140" s="980">
        <f>IF('3c. Calculateur MEÉ 2-3-4'!$I$181="-",0,'3c. Calculateur MEÉ 2-3-4'!$I$181)</f>
        <v>0</v>
      </c>
      <c r="J140" s="980">
        <f>IF('3c. Calculateur MEÉ 2-3-4'!$K$181="-",0,'3c. Calculateur MEÉ 2-3-4'!$K$181)</f>
        <v>0</v>
      </c>
      <c r="K140" s="980">
        <f>IF('3c. Calculateur MEÉ 2-3-4'!$M$181="-",0,'3c. Calculateur MEÉ 2-3-4'!$M$181)</f>
        <v>0</v>
      </c>
      <c r="L140" s="1059"/>
      <c r="M140" s="980">
        <f>H140+I140+J140+K140</f>
        <v>0</v>
      </c>
      <c r="N140" s="992" t="s">
        <v>1448</v>
      </c>
      <c r="O140" s="198" t="str" cm="1">
        <f t="array" ref="O140">_xlfn.IFS(H142&gt;$F$82,"Oui",I142&gt;$F$82,"Oui",J142&gt;$F$82,"Oui",K142&gt;$F$82,"Oui",H142&lt;=$F$82,"Non",I142&lt;=$F$82,"Non",J142&lt;=$F$82,"Non",K142&lt;=$F$82,"Non")</f>
        <v>Non</v>
      </c>
      <c r="Q140" s="989"/>
      <c r="V140" s="982"/>
    </row>
    <row r="141" spans="2:22" ht="5.25" customHeight="1">
      <c r="B141" s="986"/>
      <c r="D141" s="983"/>
      <c r="E141" s="983"/>
      <c r="F141" s="983"/>
      <c r="G141" s="993"/>
      <c r="H141" s="989"/>
      <c r="I141" s="989"/>
      <c r="J141" s="989"/>
      <c r="K141" s="989"/>
      <c r="L141" s="989"/>
      <c r="M141" s="989"/>
      <c r="N141" s="982"/>
      <c r="O141" s="990"/>
      <c r="Q141" s="989"/>
      <c r="V141" s="982"/>
    </row>
    <row r="142" spans="2:22" ht="15" customHeight="1">
      <c r="B142" s="986"/>
      <c r="D142" s="983"/>
      <c r="E142" s="983"/>
      <c r="F142" s="983"/>
      <c r="G142" s="984"/>
      <c r="H142" s="994">
        <f>IF(H140=0,0,H140/H6)</f>
        <v>0</v>
      </c>
      <c r="I142" s="994">
        <f>IF(I140=0,0,I140/H6)</f>
        <v>0</v>
      </c>
      <c r="J142" s="994">
        <f>IF(J140=0,0,J140/H6)</f>
        <v>0</v>
      </c>
      <c r="K142" s="994">
        <f>IF(K140=0,0,K140/H6)</f>
        <v>0</v>
      </c>
      <c r="L142" s="989"/>
      <c r="M142" s="989"/>
      <c r="N142" s="982"/>
      <c r="O142" s="990"/>
      <c r="Q142" s="989"/>
      <c r="V142" s="982"/>
    </row>
    <row r="143" spans="2:22" ht="5.25" customHeight="1">
      <c r="B143" s="986"/>
      <c r="D143" s="983"/>
      <c r="E143" s="983"/>
      <c r="F143" s="983"/>
      <c r="G143" s="993"/>
      <c r="H143" s="989"/>
      <c r="I143" s="989"/>
      <c r="J143" s="989"/>
      <c r="K143" s="989"/>
      <c r="L143" s="989"/>
      <c r="M143" s="989"/>
      <c r="N143" s="982"/>
      <c r="O143" s="990"/>
      <c r="Q143" s="989"/>
      <c r="V143" s="982"/>
    </row>
    <row r="144" spans="2:22" ht="15" customHeight="1">
      <c r="B144" s="986"/>
      <c r="D144" s="983"/>
      <c r="E144" s="983"/>
      <c r="F144" s="983"/>
      <c r="G144" s="993" t="s">
        <v>1543</v>
      </c>
      <c r="H144" s="980">
        <f>IF('3c. Calculateur MEÉ 2-3-4'!$G$182="-",0,'3c. Calculateur MEÉ 2-3-4'!$G$182)</f>
        <v>0</v>
      </c>
      <c r="I144" s="980">
        <f>IF('3c. Calculateur MEÉ 2-3-4'!$I$182="-",0,'3c. Calculateur MEÉ 2-3-4'!$I$182)</f>
        <v>0</v>
      </c>
      <c r="J144" s="980">
        <f>IF('3c. Calculateur MEÉ 2-3-4'!$K$182="-",0,'3c. Calculateur MEÉ 2-3-4'!$K$182)</f>
        <v>0</v>
      </c>
      <c r="K144" s="980">
        <f>IF('3c. Calculateur MEÉ 2-3-4'!$M$182="-",0,'3c. Calculateur MEÉ 2-3-4'!$M$182)</f>
        <v>0</v>
      </c>
      <c r="L144" s="1059"/>
      <c r="M144" s="980">
        <f>H144+I144+J144+K144</f>
        <v>0</v>
      </c>
      <c r="N144" s="992" t="s">
        <v>1448</v>
      </c>
      <c r="O144" s="198" t="str" cm="1">
        <f t="array" ref="O144">_xlfn.IFS(H146&gt;$F$83,"Oui",I146&gt;$F$83,"Oui",J146&gt;$F$83,"Oui",K146&gt;$F$83,"Oui",H146&lt;=$F$83,"Non",I146&lt;=$F$83,"Non",J146&lt;=$F$83,"Non",K146&lt;=$F$83,"Non")</f>
        <v>Non</v>
      </c>
      <c r="Q144" s="989"/>
      <c r="V144" s="982"/>
    </row>
    <row r="145" spans="2:22" ht="5.25" customHeight="1">
      <c r="B145" s="986"/>
      <c r="C145" s="982"/>
      <c r="D145" s="983"/>
      <c r="E145" s="983"/>
      <c r="F145" s="983"/>
      <c r="G145" s="983"/>
      <c r="H145" s="989"/>
      <c r="I145" s="989"/>
      <c r="J145" s="989"/>
      <c r="K145" s="989"/>
      <c r="M145" s="989"/>
      <c r="N145" s="983"/>
      <c r="O145" s="982"/>
      <c r="P145" s="982"/>
      <c r="Q145" s="989"/>
      <c r="V145" s="982"/>
    </row>
    <row r="146" spans="2:22" ht="15" customHeight="1">
      <c r="B146" s="986"/>
      <c r="C146" s="982"/>
      <c r="D146" s="983"/>
      <c r="E146" s="983"/>
      <c r="F146" s="983"/>
      <c r="G146" s="984"/>
      <c r="H146" s="994">
        <f>IF(H144=0,0,H144/H6)</f>
        <v>0</v>
      </c>
      <c r="I146" s="994">
        <f>IF(I144=0,0,I144/H6)</f>
        <v>0</v>
      </c>
      <c r="J146" s="994">
        <f>IF(J144=0,0,J144/H6)</f>
        <v>0</v>
      </c>
      <c r="K146" s="994">
        <f>IF(K144=0,0,K144/H6)</f>
        <v>0</v>
      </c>
      <c r="M146" s="987"/>
      <c r="O146" s="987"/>
      <c r="P146" s="989"/>
      <c r="Q146" s="989"/>
      <c r="R146" s="989"/>
      <c r="S146" s="983"/>
      <c r="T146" s="982"/>
      <c r="U146" s="982"/>
      <c r="V146" s="982"/>
    </row>
    <row r="147" spans="2:22" ht="15" customHeight="1">
      <c r="B147" s="986"/>
      <c r="C147" s="982"/>
      <c r="D147" s="983"/>
      <c r="E147" s="983"/>
      <c r="F147" s="983"/>
      <c r="G147" s="983"/>
      <c r="H147" s="989"/>
      <c r="I147" s="987"/>
      <c r="J147" s="989"/>
      <c r="K147" s="987"/>
      <c r="L147" s="989"/>
      <c r="M147" s="987"/>
      <c r="N147" s="989"/>
      <c r="O147" s="987"/>
      <c r="P147" s="989"/>
      <c r="Q147" s="989"/>
      <c r="R147" s="989"/>
      <c r="S147" s="983"/>
      <c r="T147" s="982"/>
      <c r="U147" s="982"/>
      <c r="V147" s="982"/>
    </row>
    <row r="148" spans="2:22" ht="15" customHeight="1">
      <c r="C148" s="981" t="s">
        <v>2023</v>
      </c>
      <c r="D148" s="986"/>
      <c r="E148" s="986"/>
      <c r="F148" s="986"/>
      <c r="G148" s="986"/>
      <c r="H148" s="986"/>
      <c r="I148" s="987"/>
      <c r="J148" s="989"/>
      <c r="K148" s="987"/>
      <c r="L148" s="989"/>
      <c r="M148" s="987"/>
      <c r="N148" s="989"/>
      <c r="O148" s="987"/>
      <c r="P148" s="989"/>
      <c r="Q148" s="989"/>
      <c r="R148" s="989"/>
      <c r="S148" s="983"/>
      <c r="T148" s="982"/>
      <c r="U148" s="982"/>
      <c r="V148" s="982"/>
    </row>
    <row r="149" spans="2:22" ht="36.75" customHeight="1">
      <c r="B149" s="986"/>
      <c r="C149" s="985"/>
      <c r="D149" s="986"/>
      <c r="E149" s="986"/>
      <c r="F149" s="986"/>
      <c r="G149" s="986"/>
      <c r="H149" s="987" t="s">
        <v>279</v>
      </c>
      <c r="I149" s="987" t="s">
        <v>280</v>
      </c>
      <c r="J149" s="987" t="s">
        <v>281</v>
      </c>
      <c r="K149" s="987" t="s">
        <v>282</v>
      </c>
      <c r="M149" s="987"/>
      <c r="N149" s="1791" t="s">
        <v>2038</v>
      </c>
      <c r="O149" s="1791"/>
      <c r="P149" s="1791"/>
      <c r="Q149" s="989"/>
      <c r="R149" s="989"/>
      <c r="S149" s="983"/>
      <c r="T149" s="982"/>
      <c r="U149" s="982"/>
      <c r="V149" s="982"/>
    </row>
    <row r="150" spans="2:22" ht="14.45" customHeight="1">
      <c r="B150" s="986"/>
      <c r="D150" s="986"/>
      <c r="E150" s="986"/>
      <c r="F150" s="986"/>
      <c r="G150" s="993" t="s">
        <v>2039</v>
      </c>
      <c r="H150" s="1717" t="str">
        <f>IF(AND('3c. Calculateur MEÉ 2-3-4'!G26="",'3c. Calculateur MEÉ 2-3-4'!G34=""),"",'P opération brûleur - avant MEE'!D78)</f>
        <v/>
      </c>
      <c r="I150" s="1717" t="str">
        <f>IF(AND('3c. Calculateur MEÉ 2-3-4'!I26="",'3c. Calculateur MEÉ 2-3-4'!I34=""),"",'P opération brûleur - avant MEE'!E78)</f>
        <v/>
      </c>
      <c r="J150" s="1717" t="str">
        <f>IF(AND('3c. Calculateur MEÉ 2-3-4'!K26="",'3c. Calculateur MEÉ 2-3-4'!K34=""),"",'P opération brûleur - avant MEE'!F78)</f>
        <v/>
      </c>
      <c r="K150" s="1717" t="str">
        <f>IF(AND('3c. Calculateur MEÉ 2-3-4'!M26="",'3c. Calculateur MEÉ 2-3-4'!M34=""),"",'P opération brûleur - avant MEE'!G78)</f>
        <v/>
      </c>
      <c r="M150" s="987"/>
      <c r="O150" s="198" t="str" cm="1">
        <f t="array" ref="O150">_xlfn.IFS(H151="Oui","Oui",I151="Oui","Oui",J151="Oui","Oui",K151="Oui","Oui",H151="Non","Non",I151="Non","Non",J151="Non","Non",K151="Non","Non")</f>
        <v>Non</v>
      </c>
      <c r="P150" s="989"/>
      <c r="Q150" s="989"/>
      <c r="R150" s="989"/>
      <c r="S150" s="983"/>
      <c r="T150" s="982"/>
      <c r="V150" s="982"/>
    </row>
    <row r="151" spans="2:22" ht="24.95" hidden="1" customHeight="1">
      <c r="B151" s="986"/>
      <c r="C151" s="995" t="s">
        <v>1554</v>
      </c>
      <c r="D151" s="986"/>
      <c r="E151" s="986"/>
      <c r="F151" s="986"/>
      <c r="G151" s="984" t="s">
        <v>1544</v>
      </c>
      <c r="H151" s="1718" t="str" cm="1">
        <f t="array" ref="H151">_xlfn.IFS(H150="","Non",AND(F28&lt;&gt;"Mesure non installée",H150&gt;=H79),"Oui",H150&lt;G79,"Oui",H150&gt;H80,"Oui",H150&gt;G79,"Non",H150&lt;H80,"Non")</f>
        <v>Non</v>
      </c>
      <c r="I151" s="1718" t="str" cm="1">
        <f t="array" ref="I151">_xlfn.IFS(I150="","Non",AND(F29&lt;&gt;"Mesure non installée",HI50&gt;=H79),"Oui",I150&lt;G79,"Oui",I150&gt;H80,"Oui",I150&gt;G79,"Non",I150&lt;H80,"Non")</f>
        <v>Non</v>
      </c>
      <c r="J151" s="1718" t="str" cm="1">
        <f t="array" ref="J151">_xlfn.IFS(J150="","Non",AND(F30&lt;&gt;"Mesure non installée",J150&gt;=H79),"Oui",J150&lt;G79,"Oui",J150&gt;H80,"Oui",J150&gt;G79,"Non",J150&lt;H80,"Non")</f>
        <v>Non</v>
      </c>
      <c r="K151" s="1718" t="str" cm="1">
        <f t="array" ref="K151">_xlfn.IFS(K150="","Non",AND(F31&lt;&gt;"Mesure non installée",K150&gt;=H79),"Oui",K150&lt;G79,"Oui",K150&gt;H80,"Oui",K150&gt;G79,"Non",K150&lt;H80,"Non")</f>
        <v>Non</v>
      </c>
      <c r="M151" s="991"/>
      <c r="P151" s="989"/>
      <c r="Q151" s="989"/>
      <c r="R151" s="989"/>
      <c r="S151" s="983"/>
      <c r="T151" s="982"/>
      <c r="U151" s="982"/>
      <c r="V151" s="982"/>
    </row>
    <row r="152" spans="2:22" ht="15" customHeight="1">
      <c r="B152" s="986"/>
      <c r="C152" s="985"/>
      <c r="D152" s="986"/>
      <c r="E152" s="986"/>
      <c r="F152" s="986"/>
      <c r="G152" s="986"/>
      <c r="H152" s="989"/>
      <c r="I152" s="989"/>
      <c r="J152" s="989"/>
      <c r="K152" s="989"/>
      <c r="M152" s="987"/>
      <c r="P152" s="989"/>
      <c r="Q152" s="989"/>
      <c r="R152" s="989"/>
      <c r="S152" s="983"/>
      <c r="T152" s="982"/>
      <c r="U152" s="982"/>
      <c r="V152" s="982"/>
    </row>
    <row r="153" spans="2:22">
      <c r="C153" s="541"/>
    </row>
    <row r="154" spans="2:22" ht="26.1" customHeight="1">
      <c r="C154" s="981" t="s">
        <v>2024</v>
      </c>
      <c r="I154" s="1054"/>
      <c r="K154" s="1051"/>
      <c r="M154" s="1051"/>
      <c r="N154" s="1791" t="s">
        <v>2032</v>
      </c>
      <c r="O154" s="1791"/>
      <c r="P154" s="1791"/>
    </row>
    <row r="155" spans="2:22" ht="15.6" customHeight="1">
      <c r="C155" s="981"/>
      <c r="I155" s="1054"/>
      <c r="K155" s="1051"/>
      <c r="M155" s="1051"/>
    </row>
    <row r="156" spans="2:22" ht="15.6" customHeight="1">
      <c r="C156" s="1719" t="s">
        <v>2037</v>
      </c>
      <c r="D156" s="532" t="str" cm="1">
        <f t="array" ref="D156">_xlfn.IFS('3c. Calculateur MEÉ 2-3-4'!G34="","",'3c. Calculateur MEÉ 2-3-4'!G34&lt;=2000,"Chaudière 1",'3c. Calculateur MEÉ 2-3-4'!G34&gt;2000,"")</f>
        <v/>
      </c>
      <c r="E156" s="532" t="str" cm="1">
        <f t="array" ref="E156">_xlfn.IFS('3c. Calculateur MEÉ 2-3-4'!I34="","",'3c. Calculateur MEÉ 2-3-4'!I34&lt;=2000,"Chaudière 2",'3c. Calculateur MEÉ 2-3-4'!I34&gt;2000,"")</f>
        <v/>
      </c>
      <c r="F156" s="532" t="str" cm="1">
        <f t="array" ref="F156">_xlfn.IFS('3c. Calculateur MEÉ 2-3-4'!K34="","",'3c. Calculateur MEÉ 2-3-4'!K34&lt;=2000,"Chaudière 3",'3c. Calculateur MEÉ 2-3-4'!K34&gt;2000,"")</f>
        <v/>
      </c>
      <c r="G156" s="532" t="str" cm="1">
        <f t="array" ref="G156">_xlfn.IFS('3c. Calculateur MEÉ 2-3-4'!M34="","",'3c. Calculateur MEÉ 2-3-4'!M34&lt;=2000,"Chaudière 4",'3c. Calculateur MEÉ 2-3-4'!M34&gt;2000,"")</f>
        <v/>
      </c>
      <c r="I156" s="1054"/>
      <c r="K156" s="1051"/>
      <c r="M156" s="1051"/>
      <c r="O156" s="198" t="str">
        <f>IF(OR(D157&lt;2000,E157&lt;2000,F157&lt;2000,G157&lt;2000),"Oui","Non")</f>
        <v>Non</v>
      </c>
    </row>
    <row r="157" spans="2:22" ht="15.75" thickBot="1">
      <c r="D157" s="7" t="str" cm="1">
        <f t="array" ref="D157">_xlfn.IFS('3c. Calculateur MEÉ 2-3-4'!G34="","",'3c. Calculateur MEÉ 2-3-4'!G34&lt;=2000,'3c. Calculateur MEÉ 2-3-4'!G34,'3c. Calculateur MEÉ 2-3-4'!G34&gt;2000,"")</f>
        <v/>
      </c>
      <c r="E157" s="7" t="str" cm="1">
        <f t="array" ref="E157">_xlfn.IFS('3c. Calculateur MEÉ 2-3-4'!I34="","",'3c. Calculateur MEÉ 2-3-4'!I34&lt;=2000,'3c. Calculateur MEÉ 2-3-4'!I34,'3c. Calculateur MEÉ 2-3-4'!I34&gt;2000,"")</f>
        <v/>
      </c>
      <c r="F157" s="7" t="str" cm="1">
        <f t="array" ref="F157">_xlfn.IFS('3c. Calculateur MEÉ 2-3-4'!K34="","",'3c. Calculateur MEÉ 2-3-4'!K34&lt;=2000,'3c. Calculateur MEÉ 2-3-4'!K34,'3c. Calculateur MEÉ 2-3-4'!K34&gt;2000,"")</f>
        <v/>
      </c>
      <c r="G157" s="7" t="str" cm="1">
        <f t="array" ref="G157">_xlfn.IFS('3c. Calculateur MEÉ 2-3-4'!M34="","",'3c. Calculateur MEÉ 2-3-4'!M34&lt;=2000,'3c. Calculateur MEÉ 2-3-4'!M34,'3c. Calculateur MEÉ 2-3-4'!M34&gt;2000,"")</f>
        <v/>
      </c>
      <c r="I157" s="1055"/>
      <c r="K157" s="1052"/>
      <c r="M157" s="1052"/>
      <c r="O157" s="1052"/>
    </row>
    <row r="158" spans="2:22" ht="16.5" thickBot="1">
      <c r="C158" s="1852" t="s">
        <v>1949</v>
      </c>
      <c r="D158" s="1853"/>
      <c r="E158" s="1853"/>
      <c r="F158" s="1853"/>
      <c r="G158" s="1853"/>
      <c r="H158" s="1853"/>
      <c r="I158" s="1853"/>
      <c r="J158" s="1853"/>
      <c r="K158" s="1853"/>
      <c r="L158" s="1854"/>
      <c r="M158" s="1053"/>
      <c r="O158" s="1053"/>
    </row>
    <row r="159" spans="2:22" ht="15.75" thickBot="1">
      <c r="C159" s="1684" t="s">
        <v>1966</v>
      </c>
      <c r="D159" s="503"/>
      <c r="E159" s="1667"/>
      <c r="F159" s="1666"/>
      <c r="G159" s="525"/>
      <c r="H159" s="710"/>
      <c r="I159" s="710"/>
      <c r="J159" s="710"/>
      <c r="K159" s="710"/>
      <c r="L159" s="1679"/>
      <c r="M159" s="1053"/>
      <c r="O159" s="1053"/>
    </row>
    <row r="160" spans="2:22" ht="18" thickBot="1">
      <c r="C160" s="1669" t="s">
        <v>1950</v>
      </c>
      <c r="D160" s="1668" t="s">
        <v>1951</v>
      </c>
      <c r="E160" s="1735"/>
      <c r="F160" s="525" t="s">
        <v>1952</v>
      </c>
      <c r="G160" s="525"/>
      <c r="H160" s="710"/>
      <c r="I160" s="710"/>
      <c r="J160" s="710"/>
      <c r="K160" s="710"/>
      <c r="L160" s="1679"/>
      <c r="M160" s="1053"/>
      <c r="O160" s="1053"/>
    </row>
    <row r="161" spans="3:12">
      <c r="C161" s="1682"/>
      <c r="E161" s="1683"/>
      <c r="F161" s="1680"/>
      <c r="G161" s="1680"/>
      <c r="H161" s="1680"/>
      <c r="I161" s="1680"/>
      <c r="J161" s="1680"/>
      <c r="L161" s="1681"/>
    </row>
    <row r="162" spans="3:12">
      <c r="C162" s="1684" t="s">
        <v>1953</v>
      </c>
      <c r="D162"/>
      <c r="E162" s="1264"/>
      <c r="F162" s="1680"/>
      <c r="G162" s="1680"/>
      <c r="H162" s="1680"/>
      <c r="I162" s="1680"/>
      <c r="J162" s="1680"/>
      <c r="L162" s="1681"/>
    </row>
    <row r="163" spans="3:12" ht="26.25" thickBot="1">
      <c r="C163" s="1670" t="s">
        <v>1954</v>
      </c>
      <c r="D163" s="1844" t="s">
        <v>1955</v>
      </c>
      <c r="E163" s="1845"/>
      <c r="F163"/>
      <c r="G163" s="1846" t="s">
        <v>1956</v>
      </c>
      <c r="H163" s="1846"/>
      <c r="I163" s="1847"/>
      <c r="J163" s="1847"/>
      <c r="K163" s="1847"/>
      <c r="L163" s="1671"/>
    </row>
    <row r="164" spans="3:12" ht="25.5">
      <c r="C164" s="1672" t="s">
        <v>1957</v>
      </c>
      <c r="D164" s="1662" t="s">
        <v>1958</v>
      </c>
      <c r="E164" s="1688"/>
      <c r="F164" s="986" t="s">
        <v>1959</v>
      </c>
      <c r="G164" s="1848" t="s">
        <v>1958</v>
      </c>
      <c r="H164" s="1849"/>
      <c r="I164" s="1663"/>
      <c r="J164" s="1850"/>
      <c r="K164" s="1851"/>
      <c r="L164" s="1673" t="s">
        <v>1959</v>
      </c>
    </row>
    <row r="165" spans="3:12">
      <c r="C165" s="1674" t="s">
        <v>1960</v>
      </c>
      <c r="D165" s="1664" t="s">
        <v>1961</v>
      </c>
      <c r="E165" s="1689"/>
      <c r="F165" s="986" t="s">
        <v>1959</v>
      </c>
      <c r="G165" s="1873" t="s">
        <v>1962</v>
      </c>
      <c r="H165" s="1874"/>
      <c r="I165" s="1665"/>
      <c r="J165" s="1875"/>
      <c r="K165" s="1876"/>
      <c r="L165" s="1673" t="s">
        <v>1959</v>
      </c>
    </row>
    <row r="166" spans="3:12" ht="15.75" thickBot="1">
      <c r="C166" s="1674" t="s">
        <v>1963</v>
      </c>
      <c r="D166" s="1664" t="s">
        <v>1961</v>
      </c>
      <c r="E166" s="1690"/>
      <c r="F166" s="986" t="s">
        <v>1959</v>
      </c>
      <c r="G166" s="1877" t="s">
        <v>1962</v>
      </c>
      <c r="H166" s="1878"/>
      <c r="I166" s="1686"/>
      <c r="J166" s="1879"/>
      <c r="K166" s="1880"/>
      <c r="L166" s="1673" t="s">
        <v>1959</v>
      </c>
    </row>
    <row r="167" spans="3:12">
      <c r="C167" s="1685"/>
      <c r="D167" s="576" t="s">
        <v>1964</v>
      </c>
      <c r="E167" s="1675">
        <f>E164+E165+E166</f>
        <v>0</v>
      </c>
      <c r="F167" s="986" t="s">
        <v>1959</v>
      </c>
      <c r="G167"/>
      <c r="I167" s="3" t="s">
        <v>1965</v>
      </c>
      <c r="J167" s="1881">
        <f>J164+J165+J166</f>
        <v>0</v>
      </c>
      <c r="K167" s="1881"/>
      <c r="L167" s="1673" t="s">
        <v>1959</v>
      </c>
    </row>
    <row r="168" spans="3:12" ht="15.75" thickBot="1">
      <c r="C168" s="1676"/>
      <c r="D168" s="1677"/>
      <c r="E168" s="1677"/>
      <c r="F168" s="1677"/>
      <c r="G168" s="1677"/>
      <c r="H168" s="1677"/>
      <c r="I168" s="1677"/>
      <c r="J168" s="1677"/>
      <c r="K168" s="1677"/>
      <c r="L168" s="1678"/>
    </row>
    <row r="170" spans="3:12" ht="17.850000000000001" customHeight="1"/>
    <row r="171" spans="3:12" ht="30" customHeight="1">
      <c r="C171" s="1869" t="str">
        <f>'Onglet Énergir'!C26</f>
        <v>Mesure recommandée</v>
      </c>
      <c r="D171" s="1870">
        <f>'Onglet Énergir'!D26</f>
        <v>0</v>
      </c>
      <c r="E171" s="1871">
        <f>'Onglet Énergir'!E26</f>
        <v>0</v>
      </c>
      <c r="F171" s="979" t="str">
        <f>'Onglet Énergir'!F26</f>
        <v>Économies de gaz naturel (m3/an)</v>
      </c>
      <c r="G171" s="979" t="str">
        <f>'Onglet Énergir'!H26</f>
        <v>Coûts admissibles</v>
      </c>
      <c r="H171" s="1687" t="s">
        <v>1968</v>
      </c>
      <c r="I171" s="979" t="s">
        <v>1967</v>
      </c>
    </row>
    <row r="172" spans="3:12">
      <c r="C172" s="1872" t="str">
        <f>'Onglet Énergir'!C27</f>
        <v>MEÉ11 - Isolation thermique</v>
      </c>
      <c r="D172" s="1830">
        <f>'Onglet Énergir'!D27</f>
        <v>0</v>
      </c>
      <c r="E172" s="1831">
        <f>'Onglet Énergir'!E27</f>
        <v>0</v>
      </c>
      <c r="F172" s="1102" t="str">
        <f>'Onglet Énergir'!F27</f>
        <v>Mesure non installée</v>
      </c>
      <c r="G172" s="1112">
        <f>'Onglet Énergir'!H27</f>
        <v>0</v>
      </c>
      <c r="H172" s="1112" t="str" cm="1">
        <f t="array" ref="H172">IFERROR(_xlfn.IFS(AND($E$160="",$E$167=0,$J$167=0),"Remplir le prix du gaz",$E$160&lt;&gt;"",$E$160*F172,$E$167&lt;&gt;0,$E$167*F172,$J$167&lt;&gt;0,$J$167*F172),0)</f>
        <v>Remplir le prix du gaz</v>
      </c>
      <c r="I172" s="1736">
        <f>IFERROR(G172/H172,0)</f>
        <v>0</v>
      </c>
    </row>
    <row r="173" spans="3:12">
      <c r="C173" s="1867" t="str">
        <f>'Onglet Énergir'!C28</f>
        <v>MEÉ2 - Micromodulation - chaudière 1</v>
      </c>
      <c r="D173" s="1799">
        <f>'Onglet Énergir'!D28</f>
        <v>0</v>
      </c>
      <c r="E173" s="1800">
        <f>'Onglet Énergir'!E28</f>
        <v>0</v>
      </c>
      <c r="F173" s="1102" t="str">
        <f>'Onglet Énergir'!F28</f>
        <v>Mesure non installée</v>
      </c>
      <c r="G173" s="1112">
        <f>'Onglet Énergir'!H28</f>
        <v>0</v>
      </c>
      <c r="H173" s="1112" t="str" cm="1">
        <f t="array" ref="H173">IFERROR(_xlfn.IFS(AND($E$160="",$E$167=0,$J$167=0),"Remplir le prix du gaz",$E$160&lt;&gt;"",$E$160*F173,$E$167&lt;&gt;0,$E$167*F173,$J$167&lt;&gt;0,$J$167*F173),0)</f>
        <v>Remplir le prix du gaz</v>
      </c>
      <c r="I173" s="1736">
        <f t="shared" ref="I173:I190" si="8">IFERROR(G173/H173,0)</f>
        <v>0</v>
      </c>
    </row>
    <row r="174" spans="3:12">
      <c r="C174" s="1867" t="str">
        <f>'Onglet Énergir'!C29</f>
        <v>MEÉ2 - Micromodulation - chaudière 2</v>
      </c>
      <c r="D174" s="1799">
        <f>'Onglet Énergir'!D29</f>
        <v>0</v>
      </c>
      <c r="E174" s="1800">
        <f>'Onglet Énergir'!E29</f>
        <v>0</v>
      </c>
      <c r="F174" s="1102" t="str">
        <f>'Onglet Énergir'!F29</f>
        <v>Mesure non installée</v>
      </c>
      <c r="G174" s="1112">
        <f>'Onglet Énergir'!H29</f>
        <v>0</v>
      </c>
      <c r="H174" s="1112" t="str" cm="1">
        <f t="array" ref="H174">IFERROR(_xlfn.IFS(AND($E$160="",$E$167=0,$J$167=0),"Remplir le prix du gaz",$E$160&lt;&gt;"",$E$160*F174,$E$167&lt;&gt;0,$E$167*F174,$J$167&lt;&gt;0,$J$167*F174),0)</f>
        <v>Remplir le prix du gaz</v>
      </c>
      <c r="I174" s="1736">
        <f t="shared" si="8"/>
        <v>0</v>
      </c>
    </row>
    <row r="175" spans="3:12">
      <c r="C175" s="1867" t="str">
        <f>'Onglet Énergir'!C30</f>
        <v>MEÉ2 - Micromodulation - chaudière 3</v>
      </c>
      <c r="D175" s="1799">
        <f>'Onglet Énergir'!D30</f>
        <v>0</v>
      </c>
      <c r="E175" s="1800">
        <f>'Onglet Énergir'!E30</f>
        <v>0</v>
      </c>
      <c r="F175" s="1102" t="str">
        <f>'Onglet Énergir'!F30</f>
        <v>Mesure non installée</v>
      </c>
      <c r="G175" s="1112">
        <f>'Onglet Énergir'!H30</f>
        <v>0</v>
      </c>
      <c r="H175" s="1112" t="str" cm="1">
        <f t="array" ref="H175">IFERROR(_xlfn.IFS(AND($E$160="",$E$167=0,$J$167=0),"Remplir le prix du gaz",$E$160&lt;&gt;"",$E$160*F175,$E$167&lt;&gt;0,$E$167*F175,$J$167&lt;&gt;0,$J$167*F175),0)</f>
        <v>Remplir le prix du gaz</v>
      </c>
      <c r="I175" s="1736">
        <f t="shared" si="8"/>
        <v>0</v>
      </c>
    </row>
    <row r="176" spans="3:12">
      <c r="C176" s="1867" t="str">
        <f>'Onglet Énergir'!C31</f>
        <v>MEÉ2 - Micromodulation - chaudière 4</v>
      </c>
      <c r="D176" s="1799">
        <f>'Onglet Énergir'!D31</f>
        <v>0</v>
      </c>
      <c r="E176" s="1800">
        <f>'Onglet Énergir'!E31</f>
        <v>0</v>
      </c>
      <c r="F176" s="1102" t="str">
        <f>'Onglet Énergir'!F31</f>
        <v>Mesure non installée</v>
      </c>
      <c r="G176" s="1112">
        <f>'Onglet Énergir'!H31</f>
        <v>0</v>
      </c>
      <c r="H176" s="1112" t="str" cm="1">
        <f t="array" ref="H176">IFERROR(_xlfn.IFS(AND($E$160="",$E$167=0,$J$167=0),"Remplir le prix du gaz",$E$160&lt;&gt;"",$E$160*F176,$E$167&lt;&gt;0,$E$167*F176,$J$167&lt;&gt;0,$J$167*F176),0)</f>
        <v>Remplir le prix du gaz</v>
      </c>
      <c r="I176" s="1736">
        <f t="shared" si="8"/>
        <v>0</v>
      </c>
    </row>
    <row r="177" spans="3:9">
      <c r="C177" s="1867" t="str">
        <f>'Onglet Énergir'!C32</f>
        <v>MEÉ3 - Sonde de O2 - chaudière 1</v>
      </c>
      <c r="D177" s="1799">
        <f>'Onglet Énergir'!D32</f>
        <v>0</v>
      </c>
      <c r="E177" s="1800">
        <f>'Onglet Énergir'!E32</f>
        <v>0</v>
      </c>
      <c r="F177" s="1102" t="str">
        <f>'Onglet Énergir'!F32</f>
        <v>Mesure non installée</v>
      </c>
      <c r="G177" s="1112">
        <f>'Onglet Énergir'!H32</f>
        <v>0</v>
      </c>
      <c r="H177" s="1112" t="str" cm="1">
        <f t="array" ref="H177">IFERROR(_xlfn.IFS(AND($E$160="",$E$167=0,$J$167=0),"Remplir le prix du gaz",$E$160&lt;&gt;"",$E$160*F177,$E$167&lt;&gt;0,$E$167*F177,$J$167&lt;&gt;0,$J$167*F177),0)</f>
        <v>Remplir le prix du gaz</v>
      </c>
      <c r="I177" s="1736">
        <f t="shared" si="8"/>
        <v>0</v>
      </c>
    </row>
    <row r="178" spans="3:9">
      <c r="C178" s="1867" t="str">
        <f>'Onglet Énergir'!C33</f>
        <v>MEÉ3 - Sonde O2 - chaudière 2</v>
      </c>
      <c r="D178" s="1799">
        <f>'Onglet Énergir'!D33</f>
        <v>0</v>
      </c>
      <c r="E178" s="1800">
        <f>'Onglet Énergir'!E33</f>
        <v>0</v>
      </c>
      <c r="F178" s="1102" t="str">
        <f>'Onglet Énergir'!F33</f>
        <v>Mesure non installée</v>
      </c>
      <c r="G178" s="1112">
        <f>'Onglet Énergir'!H33</f>
        <v>0</v>
      </c>
      <c r="H178" s="1112" t="str" cm="1">
        <f t="array" ref="H178">IFERROR(_xlfn.IFS(AND($E$160="",$E$167=0,$J$167=0),"Remplir le prix du gaz",$E$160&lt;&gt;"",$E$160*F178,$E$167&lt;&gt;0,$E$167*F178,$J$167&lt;&gt;0,$J$167*F178),0)</f>
        <v>Remplir le prix du gaz</v>
      </c>
      <c r="I178" s="1736">
        <f t="shared" si="8"/>
        <v>0</v>
      </c>
    </row>
    <row r="179" spans="3:9">
      <c r="C179" s="1867" t="str">
        <f>'Onglet Énergir'!C34</f>
        <v>MEÉ3 -  Sonde de O2 - chaudière 3</v>
      </c>
      <c r="D179" s="1799">
        <f>'Onglet Énergir'!D34</f>
        <v>0</v>
      </c>
      <c r="E179" s="1800">
        <f>'Onglet Énergir'!E34</f>
        <v>0</v>
      </c>
      <c r="F179" s="1102" t="str">
        <f>'Onglet Énergir'!F34</f>
        <v>Mesure non installée</v>
      </c>
      <c r="G179" s="1112">
        <f>'Onglet Énergir'!H34</f>
        <v>0</v>
      </c>
      <c r="H179" s="1112" t="str" cm="1">
        <f t="array" ref="H179">IFERROR(_xlfn.IFS(AND($E$160="",$E$167=0,$J$167=0),"Remplir le prix du gaz",$E$160&lt;&gt;"",$E$160*F179,$E$167&lt;&gt;0,$E$167*F179,$J$167&lt;&gt;0,$J$167*F179),0)</f>
        <v>Remplir le prix du gaz</v>
      </c>
      <c r="I179" s="1736">
        <f t="shared" si="8"/>
        <v>0</v>
      </c>
    </row>
    <row r="180" spans="3:9">
      <c r="C180" s="1867" t="str">
        <f>'Onglet Énergir'!C35</f>
        <v>MEÉ3 -  Sonde de O2 - chaudière 4</v>
      </c>
      <c r="D180" s="1799">
        <f>'Onglet Énergir'!D35</f>
        <v>0</v>
      </c>
      <c r="E180" s="1800">
        <f>'Onglet Énergir'!E35</f>
        <v>0</v>
      </c>
      <c r="F180" s="1102" t="str">
        <f>'Onglet Énergir'!F35</f>
        <v>Mesure non installée</v>
      </c>
      <c r="G180" s="1112">
        <f>'Onglet Énergir'!H35</f>
        <v>0</v>
      </c>
      <c r="H180" s="1112" t="str" cm="1">
        <f t="array" ref="H180">IFERROR(_xlfn.IFS(AND($E$160="",$E$167=0,$J$167=0),"Remplir le prix du gaz",$E$160&lt;&gt;"",$E$160*F180,$E$167&lt;&gt;0,$E$167*F180,$J$167&lt;&gt;0,$J$167*F180),0)</f>
        <v>Remplir le prix du gaz</v>
      </c>
      <c r="I180" s="1736">
        <f t="shared" si="8"/>
        <v>0</v>
      </c>
    </row>
    <row r="181" spans="3:9">
      <c r="C181" s="1867" t="str">
        <f>'Onglet Énergir'!C36</f>
        <v>MEÉ4 -  Économiseur - chaudière 1</v>
      </c>
      <c r="D181" s="1799">
        <f>'Onglet Énergir'!D36</f>
        <v>0</v>
      </c>
      <c r="E181" s="1800">
        <f>'Onglet Énergir'!E36</f>
        <v>0</v>
      </c>
      <c r="F181" s="1102" t="str">
        <f>'Onglet Énergir'!F36</f>
        <v>Mesure non installée</v>
      </c>
      <c r="G181" s="1112">
        <f>'Onglet Énergir'!H36</f>
        <v>0</v>
      </c>
      <c r="H181" s="1112" t="str" cm="1">
        <f t="array" ref="H181">IFERROR(_xlfn.IFS(AND($E$160="",$E$167=0,$J$167=0),"Remplir le prix du gaz",$E$160&lt;&gt;"",$E$160*F181,$E$167&lt;&gt;0,$E$167*F181,$J$167&lt;&gt;0,$J$167*F181),0)</f>
        <v>Remplir le prix du gaz</v>
      </c>
      <c r="I181" s="1736">
        <f>IFERROR(G181/H181,0)</f>
        <v>0</v>
      </c>
    </row>
    <row r="182" spans="3:9" hidden="1">
      <c r="C182" s="1245">
        <f>'Onglet Énergir'!C37</f>
        <v>0</v>
      </c>
      <c r="D182" s="1246">
        <f>'Onglet Énergir'!D37</f>
        <v>0</v>
      </c>
      <c r="E182" s="1247" t="str">
        <f>'Onglet Énergir'!E37</f>
        <v>Nom économiseur</v>
      </c>
      <c r="F182" s="1102" t="str">
        <f>'Onglet Énergir'!F37</f>
        <v>&lt; sélectionner &gt;</v>
      </c>
      <c r="G182" s="1112">
        <f>'Onglet Énergir'!H37</f>
        <v>0</v>
      </c>
      <c r="H182" s="1112" t="str" cm="1">
        <f t="array" ref="H182">IFERROR(_xlfn.IFS(AND($E$160="",$E$167=0,$J$167=0),"Remplir le prix du gaz",$E$160&lt;&gt;"",$E$160*F182,$E$167&lt;&gt;0,$E$167*F182,$J$167&lt;&gt;0,$J$167*F182),0)</f>
        <v>Remplir le prix du gaz</v>
      </c>
      <c r="I182" s="1736">
        <f t="shared" si="8"/>
        <v>0</v>
      </c>
    </row>
    <row r="183" spans="3:9" hidden="1">
      <c r="C183" s="1245">
        <f>'Onglet Énergir'!C38</f>
        <v>0</v>
      </c>
      <c r="D183" s="1246">
        <f>'Onglet Énergir'!D38</f>
        <v>0</v>
      </c>
      <c r="E183" s="1247" t="str">
        <f>'Onglet Énergir'!E38</f>
        <v>Économies de gaz naturel (m3/an)</v>
      </c>
      <c r="F183" s="1102">
        <f>'Onglet Énergir'!F38</f>
        <v>0</v>
      </c>
      <c r="G183" s="1112">
        <f>'Onglet Énergir'!H38</f>
        <v>0</v>
      </c>
      <c r="H183" s="1112" t="str" cm="1">
        <f t="array" ref="H183">IFERROR(_xlfn.IFS(AND($E$160="",$E$167=0,$J$167=0),"Remplir le prix du gaz",$E$160&lt;&gt;"",$E$160*F183,$E$167&lt;&gt;0,$E$167*F183,$J$167&lt;&gt;0,$J$167*F183),0)</f>
        <v>Remplir le prix du gaz</v>
      </c>
      <c r="I183" s="1736">
        <f t="shared" si="8"/>
        <v>0</v>
      </c>
    </row>
    <row r="184" spans="3:9">
      <c r="C184" s="1867" t="str">
        <f>'Onglet Énergir'!C39</f>
        <v>MEÉ4 - Économiseur - chaudière 2</v>
      </c>
      <c r="D184" s="1799">
        <f>'Onglet Énergir'!D39</f>
        <v>0</v>
      </c>
      <c r="E184" s="1800">
        <f>'Onglet Énergir'!E39</f>
        <v>0</v>
      </c>
      <c r="F184" s="1102" t="str">
        <f>'Onglet Énergir'!F39</f>
        <v>Mesure non installée</v>
      </c>
      <c r="G184" s="1112">
        <f>'Onglet Énergir'!H39</f>
        <v>0</v>
      </c>
      <c r="H184" s="1112" t="str" cm="1">
        <f t="array" ref="H184">IFERROR(_xlfn.IFS(AND($E$160="",$E$167=0,$J$167=0),"Remplir le prix du gaz",$E$160&lt;&gt;"",$E$160*F184,$E$167&lt;&gt;0,$E$167*F184,$J$167&lt;&gt;0,$J$167*F184),0)</f>
        <v>Remplir le prix du gaz</v>
      </c>
      <c r="I184" s="1736">
        <f t="shared" si="8"/>
        <v>0</v>
      </c>
    </row>
    <row r="185" spans="3:9" hidden="1">
      <c r="C185" s="1868" t="str">
        <f>'Onglet Énergir'!C40</f>
        <v>Nom économiseur</v>
      </c>
      <c r="D185" s="1824">
        <f>'Onglet Énergir'!D40</f>
        <v>0</v>
      </c>
      <c r="E185" s="1825">
        <f>'Onglet Énergir'!E40</f>
        <v>0</v>
      </c>
      <c r="F185" s="1102" t="str">
        <f>'Onglet Énergir'!F40</f>
        <v>&lt; sélectionner &gt;</v>
      </c>
      <c r="G185" s="1112">
        <f>'Onglet Énergir'!H40</f>
        <v>0</v>
      </c>
      <c r="H185" s="1112" t="str" cm="1">
        <f t="array" ref="H185">IFERROR(_xlfn.IFS(AND($E$160="",$E$167=0,$J$167=0),"Remplir le prix du gaz",$E$160&lt;&gt;"",$E$160*F185,$E$167&lt;&gt;0,$E$167*F185,$J$167&lt;&gt;0,$J$167*F185),0)</f>
        <v>Remplir le prix du gaz</v>
      </c>
      <c r="I185" s="1736">
        <f t="shared" si="8"/>
        <v>0</v>
      </c>
    </row>
    <row r="186" spans="3:9" hidden="1">
      <c r="C186" s="1868" t="str">
        <f>'Onglet Énergir'!C41</f>
        <v>Économies de gaz naturel (m3/an)</v>
      </c>
      <c r="D186" s="1824">
        <f>'Onglet Énergir'!D41</f>
        <v>0</v>
      </c>
      <c r="E186" s="1825">
        <f>'Onglet Énergir'!E41</f>
        <v>0</v>
      </c>
      <c r="F186" s="1102">
        <f>'Onglet Énergir'!F41</f>
        <v>0</v>
      </c>
      <c r="G186" s="1112">
        <f>'Onglet Énergir'!H41</f>
        <v>0</v>
      </c>
      <c r="H186" s="1112" t="str" cm="1">
        <f t="array" ref="H186">IFERROR(_xlfn.IFS(AND($E$160="",$E$167=0,$J$167=0),"Remplir le prix du gaz",$E$160&lt;&gt;"",$E$160*F186,$E$167&lt;&gt;0,$E$167*F186,$J$167&lt;&gt;0,$J$167*F186),0)</f>
        <v>Remplir le prix du gaz</v>
      </c>
      <c r="I186" s="1736">
        <f t="shared" si="8"/>
        <v>0</v>
      </c>
    </row>
    <row r="187" spans="3:9">
      <c r="C187" s="1867" t="str">
        <f>'Onglet Énergir'!C42</f>
        <v>MEÉ4 -  Économiseur - chaudière 3</v>
      </c>
      <c r="D187" s="1799">
        <f>'Onglet Énergir'!D42</f>
        <v>0</v>
      </c>
      <c r="E187" s="1800">
        <f>'Onglet Énergir'!E42</f>
        <v>0</v>
      </c>
      <c r="F187" s="1102" t="str">
        <f>'Onglet Énergir'!F42</f>
        <v>Mesure non installée</v>
      </c>
      <c r="G187" s="1112">
        <f>'Onglet Énergir'!H42</f>
        <v>0</v>
      </c>
      <c r="H187" s="1112" t="str" cm="1">
        <f t="array" ref="H187">IFERROR(_xlfn.IFS(AND($E$160="",$E$167=0,$J$167=0),"Remplir le prix du gaz",$E$160&lt;&gt;"",$E$160*F187,$E$167&lt;&gt;0,$E$167*F187,$J$167&lt;&gt;0,$J$167*F187),0)</f>
        <v>Remplir le prix du gaz</v>
      </c>
      <c r="I187" s="1736">
        <f t="shared" si="8"/>
        <v>0</v>
      </c>
    </row>
    <row r="188" spans="3:9" hidden="1">
      <c r="C188" s="1868" t="str">
        <f>'Onglet Énergir'!C43</f>
        <v>Nom économiseur</v>
      </c>
      <c r="D188" s="1824">
        <f>'Onglet Énergir'!D43</f>
        <v>0</v>
      </c>
      <c r="E188" s="1825">
        <f>'Onglet Énergir'!E43</f>
        <v>0</v>
      </c>
      <c r="F188" s="1102" t="str">
        <f>'Onglet Énergir'!F43</f>
        <v>&lt; sélectionner &gt;</v>
      </c>
      <c r="G188" s="1112">
        <f>'Onglet Énergir'!H43</f>
        <v>0</v>
      </c>
      <c r="H188" s="1112" t="str" cm="1">
        <f t="array" ref="H188">IFERROR(_xlfn.IFS(AND($E$160="",$E$167=0,$J$167=0),"Remplir le prix du gaz",$E$160&lt;&gt;"",$E$160*F188,$E$167&lt;&gt;0,$E$167*F188,$J$167&lt;&gt;0,$J$167*F188),0)</f>
        <v>Remplir le prix du gaz</v>
      </c>
      <c r="I188" s="1736">
        <f t="shared" si="8"/>
        <v>0</v>
      </c>
    </row>
    <row r="189" spans="3:9" hidden="1">
      <c r="C189" s="1868" t="str">
        <f>'Onglet Énergir'!C44</f>
        <v>Économies de gaz naturel (m3/an)</v>
      </c>
      <c r="D189" s="1824">
        <f>'Onglet Énergir'!D44</f>
        <v>0</v>
      </c>
      <c r="E189" s="1825">
        <f>'Onglet Énergir'!E44</f>
        <v>0</v>
      </c>
      <c r="F189" s="1102">
        <f>'Onglet Énergir'!F44</f>
        <v>0</v>
      </c>
      <c r="G189" s="1112">
        <f>'Onglet Énergir'!H44</f>
        <v>0</v>
      </c>
      <c r="H189" s="1112" t="str" cm="1">
        <f t="array" ref="H189">IFERROR(_xlfn.IFS(AND($E$160="",$E$167=0,$J$167=0),"Remplir le prix du gaz",$E$160&lt;&gt;"",$E$160*F189,$E$167&lt;&gt;0,$E$167*F189,$J$167&lt;&gt;0,$J$167*F189),0)</f>
        <v>Remplir le prix du gaz</v>
      </c>
      <c r="I189" s="1736">
        <f t="shared" si="8"/>
        <v>0</v>
      </c>
    </row>
    <row r="190" spans="3:9">
      <c r="C190" s="1802" t="str">
        <f>'Onglet Énergir'!C45</f>
        <v>MEÉ4 -  Économiseur - chaudière 4</v>
      </c>
      <c r="D190" s="1802">
        <f>'Onglet Énergir'!D45</f>
        <v>0</v>
      </c>
      <c r="E190" s="1802">
        <f>'Onglet Énergir'!E45</f>
        <v>0</v>
      </c>
      <c r="F190" s="1102" t="str">
        <f>'Onglet Énergir'!F45</f>
        <v>Mesure non installée</v>
      </c>
      <c r="G190" s="1112">
        <f>'Onglet Énergir'!H45</f>
        <v>0</v>
      </c>
      <c r="H190" s="1112" t="str" cm="1">
        <f t="array" ref="H190">IFERROR(_xlfn.IFS(AND($E$160="",$E$167=0,$J$167=0),"Remplir le prix du gaz",$E$160&lt;&gt;"",$E$160*F190,$E$167&lt;&gt;0,$E$167*F190,$J$167&lt;&gt;0,$J$167*F190),0)</f>
        <v>Remplir le prix du gaz</v>
      </c>
      <c r="I190" s="1736">
        <f t="shared" si="8"/>
        <v>0</v>
      </c>
    </row>
    <row r="192" spans="3:9">
      <c r="C192" s="541" t="s">
        <v>1982</v>
      </c>
    </row>
  </sheetData>
  <mergeCells count="134">
    <mergeCell ref="C171:E171"/>
    <mergeCell ref="C172:E172"/>
    <mergeCell ref="C173:E173"/>
    <mergeCell ref="C174:E174"/>
    <mergeCell ref="C175:E175"/>
    <mergeCell ref="G165:H165"/>
    <mergeCell ref="J165:K165"/>
    <mergeCell ref="C188:E188"/>
    <mergeCell ref="C189:E189"/>
    <mergeCell ref="G166:H166"/>
    <mergeCell ref="J166:K166"/>
    <mergeCell ref="J167:K167"/>
    <mergeCell ref="C190:E190"/>
    <mergeCell ref="C181:E181"/>
    <mergeCell ref="C184:E184"/>
    <mergeCell ref="C185:E185"/>
    <mergeCell ref="C186:E186"/>
    <mergeCell ref="C187:E187"/>
    <mergeCell ref="C176:E176"/>
    <mergeCell ref="C177:E177"/>
    <mergeCell ref="C178:E178"/>
    <mergeCell ref="C179:E179"/>
    <mergeCell ref="C180:E180"/>
    <mergeCell ref="N116:P116"/>
    <mergeCell ref="N149:P149"/>
    <mergeCell ref="H17:I17"/>
    <mergeCell ref="C43:E43"/>
    <mergeCell ref="O88:O91"/>
    <mergeCell ref="I95:I97"/>
    <mergeCell ref="J95:J97"/>
    <mergeCell ref="K95:K97"/>
    <mergeCell ref="O95:O97"/>
    <mergeCell ref="H122:M122"/>
    <mergeCell ref="N123:P123"/>
    <mergeCell ref="C95:E95"/>
    <mergeCell ref="C96:E96"/>
    <mergeCell ref="N88:N91"/>
    <mergeCell ref="N95:N97"/>
    <mergeCell ref="C91:E91"/>
    <mergeCell ref="C94:E94"/>
    <mergeCell ref="J79:J83"/>
    <mergeCell ref="N103:P103"/>
    <mergeCell ref="K88:K92"/>
    <mergeCell ref="C26:E26"/>
    <mergeCell ref="C44:E44"/>
    <mergeCell ref="C31:E31"/>
    <mergeCell ref="C32:E32"/>
    <mergeCell ref="D163:E163"/>
    <mergeCell ref="G163:K163"/>
    <mergeCell ref="J17:K17"/>
    <mergeCell ref="G164:H164"/>
    <mergeCell ref="J164:K164"/>
    <mergeCell ref="C158:L158"/>
    <mergeCell ref="C35:E35"/>
    <mergeCell ref="H24:I24"/>
    <mergeCell ref="H20:I20"/>
    <mergeCell ref="H21:I21"/>
    <mergeCell ref="H22:I22"/>
    <mergeCell ref="F20:G20"/>
    <mergeCell ref="F21:G21"/>
    <mergeCell ref="F22:G22"/>
    <mergeCell ref="F23:G23"/>
    <mergeCell ref="C28:E28"/>
    <mergeCell ref="C29:E29"/>
    <mergeCell ref="C30:E30"/>
    <mergeCell ref="N12:O12"/>
    <mergeCell ref="H13:I13"/>
    <mergeCell ref="J13:K13"/>
    <mergeCell ref="L13:M13"/>
    <mergeCell ref="C16:D16"/>
    <mergeCell ref="C15:D15"/>
    <mergeCell ref="C12:F12"/>
    <mergeCell ref="H14:I14"/>
    <mergeCell ref="H15:I15"/>
    <mergeCell ref="C14:D14"/>
    <mergeCell ref="C13:D13"/>
    <mergeCell ref="G12:K12"/>
    <mergeCell ref="N14:O14"/>
    <mergeCell ref="N16:O16"/>
    <mergeCell ref="N15:O15"/>
    <mergeCell ref="J14:K14"/>
    <mergeCell ref="J16:K16"/>
    <mergeCell ref="L16:M16"/>
    <mergeCell ref="J15:K15"/>
    <mergeCell ref="L14:M14"/>
    <mergeCell ref="L15:M15"/>
    <mergeCell ref="N17:O17"/>
    <mergeCell ref="H16:I16"/>
    <mergeCell ref="H80:H83"/>
    <mergeCell ref="C87:E87"/>
    <mergeCell ref="C82:D82"/>
    <mergeCell ref="C83:D83"/>
    <mergeCell ref="F24:G24"/>
    <mergeCell ref="C41:E41"/>
    <mergeCell ref="C48:D48"/>
    <mergeCell ref="G79:G83"/>
    <mergeCell ref="C40:E40"/>
    <mergeCell ref="C27:E27"/>
    <mergeCell ref="C49:D49"/>
    <mergeCell ref="C17:D17"/>
    <mergeCell ref="C20:D20"/>
    <mergeCell ref="C21:D21"/>
    <mergeCell ref="C22:D22"/>
    <mergeCell ref="C23:D23"/>
    <mergeCell ref="C24:D24"/>
    <mergeCell ref="I79:I83"/>
    <mergeCell ref="L17:M17"/>
    <mergeCell ref="H23:I23"/>
    <mergeCell ref="C33:E33"/>
    <mergeCell ref="C34:E34"/>
    <mergeCell ref="N154:P154"/>
    <mergeCell ref="C78:D78"/>
    <mergeCell ref="J20:K20"/>
    <mergeCell ref="J21:K21"/>
    <mergeCell ref="J22:K22"/>
    <mergeCell ref="J23:K23"/>
    <mergeCell ref="J24:K24"/>
    <mergeCell ref="C97:E97"/>
    <mergeCell ref="C36:E36"/>
    <mergeCell ref="C39:E39"/>
    <mergeCell ref="C42:E42"/>
    <mergeCell ref="C45:E45"/>
    <mergeCell ref="C93:E93"/>
    <mergeCell ref="C88:E88"/>
    <mergeCell ref="C89:E89"/>
    <mergeCell ref="C90:E90"/>
    <mergeCell ref="E78:E83"/>
    <mergeCell ref="C79:D79"/>
    <mergeCell ref="C80:D80"/>
    <mergeCell ref="C81:D81"/>
    <mergeCell ref="C77:D77"/>
    <mergeCell ref="C46:E46"/>
    <mergeCell ref="C47:E47"/>
    <mergeCell ref="C92:E92"/>
  </mergeCells>
  <phoneticPr fontId="71" type="noConversion"/>
  <conditionalFormatting sqref="D73:E73">
    <cfRule type="cellIs" dxfId="104" priority="8" operator="equal">
      <formula>"#DIV/0!"</formula>
    </cfRule>
  </conditionalFormatting>
  <conditionalFormatting sqref="D53:H60">
    <cfRule type="cellIs" dxfId="103" priority="12" operator="equal">
      <formula>"#DIV/0!"</formula>
    </cfRule>
  </conditionalFormatting>
  <conditionalFormatting sqref="D63:H72">
    <cfRule type="cellIs" dxfId="102" priority="10" operator="equal">
      <formula>"#DIV/0!"</formula>
    </cfRule>
  </conditionalFormatting>
  <conditionalFormatting sqref="H8 O93:O95">
    <cfRule type="cellIs" dxfId="101" priority="19" operator="equal">
      <formula>"Non"</formula>
    </cfRule>
    <cfRule type="cellIs" dxfId="100" priority="20" operator="equal">
      <formula>"Oui"</formula>
    </cfRule>
  </conditionalFormatting>
  <conditionalFormatting sqref="H130:K130">
    <cfRule type="cellIs" dxfId="99" priority="125" operator="greaterThan">
      <formula>$F$79</formula>
    </cfRule>
  </conditionalFormatting>
  <conditionalFormatting sqref="H134:K134">
    <cfRule type="cellIs" dxfId="98" priority="126" operator="greaterThan">
      <formula>$F$80</formula>
    </cfRule>
  </conditionalFormatting>
  <conditionalFormatting sqref="H138:K138">
    <cfRule type="cellIs" dxfId="97" priority="127" operator="greaterThan">
      <formula>$F$81</formula>
    </cfRule>
  </conditionalFormatting>
  <conditionalFormatting sqref="H142:K142">
    <cfRule type="cellIs" dxfId="96" priority="128" operator="greaterThan">
      <formula>$F$82</formula>
    </cfRule>
  </conditionalFormatting>
  <conditionalFormatting sqref="H146:K146">
    <cfRule type="cellIs" dxfId="95" priority="129" operator="greaterThan">
      <formula>$F$83</formula>
    </cfRule>
  </conditionalFormatting>
  <conditionalFormatting sqref="I172:I190">
    <cfRule type="cellIs" dxfId="94" priority="3" operator="greaterThanOrEqual">
      <formula>20</formula>
    </cfRule>
    <cfRule type="cellIs" dxfId="93" priority="4" operator="equal">
      <formula>0</formula>
    </cfRule>
    <cfRule type="cellIs" dxfId="92" priority="5" operator="lessThan">
      <formula>20</formula>
    </cfRule>
  </conditionalFormatting>
  <conditionalFormatting sqref="L126">
    <cfRule type="cellIs" dxfId="91" priority="130" operator="greaterThan">
      <formula>$F$78</formula>
    </cfRule>
  </conditionalFormatting>
  <conditionalFormatting sqref="O88">
    <cfRule type="cellIs" dxfId="90" priority="15" operator="equal">
      <formula>"Non"</formula>
    </cfRule>
    <cfRule type="cellIs" dxfId="89" priority="16" operator="equal">
      <formula>"Oui"</formula>
    </cfRule>
  </conditionalFormatting>
  <conditionalFormatting sqref="O104">
    <cfRule type="cellIs" dxfId="88" priority="2" operator="equal">
      <formula>"Oui"</formula>
    </cfRule>
    <cfRule type="cellIs" dxfId="87" priority="1" operator="equal">
      <formula>"Non"</formula>
    </cfRule>
  </conditionalFormatting>
  <conditionalFormatting sqref="O118">
    <cfRule type="cellIs" dxfId="86" priority="18" operator="equal">
      <formula>"Oui"</formula>
    </cfRule>
    <cfRule type="cellIs" dxfId="85" priority="17" operator="equal">
      <formula>"Non"</formula>
    </cfRule>
  </conditionalFormatting>
  <conditionalFormatting sqref="O124">
    <cfRule type="cellIs" dxfId="84" priority="43" operator="equal">
      <formula>"Non"</formula>
    </cfRule>
    <cfRule type="cellIs" dxfId="83" priority="44" operator="equal">
      <formula>"Oui"</formula>
    </cfRule>
  </conditionalFormatting>
  <conditionalFormatting sqref="O128">
    <cfRule type="cellIs" dxfId="82" priority="41" operator="equal">
      <formula>"Non"</formula>
    </cfRule>
    <cfRule type="cellIs" dxfId="81" priority="42" operator="equal">
      <formula>"Oui"</formula>
    </cfRule>
  </conditionalFormatting>
  <conditionalFormatting sqref="O132">
    <cfRule type="cellIs" dxfId="80" priority="39" operator="equal">
      <formula>"Non"</formula>
    </cfRule>
    <cfRule type="cellIs" dxfId="79" priority="40" operator="equal">
      <formula>"Oui"</formula>
    </cfRule>
  </conditionalFormatting>
  <conditionalFormatting sqref="O136">
    <cfRule type="cellIs" dxfId="78" priority="37" operator="equal">
      <formula>"Non"</formula>
    </cfRule>
    <cfRule type="cellIs" dxfId="77" priority="38" operator="equal">
      <formula>"Oui"</formula>
    </cfRule>
  </conditionalFormatting>
  <conditionalFormatting sqref="O140">
    <cfRule type="cellIs" dxfId="76" priority="35" operator="equal">
      <formula>"Non"</formula>
    </cfRule>
    <cfRule type="cellIs" dxfId="75" priority="36" operator="equal">
      <formula>"Oui"</formula>
    </cfRule>
  </conditionalFormatting>
  <conditionalFormatting sqref="O144">
    <cfRule type="cellIs" dxfId="74" priority="34" operator="equal">
      <formula>"Oui"</formula>
    </cfRule>
    <cfRule type="cellIs" dxfId="73" priority="33" operator="equal">
      <formula>"Non"</formula>
    </cfRule>
  </conditionalFormatting>
  <conditionalFormatting sqref="O150">
    <cfRule type="cellIs" dxfId="72" priority="32" operator="equal">
      <formula>"Oui"</formula>
    </cfRule>
    <cfRule type="cellIs" dxfId="71" priority="31" operator="equal">
      <formula>"Non"</formula>
    </cfRule>
  </conditionalFormatting>
  <conditionalFormatting sqref="O156">
    <cfRule type="cellIs" dxfId="70" priority="6" operator="equal">
      <formula>"Non"</formula>
    </cfRule>
    <cfRule type="cellIs" dxfId="69" priority="7"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1">
    <tabColor theme="0"/>
  </sheetPr>
  <dimension ref="A1:P63"/>
  <sheetViews>
    <sheetView workbookViewId="0"/>
  </sheetViews>
  <sheetFormatPr baseColWidth="10" defaultRowHeight="15"/>
  <cols>
    <col min="1" max="1" width="5" customWidth="1"/>
    <col min="2" max="2" width="15.85546875" customWidth="1"/>
    <col min="4" max="4" width="19.5703125" customWidth="1"/>
    <col min="5" max="5" width="65.85546875" customWidth="1"/>
    <col min="11" max="11" width="27.42578125" customWidth="1"/>
  </cols>
  <sheetData>
    <row r="1" spans="2:16" s="498" customFormat="1"/>
    <row r="2" spans="2:16" s="498" customFormat="1" ht="36">
      <c r="B2" s="499" t="s">
        <v>1761</v>
      </c>
    </row>
    <row r="3" spans="2:16" s="498" customFormat="1"/>
    <row r="4" spans="2:16" s="498" customFormat="1">
      <c r="B4" s="505"/>
      <c r="C4" s="501"/>
      <c r="D4" s="500"/>
      <c r="E4" s="500"/>
      <c r="F4" s="500"/>
      <c r="G4" s="500"/>
      <c r="H4" s="500"/>
      <c r="I4" s="500"/>
      <c r="J4" s="500"/>
      <c r="K4" s="500"/>
      <c r="L4" s="500"/>
      <c r="M4" s="500"/>
      <c r="N4" s="500"/>
      <c r="O4" s="500"/>
      <c r="P4" s="560"/>
    </row>
    <row r="5" spans="2:16" s="498" customFormat="1">
      <c r="B5" s="507" t="s">
        <v>1222</v>
      </c>
      <c r="C5" s="501"/>
      <c r="D5" s="500"/>
      <c r="E5" s="500"/>
      <c r="F5" s="500"/>
      <c r="G5" s="500"/>
      <c r="H5" s="500"/>
      <c r="I5" s="500"/>
      <c r="J5" s="500"/>
      <c r="K5" s="500"/>
      <c r="L5" s="500"/>
      <c r="M5" s="500"/>
      <c r="N5" s="500"/>
      <c r="O5" s="500"/>
      <c r="P5" s="560"/>
    </row>
    <row r="6" spans="2:16" s="498" customFormat="1">
      <c r="B6" s="500"/>
      <c r="C6" s="500"/>
      <c r="D6" s="500"/>
      <c r="E6" s="500"/>
      <c r="F6" s="500"/>
      <c r="G6" s="500"/>
      <c r="H6" s="500"/>
      <c r="I6" s="500"/>
      <c r="J6" s="500"/>
      <c r="K6" s="500"/>
      <c r="L6" s="500"/>
      <c r="M6" s="500"/>
      <c r="N6" s="500"/>
      <c r="O6" s="500"/>
      <c r="P6" s="560"/>
    </row>
    <row r="7" spans="2:16" s="498" customFormat="1"/>
    <row r="8" spans="2:16" s="498" customFormat="1" ht="18.75">
      <c r="B8" s="504" t="s">
        <v>1252</v>
      </c>
      <c r="C8" s="502" t="s">
        <v>1223</v>
      </c>
      <c r="D8" s="7"/>
      <c r="E8" s="502" t="s">
        <v>1248</v>
      </c>
      <c r="L8" s="864" t="s">
        <v>1282</v>
      </c>
      <c r="M8" s="857"/>
      <c r="N8" s="858"/>
      <c r="O8" s="858"/>
      <c r="P8" s="859"/>
    </row>
    <row r="9" spans="2:16" s="498" customFormat="1" ht="6" customHeight="1">
      <c r="B9" s="503"/>
      <c r="C9" s="7"/>
      <c r="D9" s="7"/>
      <c r="L9" s="860"/>
      <c r="P9" s="861"/>
    </row>
    <row r="10" spans="2:16" s="498" customFormat="1">
      <c r="B10" s="521" t="s">
        <v>1253</v>
      </c>
      <c r="C10" s="7" t="s">
        <v>1446</v>
      </c>
      <c r="D10" s="7"/>
      <c r="E10" s="498" t="s">
        <v>1447</v>
      </c>
      <c r="L10" s="852" t="s">
        <v>1253</v>
      </c>
      <c r="M10" s="7" t="s">
        <v>1276</v>
      </c>
      <c r="P10" s="861"/>
    </row>
    <row r="11" spans="2:16" s="498" customFormat="1">
      <c r="B11" s="521" t="s">
        <v>1253</v>
      </c>
      <c r="C11" s="7" t="s">
        <v>1762</v>
      </c>
      <c r="D11" s="7"/>
      <c r="E11" s="498" t="s">
        <v>1763</v>
      </c>
      <c r="L11" s="852" t="s">
        <v>1280</v>
      </c>
      <c r="M11" s="7" t="s">
        <v>1277</v>
      </c>
      <c r="P11" s="861"/>
    </row>
    <row r="12" spans="2:16" s="498" customFormat="1">
      <c r="B12" s="521" t="s">
        <v>1253</v>
      </c>
      <c r="C12" s="7" t="s">
        <v>1673</v>
      </c>
      <c r="D12" s="7"/>
      <c r="E12" s="498" t="s">
        <v>1764</v>
      </c>
      <c r="L12" s="852" t="s">
        <v>171</v>
      </c>
      <c r="M12" s="7" t="s">
        <v>1278</v>
      </c>
      <c r="P12" s="861"/>
    </row>
    <row r="13" spans="2:16" s="498" customFormat="1">
      <c r="B13" s="521" t="s">
        <v>1253</v>
      </c>
      <c r="C13" s="7" t="s">
        <v>1765</v>
      </c>
      <c r="D13" s="7"/>
      <c r="E13" s="498" t="s">
        <v>1766</v>
      </c>
      <c r="L13" s="853" t="s">
        <v>1254</v>
      </c>
      <c r="M13" s="715" t="s">
        <v>1279</v>
      </c>
      <c r="N13" s="862"/>
      <c r="O13" s="862"/>
      <c r="P13" s="863"/>
    </row>
    <row r="14" spans="2:16" s="498" customFormat="1">
      <c r="B14" s="856" t="s">
        <v>1254</v>
      </c>
      <c r="C14" s="7" t="s">
        <v>1767</v>
      </c>
      <c r="D14" s="7"/>
      <c r="E14" s="498" t="s">
        <v>1249</v>
      </c>
      <c r="L14" s="7"/>
      <c r="M14" s="7"/>
    </row>
    <row r="15" spans="2:16" s="498" customFormat="1">
      <c r="B15" s="856" t="s">
        <v>1281</v>
      </c>
      <c r="C15" s="7" t="s">
        <v>1772</v>
      </c>
      <c r="D15" s="7"/>
      <c r="E15" s="498" t="s">
        <v>1773</v>
      </c>
    </row>
    <row r="16" spans="2:16" s="498" customFormat="1">
      <c r="B16" s="856" t="s">
        <v>1576</v>
      </c>
      <c r="C16" s="7" t="s">
        <v>1768</v>
      </c>
      <c r="D16" s="7"/>
      <c r="E16" s="498" t="s">
        <v>1769</v>
      </c>
    </row>
    <row r="17" spans="1:11" s="7" customFormat="1">
      <c r="A17" s="498"/>
      <c r="B17" s="856" t="s">
        <v>1253</v>
      </c>
      <c r="C17" s="7" t="s">
        <v>1242</v>
      </c>
      <c r="E17" s="7" t="s">
        <v>1270</v>
      </c>
      <c r="F17" s="498"/>
      <c r="G17" s="498"/>
      <c r="H17" s="498"/>
      <c r="I17" s="498"/>
      <c r="J17" s="498"/>
      <c r="K17" s="498"/>
    </row>
    <row r="18" spans="1:11" s="7" customFormat="1">
      <c r="B18" s="856" t="s">
        <v>1253</v>
      </c>
      <c r="C18" s="7" t="s">
        <v>1247</v>
      </c>
      <c r="E18" s="7" t="s">
        <v>1275</v>
      </c>
      <c r="K18" s="498"/>
    </row>
    <row r="19" spans="1:11" s="7" customFormat="1">
      <c r="B19" s="856" t="s">
        <v>1253</v>
      </c>
      <c r="C19" s="7" t="s">
        <v>1770</v>
      </c>
      <c r="E19" s="7" t="s">
        <v>1771</v>
      </c>
    </row>
    <row r="20" spans="1:11" s="7" customFormat="1">
      <c r="B20" s="856" t="s">
        <v>1253</v>
      </c>
      <c r="C20" s="7" t="s">
        <v>615</v>
      </c>
      <c r="E20" s="498" t="s">
        <v>1250</v>
      </c>
    </row>
    <row r="21" spans="1:11" s="7" customFormat="1">
      <c r="B21" s="856" t="s">
        <v>1254</v>
      </c>
      <c r="C21" s="7" t="s">
        <v>404</v>
      </c>
      <c r="E21" s="498" t="s">
        <v>1251</v>
      </c>
    </row>
    <row r="22" spans="1:11" s="7" customFormat="1">
      <c r="B22" s="856" t="s">
        <v>1254</v>
      </c>
      <c r="C22" s="503" t="s">
        <v>1224</v>
      </c>
      <c r="E22" s="855" t="s">
        <v>1473</v>
      </c>
    </row>
    <row r="23" spans="1:11" s="7" customFormat="1">
      <c r="B23" s="856" t="s">
        <v>1254</v>
      </c>
      <c r="C23" s="503" t="s">
        <v>1225</v>
      </c>
      <c r="E23" s="855" t="s">
        <v>1475</v>
      </c>
    </row>
    <row r="24" spans="1:11" s="7" customFormat="1">
      <c r="B24" s="856" t="s">
        <v>1254</v>
      </c>
      <c r="C24" s="503" t="s">
        <v>1226</v>
      </c>
      <c r="E24" s="855" t="s">
        <v>1474</v>
      </c>
    </row>
    <row r="25" spans="1:11" s="7" customFormat="1">
      <c r="B25" s="856" t="s">
        <v>1254</v>
      </c>
      <c r="C25" s="854" t="s">
        <v>1227</v>
      </c>
      <c r="E25" s="854" t="s">
        <v>1255</v>
      </c>
    </row>
    <row r="26" spans="1:11" s="7" customFormat="1">
      <c r="B26" s="856" t="s">
        <v>1254</v>
      </c>
      <c r="C26" s="854" t="s">
        <v>1228</v>
      </c>
      <c r="E26" s="854" t="s">
        <v>1256</v>
      </c>
    </row>
    <row r="27" spans="1:11" s="7" customFormat="1">
      <c r="B27" s="856" t="s">
        <v>1281</v>
      </c>
      <c r="C27" s="7" t="s">
        <v>1229</v>
      </c>
      <c r="E27" s="7" t="s">
        <v>1257</v>
      </c>
    </row>
    <row r="28" spans="1:11" s="7" customFormat="1">
      <c r="B28" s="856" t="s">
        <v>1281</v>
      </c>
      <c r="C28" s="7" t="s">
        <v>1230</v>
      </c>
      <c r="E28" s="7" t="s">
        <v>1258</v>
      </c>
    </row>
    <row r="29" spans="1:11" s="7" customFormat="1">
      <c r="B29" s="856" t="s">
        <v>1281</v>
      </c>
      <c r="C29" s="854" t="s">
        <v>1231</v>
      </c>
      <c r="E29" s="854" t="s">
        <v>1259</v>
      </c>
    </row>
    <row r="30" spans="1:11" s="7" customFormat="1">
      <c r="B30" s="856" t="s">
        <v>1281</v>
      </c>
      <c r="C30" s="854" t="s">
        <v>1232</v>
      </c>
      <c r="E30" s="854" t="s">
        <v>1260</v>
      </c>
    </row>
    <row r="31" spans="1:11" s="7" customFormat="1">
      <c r="B31" s="856" t="s">
        <v>1281</v>
      </c>
      <c r="C31" s="854" t="s">
        <v>1233</v>
      </c>
      <c r="E31" s="854" t="s">
        <v>1261</v>
      </c>
    </row>
    <row r="32" spans="1:11" s="7" customFormat="1">
      <c r="B32" s="856" t="s">
        <v>1281</v>
      </c>
      <c r="C32" s="854" t="s">
        <v>1234</v>
      </c>
      <c r="E32" s="854" t="s">
        <v>1262</v>
      </c>
    </row>
    <row r="33" spans="2:5" s="7" customFormat="1">
      <c r="B33" s="856" t="s">
        <v>1280</v>
      </c>
      <c r="C33" s="503" t="s">
        <v>1235</v>
      </c>
      <c r="E33" s="503" t="s">
        <v>1263</v>
      </c>
    </row>
    <row r="34" spans="2:5" s="7" customFormat="1">
      <c r="B34" s="856" t="s">
        <v>1280</v>
      </c>
      <c r="C34" s="503" t="s">
        <v>1236</v>
      </c>
      <c r="E34" s="503" t="s">
        <v>1264</v>
      </c>
    </row>
    <row r="35" spans="2:5" s="7" customFormat="1">
      <c r="B35" s="856" t="s">
        <v>171</v>
      </c>
      <c r="C35" s="503" t="s">
        <v>1237</v>
      </c>
      <c r="E35" s="503" t="s">
        <v>1265</v>
      </c>
    </row>
    <row r="36" spans="2:5" s="7" customFormat="1">
      <c r="B36" s="856" t="s">
        <v>171</v>
      </c>
      <c r="C36" s="854" t="s">
        <v>1238</v>
      </c>
      <c r="E36" s="854" t="s">
        <v>1266</v>
      </c>
    </row>
    <row r="37" spans="2:5" s="7" customFormat="1">
      <c r="B37" s="856" t="s">
        <v>171</v>
      </c>
      <c r="C37" s="854" t="s">
        <v>1239</v>
      </c>
      <c r="E37" s="854" t="s">
        <v>1267</v>
      </c>
    </row>
    <row r="38" spans="2:5" s="7" customFormat="1">
      <c r="B38" s="856" t="s">
        <v>171</v>
      </c>
      <c r="C38" s="854" t="s">
        <v>1240</v>
      </c>
      <c r="E38" s="854" t="s">
        <v>1268</v>
      </c>
    </row>
    <row r="39" spans="2:5" s="7" customFormat="1">
      <c r="B39" s="856" t="s">
        <v>171</v>
      </c>
      <c r="C39" s="854" t="s">
        <v>1241</v>
      </c>
      <c r="E39" s="854" t="s">
        <v>1269</v>
      </c>
    </row>
    <row r="40" spans="2:5" s="7" customFormat="1">
      <c r="B40" s="856" t="s">
        <v>1281</v>
      </c>
      <c r="C40" s="7" t="s">
        <v>1243</v>
      </c>
      <c r="E40" s="7" t="s">
        <v>1271</v>
      </c>
    </row>
    <row r="41" spans="2:5" s="7" customFormat="1">
      <c r="B41" s="856" t="s">
        <v>1253</v>
      </c>
      <c r="C41" s="7" t="s">
        <v>1244</v>
      </c>
      <c r="E41" s="7" t="s">
        <v>1272</v>
      </c>
    </row>
    <row r="42" spans="2:5" s="7" customFormat="1">
      <c r="B42" s="856" t="s">
        <v>1253</v>
      </c>
      <c r="C42" s="7" t="s">
        <v>1245</v>
      </c>
      <c r="E42" s="7" t="s">
        <v>1273</v>
      </c>
    </row>
    <row r="43" spans="2:5" s="7" customFormat="1">
      <c r="B43" s="856" t="s">
        <v>1253</v>
      </c>
      <c r="C43" s="7" t="s">
        <v>1908</v>
      </c>
      <c r="E43" s="7" t="s">
        <v>1909</v>
      </c>
    </row>
    <row r="44" spans="2:5" s="7" customFormat="1">
      <c r="B44" s="856" t="s">
        <v>1280</v>
      </c>
      <c r="C44" s="7" t="s">
        <v>1246</v>
      </c>
      <c r="E44" s="7" t="s">
        <v>1274</v>
      </c>
    </row>
    <row r="45" spans="2:5" s="7" customFormat="1">
      <c r="B45" s="574" t="s">
        <v>1254</v>
      </c>
      <c r="C45" s="7" t="s">
        <v>1486</v>
      </c>
      <c r="E45" s="7" t="s">
        <v>1487</v>
      </c>
    </row>
    <row r="46" spans="2:5" s="7" customFormat="1"/>
    <row r="47" spans="2:5" s="7" customFormat="1"/>
    <row r="48" spans="2:5" s="7" customFormat="1"/>
    <row r="49" spans="2:5" s="7" customFormat="1"/>
    <row r="50" spans="2:5" s="7" customFormat="1"/>
    <row r="51" spans="2:5" s="7" customFormat="1"/>
    <row r="52" spans="2:5" s="7" customFormat="1"/>
    <row r="53" spans="2:5" s="7" customFormat="1"/>
    <row r="54" spans="2:5" s="7" customFormat="1"/>
    <row r="55" spans="2:5" s="7" customFormat="1"/>
    <row r="56" spans="2:5">
      <c r="B56" s="7"/>
      <c r="C56" s="7"/>
      <c r="D56" s="7"/>
      <c r="E56" s="7"/>
    </row>
    <row r="57" spans="2:5">
      <c r="B57" s="7"/>
      <c r="C57" s="7"/>
      <c r="D57" s="7"/>
      <c r="E57" s="7"/>
    </row>
    <row r="58" spans="2:5">
      <c r="B58" s="7"/>
      <c r="C58" s="7"/>
      <c r="D58" s="7"/>
      <c r="E58" s="7"/>
    </row>
    <row r="59" spans="2:5">
      <c r="B59" s="7"/>
      <c r="C59" s="7"/>
      <c r="D59" s="7"/>
      <c r="E59" s="7"/>
    </row>
    <row r="60" spans="2:5">
      <c r="B60" s="7"/>
      <c r="C60" s="7"/>
      <c r="D60" s="7"/>
      <c r="E60" s="7"/>
    </row>
    <row r="61" spans="2:5">
      <c r="B61" s="7"/>
      <c r="C61" s="7"/>
      <c r="D61" s="7"/>
      <c r="E61" s="7"/>
    </row>
    <row r="62" spans="2:5">
      <c r="B62" s="7"/>
      <c r="C62" s="7"/>
      <c r="D62" s="7"/>
      <c r="E62" s="7"/>
    </row>
    <row r="63" spans="2:5">
      <c r="B63" s="7"/>
      <c r="C63" s="7"/>
      <c r="D63" s="7"/>
      <c r="E63" s="7"/>
    </row>
  </sheetData>
  <phoneticPr fontId="71"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84"/>
  <sheetViews>
    <sheetView topLeftCell="A216" workbookViewId="0">
      <selection activeCell="N114" sqref="N114"/>
    </sheetView>
  </sheetViews>
  <sheetFormatPr baseColWidth="10" defaultColWidth="11.42578125" defaultRowHeight="15" outlineLevelRow="1"/>
  <cols>
    <col min="1" max="1" width="3.5703125" style="7" customWidth="1"/>
    <col min="2" max="2" width="5.140625" style="7" customWidth="1"/>
    <col min="3" max="3" width="55.42578125" style="7" bestFit="1" customWidth="1"/>
    <col min="4" max="4" width="16.5703125" style="7" customWidth="1"/>
    <col min="5" max="5" width="23.42578125" style="7" customWidth="1"/>
    <col min="6" max="6" width="22.140625" style="7" customWidth="1"/>
    <col min="7" max="7" width="23.140625" style="7" customWidth="1"/>
    <col min="8" max="8" width="23.42578125" style="7" customWidth="1"/>
    <col min="9" max="9" width="18.5703125" style="7" customWidth="1"/>
    <col min="10" max="12" width="11.42578125" style="7"/>
    <col min="13" max="13" width="12.5703125" style="7" bestFit="1" customWidth="1"/>
    <col min="14" max="14" width="13" style="7" bestFit="1" customWidth="1"/>
    <col min="15" max="15" width="11.5703125" style="7" bestFit="1" customWidth="1"/>
    <col min="16" max="16" width="11.42578125" style="7"/>
    <col min="17" max="17" width="10.42578125" style="7" bestFit="1" customWidth="1"/>
    <col min="18" max="16384" width="11.42578125" style="7"/>
  </cols>
  <sheetData>
    <row r="1" spans="2:16">
      <c r="D1"/>
      <c r="E1"/>
      <c r="F1"/>
      <c r="G1"/>
      <c r="H1"/>
      <c r="I1"/>
      <c r="J1"/>
      <c r="K1"/>
      <c r="L1"/>
      <c r="M1"/>
      <c r="N1"/>
      <c r="O1"/>
      <c r="P1"/>
    </row>
    <row r="2" spans="2:16" s="498" customFormat="1"/>
    <row r="3" spans="2:16" s="498" customFormat="1" ht="36">
      <c r="B3" s="499" t="s">
        <v>615</v>
      </c>
    </row>
    <row r="4" spans="2:16" s="498" customFormat="1"/>
    <row r="5" spans="2:16" s="498" customFormat="1">
      <c r="B5" s="500"/>
      <c r="C5" s="500"/>
      <c r="D5" s="500"/>
      <c r="E5" s="500"/>
      <c r="F5" s="500"/>
      <c r="G5" s="500"/>
      <c r="H5" s="500"/>
      <c r="I5" s="500"/>
      <c r="J5" s="500"/>
      <c r="K5" s="500"/>
      <c r="L5" s="500"/>
      <c r="M5" s="500"/>
      <c r="N5" s="500"/>
      <c r="O5" s="500"/>
      <c r="P5" s="560"/>
    </row>
    <row r="6" spans="2:16" s="498" customFormat="1">
      <c r="B6" s="505" t="s">
        <v>974</v>
      </c>
      <c r="C6" s="501"/>
      <c r="D6" s="500"/>
      <c r="E6" s="500"/>
      <c r="F6" s="500"/>
      <c r="G6" s="500"/>
      <c r="H6" s="500"/>
      <c r="I6" s="500"/>
      <c r="J6" s="500"/>
      <c r="K6" s="500"/>
      <c r="L6" s="500"/>
      <c r="M6" s="500"/>
      <c r="N6" s="500"/>
      <c r="O6" s="500"/>
      <c r="P6" s="560"/>
    </row>
    <row r="7" spans="2:16" s="498" customFormat="1">
      <c r="B7" s="505"/>
      <c r="C7" s="501"/>
      <c r="D7" s="500"/>
      <c r="E7" s="500"/>
      <c r="F7" s="500"/>
      <c r="G7" s="500"/>
      <c r="H7" s="500"/>
      <c r="I7" s="500"/>
      <c r="J7" s="500"/>
      <c r="K7" s="500"/>
      <c r="L7" s="500"/>
      <c r="M7" s="500"/>
      <c r="N7" s="500"/>
      <c r="O7" s="500"/>
      <c r="P7" s="560"/>
    </row>
    <row r="8" spans="2:16" s="498" customFormat="1">
      <c r="B8" s="507" t="s">
        <v>645</v>
      </c>
      <c r="C8" s="501"/>
      <c r="D8" s="500"/>
      <c r="E8" s="500"/>
      <c r="F8" s="500"/>
      <c r="G8" s="500"/>
      <c r="H8" s="500"/>
      <c r="I8" s="500"/>
      <c r="J8" s="500"/>
      <c r="K8" s="500"/>
      <c r="L8" s="500"/>
      <c r="M8" s="500"/>
      <c r="N8" s="500"/>
      <c r="O8" s="500"/>
      <c r="P8" s="560"/>
    </row>
    <row r="9" spans="2:16" s="498" customFormat="1">
      <c r="B9" s="500"/>
      <c r="C9" s="500"/>
      <c r="D9" s="500"/>
      <c r="E9" s="500"/>
      <c r="F9" s="500"/>
      <c r="G9" s="500"/>
      <c r="H9" s="500"/>
      <c r="I9" s="500"/>
      <c r="J9" s="500"/>
      <c r="K9" s="500"/>
      <c r="L9" s="500"/>
      <c r="M9" s="500"/>
      <c r="N9" s="500"/>
      <c r="O9" s="500"/>
      <c r="P9" s="560"/>
    </row>
    <row r="10" spans="2:16" s="498" customFormat="1"/>
    <row r="11" spans="2:16" s="498" customFormat="1" ht="18.75">
      <c r="B11" s="502" t="s">
        <v>612</v>
      </c>
      <c r="C11" s="7"/>
      <c r="D11" s="7"/>
    </row>
    <row r="12" spans="2:16" s="498" customFormat="1" ht="6" customHeight="1">
      <c r="B12" s="503"/>
      <c r="C12" s="7"/>
      <c r="D12" s="7"/>
    </row>
    <row r="13" spans="2:16" s="498" customFormat="1">
      <c r="B13" s="506" t="s">
        <v>613</v>
      </c>
      <c r="C13" s="7" t="s">
        <v>616</v>
      </c>
      <c r="D13" s="7"/>
    </row>
    <row r="14" spans="2:16" s="498" customFormat="1">
      <c r="B14" s="506" t="s">
        <v>614</v>
      </c>
      <c r="C14" s="7" t="s">
        <v>314</v>
      </c>
      <c r="D14" s="7"/>
    </row>
    <row r="15" spans="2:16" s="498" customFormat="1">
      <c r="B15" s="506" t="s">
        <v>622</v>
      </c>
      <c r="C15" s="7" t="s">
        <v>617</v>
      </c>
      <c r="D15" s="7"/>
    </row>
    <row r="16" spans="2:16" s="498" customFormat="1">
      <c r="B16" s="506" t="s">
        <v>619</v>
      </c>
      <c r="C16" s="7" t="s">
        <v>973</v>
      </c>
      <c r="D16" s="7"/>
    </row>
    <row r="17" spans="1:16" s="498" customFormat="1">
      <c r="B17" s="506" t="s">
        <v>620</v>
      </c>
      <c r="C17" s="7" t="s">
        <v>404</v>
      </c>
      <c r="D17" s="7"/>
    </row>
    <row r="18" spans="1:16" s="498" customFormat="1">
      <c r="B18" s="506" t="s">
        <v>621</v>
      </c>
      <c r="C18" s="7" t="s">
        <v>618</v>
      </c>
      <c r="D18" s="7"/>
    </row>
    <row r="19" spans="1:16" s="498" customFormat="1">
      <c r="B19" s="506" t="s">
        <v>1488</v>
      </c>
      <c r="C19" s="7" t="s">
        <v>1242</v>
      </c>
      <c r="D19" s="7"/>
    </row>
    <row r="20" spans="1:16" s="498" customFormat="1">
      <c r="B20" s="7"/>
      <c r="C20" s="7"/>
      <c r="D20" s="7"/>
    </row>
    <row r="21" spans="1:16" s="498" customFormat="1">
      <c r="A21" s="562"/>
      <c r="B21" s="6"/>
      <c r="C21" s="6"/>
      <c r="D21" s="6"/>
      <c r="E21" s="561"/>
      <c r="F21" s="561"/>
      <c r="G21" s="561"/>
      <c r="H21" s="561"/>
      <c r="I21" s="561"/>
      <c r="J21" s="561"/>
      <c r="K21" s="561"/>
      <c r="L21" s="561"/>
      <c r="M21" s="561"/>
      <c r="N21" s="561"/>
      <c r="O21" s="561"/>
      <c r="P21" s="561"/>
    </row>
    <row r="22" spans="1:16" s="498" customFormat="1" ht="5.25" customHeight="1">
      <c r="B22" s="7"/>
      <c r="C22" s="7"/>
      <c r="D22" s="7"/>
    </row>
    <row r="23" spans="1:16" s="498" customFormat="1" ht="18.75">
      <c r="B23" s="504" t="s">
        <v>613</v>
      </c>
      <c r="C23" s="502" t="s">
        <v>616</v>
      </c>
      <c r="D23" s="502"/>
    </row>
    <row r="24" spans="1:16" s="498" customFormat="1" ht="19.5" thickBot="1">
      <c r="B24" s="504"/>
      <c r="C24" s="502"/>
      <c r="D24" s="1132" t="s">
        <v>1460</v>
      </c>
      <c r="E24" s="541"/>
    </row>
    <row r="25" spans="1:16" s="498" customFormat="1" ht="18.75">
      <c r="B25" s="504"/>
      <c r="C25" s="1133" t="s">
        <v>941</v>
      </c>
      <c r="D25" s="1147" t="str">
        <f>'3c. Calculateur MEÉ 2-3-4'!G13</f>
        <v>Vapeur</v>
      </c>
      <c r="E25" s="1139" t="s">
        <v>350</v>
      </c>
      <c r="F25" s="1124" t="s">
        <v>351</v>
      </c>
    </row>
    <row r="26" spans="1:16" outlineLevel="1">
      <c r="C26" s="1134" t="s">
        <v>1463</v>
      </c>
      <c r="D26" s="1148" t="str">
        <f>'3c. Calculateur MEÉ 2-3-4'!G21</f>
        <v>&lt; sélectionner &gt;</v>
      </c>
      <c r="E26" s="1140"/>
      <c r="F26" s="1131"/>
      <c r="H26" s="511"/>
    </row>
    <row r="27" spans="1:16" outlineLevel="1">
      <c r="C27" s="1133" t="s">
        <v>249</v>
      </c>
      <c r="D27" s="1149">
        <f>_xlfn.XLOOKUP($D$25,$E$25:$F$25,E27:F27)</f>
        <v>0.05</v>
      </c>
      <c r="E27" s="1128">
        <v>0.05</v>
      </c>
      <c r="F27" s="1125">
        <v>0.05</v>
      </c>
      <c r="G27" s="498" t="s">
        <v>623</v>
      </c>
      <c r="J27" s="541"/>
    </row>
    <row r="28" spans="1:16" outlineLevel="1">
      <c r="C28" s="852" t="s">
        <v>35</v>
      </c>
      <c r="D28" s="1150">
        <f>IF(D26="CVAC",D29,D30)</f>
        <v>10.889082170509718</v>
      </c>
      <c r="E28" s="1141"/>
      <c r="F28" s="1130"/>
    </row>
    <row r="29" spans="1:16" outlineLevel="1">
      <c r="C29" s="1135" t="s">
        <v>563</v>
      </c>
      <c r="D29" s="1151">
        <f>'T° eau'!$P$22</f>
        <v>6.9252112707445503</v>
      </c>
      <c r="E29" s="1142"/>
      <c r="F29" s="1123"/>
      <c r="G29" s="7" t="s">
        <v>552</v>
      </c>
      <c r="H29" s="7" t="s">
        <v>1877</v>
      </c>
    </row>
    <row r="30" spans="1:16" outlineLevel="1">
      <c r="C30" s="1136" t="s">
        <v>1467</v>
      </c>
      <c r="D30" s="1152">
        <f>'T° eau'!$P$23</f>
        <v>10.889082170509718</v>
      </c>
      <c r="E30" s="1143"/>
      <c r="F30" s="1126"/>
      <c r="G30" s="7" t="s">
        <v>556</v>
      </c>
      <c r="H30" s="7" t="s">
        <v>1877</v>
      </c>
    </row>
    <row r="31" spans="1:16" outlineLevel="1">
      <c r="C31" s="1133" t="s">
        <v>36</v>
      </c>
      <c r="D31" s="1153">
        <f t="shared" ref="D31:D35" si="0">_xlfn.XLOOKUP($D$25,$E$25:$F$25,E31:F31)</f>
        <v>80</v>
      </c>
      <c r="E31" s="1127">
        <v>80</v>
      </c>
      <c r="F31" s="1127">
        <v>40</v>
      </c>
      <c r="G31" s="7" t="s">
        <v>18</v>
      </c>
    </row>
    <row r="32" spans="1:16" outlineLevel="1">
      <c r="C32" s="1133" t="s">
        <v>37</v>
      </c>
      <c r="D32" s="1149">
        <f>IF(D25="Vapeur",E32,F32)</f>
        <v>0.8</v>
      </c>
      <c r="E32" s="1128">
        <f>IF(ISBLANK('3c. Calculateur MEÉ 2-3-4'!G44)=TRUE,0.8,'3c. Calculateur MEÉ 2-3-4'!G44/100)</f>
        <v>0.8</v>
      </c>
      <c r="F32" s="1128">
        <v>0</v>
      </c>
    </row>
    <row r="33" spans="3:17" outlineLevel="1">
      <c r="C33" s="1133" t="s">
        <v>38</v>
      </c>
      <c r="D33" s="1149">
        <f t="shared" si="0"/>
        <v>0.06</v>
      </c>
      <c r="E33" s="1128">
        <f>IF('3c. Calculateur MEÉ 2-3-4'!G46="Oui",3/100,6/100)</f>
        <v>0.06</v>
      </c>
      <c r="F33" s="1128">
        <v>0</v>
      </c>
      <c r="H33" t="s">
        <v>904</v>
      </c>
    </row>
    <row r="34" spans="3:17" outlineLevel="1">
      <c r="C34" s="1137" t="s">
        <v>39</v>
      </c>
      <c r="D34" s="1153">
        <f>_xlfn.XLOOKUP($D$25,$E$25:$F$25,E34:F34)</f>
        <v>153.1</v>
      </c>
      <c r="E34" s="1127">
        <v>153.1</v>
      </c>
      <c r="F34" s="1158"/>
      <c r="G34" s="7" t="s">
        <v>40</v>
      </c>
      <c r="H34" s="511" t="s">
        <v>1882</v>
      </c>
      <c r="J34" s="7" t="s">
        <v>975</v>
      </c>
    </row>
    <row r="35" spans="3:17" ht="14.25" customHeight="1" outlineLevel="1">
      <c r="C35" s="1138" t="s">
        <v>625</v>
      </c>
      <c r="D35" s="1188">
        <f t="shared" si="0"/>
        <v>9.5000000000000001E-2</v>
      </c>
      <c r="E35" s="1144">
        <v>9.5000000000000001E-2</v>
      </c>
      <c r="F35" s="1128">
        <v>0</v>
      </c>
    </row>
    <row r="36" spans="3:17" outlineLevel="1">
      <c r="C36" s="853" t="s">
        <v>939</v>
      </c>
      <c r="D36" s="1154">
        <f>_xlfn.XLOOKUP($D$25,$E$25:$F$25,E36:F36)</f>
        <v>790.33012724550895</v>
      </c>
      <c r="E36" s="1145">
        <f>(100+14.73)*101.235/14.696</f>
        <v>790.33012724550895</v>
      </c>
      <c r="F36" s="1129"/>
      <c r="G36" s="7" t="s">
        <v>40</v>
      </c>
      <c r="H36" s="511" t="s">
        <v>624</v>
      </c>
    </row>
    <row r="37" spans="3:17" ht="15" customHeight="1" outlineLevel="1">
      <c r="C37" s="852" t="s">
        <v>940</v>
      </c>
      <c r="D37" s="1155" t="str">
        <f>IF(D25="Vapeur","n/a",IF(D26="Eau chaude sanitaire",F38,F39))</f>
        <v>n/a</v>
      </c>
      <c r="E37" s="1114"/>
      <c r="F37" s="1114"/>
      <c r="H37" s="511"/>
    </row>
    <row r="38" spans="3:17" outlineLevel="1">
      <c r="C38" s="1135" t="s">
        <v>1465</v>
      </c>
      <c r="D38" s="1156"/>
      <c r="E38" s="1118" t="s">
        <v>942</v>
      </c>
      <c r="F38" s="1119">
        <v>60</v>
      </c>
      <c r="G38" s="7" t="s">
        <v>16</v>
      </c>
      <c r="H38" s="511"/>
    </row>
    <row r="39" spans="3:17" ht="15.75" outlineLevel="1" thickBot="1">
      <c r="C39" s="1136" t="s">
        <v>1466</v>
      </c>
      <c r="D39" s="1157"/>
      <c r="E39" s="1146" t="s">
        <v>942</v>
      </c>
      <c r="F39" s="1120">
        <v>80</v>
      </c>
      <c r="G39" s="7" t="s">
        <v>16</v>
      </c>
      <c r="H39" s="511"/>
    </row>
    <row r="40" spans="3:17" outlineLevel="1">
      <c r="H40" s="692"/>
    </row>
    <row r="41" spans="3:17" ht="116.25" customHeight="1" outlineLevel="1">
      <c r="C41" s="611" t="s">
        <v>915</v>
      </c>
      <c r="D41" s="2239" t="s">
        <v>1910</v>
      </c>
      <c r="E41" s="2239"/>
      <c r="F41" s="2239"/>
    </row>
    <row r="42" spans="3:17" ht="116.25" customHeight="1" outlineLevel="1">
      <c r="C42" s="611"/>
      <c r="D42" s="612"/>
    </row>
    <row r="43" spans="3:17" ht="15" customHeight="1" outlineLevel="1">
      <c r="C43" s="7" t="s">
        <v>1744</v>
      </c>
      <c r="D43" s="7" t="s">
        <v>1978</v>
      </c>
      <c r="E43" s="1721"/>
      <c r="F43" s="574"/>
      <c r="H43" s="1730" t="s">
        <v>1976</v>
      </c>
    </row>
    <row r="44" spans="3:17" ht="15" customHeight="1" outlineLevel="1">
      <c r="D44" s="7" t="s">
        <v>1979</v>
      </c>
      <c r="E44" s="1721"/>
      <c r="F44" s="1728">
        <f>G50</f>
        <v>174.97610815868268</v>
      </c>
      <c r="G44" s="7" t="s">
        <v>16</v>
      </c>
      <c r="H44" s="511"/>
    </row>
    <row r="45" spans="3:17" ht="15" customHeight="1" outlineLevel="1">
      <c r="D45" s="7" t="s">
        <v>1980</v>
      </c>
      <c r="E45" s="1721"/>
      <c r="F45" s="1729">
        <f>ROUND(CONVERT(50,"F","C")+F44,1)</f>
        <v>185</v>
      </c>
      <c r="G45" s="7" t="s">
        <v>16</v>
      </c>
      <c r="H45" s="511"/>
    </row>
    <row r="46" spans="3:17" ht="7.5" customHeight="1" outlineLevel="1">
      <c r="D46" s="1721"/>
      <c r="E46" s="1721"/>
      <c r="F46" s="574"/>
      <c r="H46" s="511"/>
      <c r="L46" s="1617"/>
      <c r="M46" s="1617"/>
      <c r="N46" s="1726"/>
      <c r="O46" s="1726"/>
      <c r="P46" s="1727"/>
      <c r="Q46" s="1727"/>
    </row>
    <row r="47" spans="3:17" ht="15" customHeight="1" outlineLevel="1">
      <c r="D47" s="1725" t="s">
        <v>1974</v>
      </c>
      <c r="E47" s="1725"/>
      <c r="F47" s="1725" t="s">
        <v>89</v>
      </c>
      <c r="G47" s="1724" t="s">
        <v>1894</v>
      </c>
      <c r="L47" s="1617"/>
      <c r="M47" s="1617"/>
      <c r="N47" s="1726"/>
      <c r="O47" s="1726"/>
      <c r="P47" s="1727"/>
      <c r="Q47" s="1727"/>
    </row>
    <row r="48" spans="3:17" ht="15" customHeight="1" outlineLevel="1">
      <c r="D48" s="1720" t="s">
        <v>93</v>
      </c>
      <c r="E48" s="792"/>
      <c r="F48" s="1722">
        <f>LOOKUP(F50,'Tables vapeur'!C6:C61)</f>
        <v>748.67499999999995</v>
      </c>
      <c r="G48" s="1722">
        <f>VLOOKUP(F48,'Tables vapeur'!$C$6:$G$61,2,FALSE)</f>
        <v>172.96</v>
      </c>
      <c r="L48" s="1617"/>
      <c r="M48" s="1617"/>
      <c r="N48" s="1726"/>
      <c r="O48" s="1726"/>
      <c r="P48" s="1727"/>
      <c r="Q48" s="1727"/>
    </row>
    <row r="49" spans="3:17" ht="15" customHeight="1" outlineLevel="1">
      <c r="D49" s="1720" t="s">
        <v>94</v>
      </c>
      <c r="E49" s="792"/>
      <c r="F49" s="1722">
        <f>IF((F48-F50)=0,F50,INDEX('Tables vapeur'!C6:C61,RANK(LOOKUP(F50,'Tables vapeur'!C6:C61),'Tables vapeur'!C6:C61,1)+1))</f>
        <v>798.67499999999995</v>
      </c>
      <c r="G49" s="1722">
        <f>VLOOKUP(F49,'Tables vapeur'!$C$6:$G$61,2,FALSE)</f>
        <v>175.38</v>
      </c>
      <c r="L49" s="1617"/>
      <c r="M49" s="1617"/>
      <c r="N49" s="1726"/>
      <c r="O49" s="1726"/>
      <c r="P49" s="1727"/>
      <c r="Q49" s="1727"/>
    </row>
    <row r="50" spans="3:17" ht="15" customHeight="1" outlineLevel="1">
      <c r="D50" s="1720" t="s">
        <v>95</v>
      </c>
      <c r="E50" s="792"/>
      <c r="F50" s="1722">
        <f>D36</f>
        <v>790.33012724550895</v>
      </c>
      <c r="G50" s="1723">
        <f>IF(F48=F49,G48,FORECAST(F50,G48:G49,F48:F49))</f>
        <v>174.97610815868268</v>
      </c>
      <c r="L50" s="1617"/>
      <c r="M50" s="1617"/>
      <c r="N50" s="1726"/>
      <c r="O50" s="1726"/>
      <c r="P50" s="1727"/>
      <c r="Q50" s="1727"/>
    </row>
    <row r="51" spans="3:17" ht="15" customHeight="1" outlineLevel="1">
      <c r="D51" s="1721"/>
      <c r="E51" s="1721"/>
      <c r="F51" s="574"/>
      <c r="H51" s="511"/>
      <c r="L51" s="1617"/>
      <c r="M51" s="1617"/>
      <c r="N51" s="1726"/>
      <c r="O51" s="1726"/>
      <c r="P51" s="1727"/>
      <c r="Q51" s="1727"/>
    </row>
    <row r="52" spans="3:17" ht="15" customHeight="1" outlineLevel="1">
      <c r="C52" s="792"/>
      <c r="D52" s="1731" t="s">
        <v>1</v>
      </c>
      <c r="E52" s="1731" t="s">
        <v>2</v>
      </c>
      <c r="F52" s="1731" t="s">
        <v>3</v>
      </c>
      <c r="G52" s="1731" t="s">
        <v>4</v>
      </c>
      <c r="H52" s="511"/>
      <c r="L52" s="1617"/>
      <c r="M52" s="1617"/>
      <c r="N52" s="1726"/>
      <c r="O52" s="1726"/>
      <c r="P52" s="1727"/>
      <c r="Q52" s="1727"/>
    </row>
    <row r="53" spans="3:17" ht="15" customHeight="1" outlineLevel="1">
      <c r="C53" s="792" t="s">
        <v>1977</v>
      </c>
      <c r="D53" s="299">
        <f>IF('3c. Calculateur MEÉ 2-3-4'!G38="",$F$45,'3c. Calculateur MEÉ 2-3-4'!G38)</f>
        <v>185</v>
      </c>
      <c r="E53" s="299">
        <f>IF('3c. Calculateur MEÉ 2-3-4'!I38="",$F$45,'3c. Calculateur MEÉ 2-3-4'!I38)</f>
        <v>185</v>
      </c>
      <c r="F53" s="299">
        <f>IF('3c. Calculateur MEÉ 2-3-4'!K38="",$F$45,'3c. Calculateur MEÉ 2-3-4'!K38)</f>
        <v>185</v>
      </c>
      <c r="G53" s="299">
        <f>IF('3c. Calculateur MEÉ 2-3-4'!M38="",$F$45,'3c. Calculateur MEÉ 2-3-4'!M38)</f>
        <v>185</v>
      </c>
      <c r="H53" s="511" t="s">
        <v>16</v>
      </c>
      <c r="L53" s="1617"/>
      <c r="M53" s="1617"/>
      <c r="N53" s="1726"/>
      <c r="O53" s="1726"/>
      <c r="P53" s="1727"/>
      <c r="Q53" s="1727"/>
    </row>
    <row r="54" spans="3:17" ht="15" customHeight="1" outlineLevel="1">
      <c r="D54" s="1721"/>
      <c r="E54" s="1721"/>
      <c r="F54" s="574"/>
      <c r="H54" s="511"/>
      <c r="L54" s="1617"/>
      <c r="M54" s="1617"/>
      <c r="N54" s="1726"/>
      <c r="O54" s="1726"/>
      <c r="P54" s="1727"/>
      <c r="Q54" s="1727"/>
    </row>
    <row r="55" spans="3:17" ht="15" customHeight="1" outlineLevel="1">
      <c r="D55" s="1721"/>
      <c r="E55" s="1721"/>
      <c r="F55" s="574"/>
      <c r="H55" s="511"/>
      <c r="L55" s="1617"/>
      <c r="M55" s="1617"/>
      <c r="N55" s="1726"/>
      <c r="O55" s="1726"/>
      <c r="P55" s="1727"/>
      <c r="Q55" s="1727"/>
    </row>
    <row r="56" spans="3:17" outlineLevel="1">
      <c r="C56" s="7" t="s">
        <v>359</v>
      </c>
      <c r="F56" s="508" t="s">
        <v>356</v>
      </c>
    </row>
    <row r="57" spans="3:17" ht="36.75" customHeight="1" outlineLevel="1">
      <c r="C57" s="516" t="s">
        <v>357</v>
      </c>
      <c r="D57" s="517" t="s">
        <v>358</v>
      </c>
      <c r="E57" s="518"/>
    </row>
    <row r="58" spans="3:17" outlineLevel="1">
      <c r="C58" s="519">
        <v>1465.35</v>
      </c>
      <c r="D58" s="514">
        <v>2.5999999999999999E-2</v>
      </c>
      <c r="E58" s="513"/>
    </row>
    <row r="59" spans="3:17" outlineLevel="1">
      <c r="C59" s="519">
        <v>2930.7</v>
      </c>
      <c r="D59" s="514">
        <v>1.6E-2</v>
      </c>
      <c r="E59" s="527"/>
    </row>
    <row r="60" spans="3:17" outlineLevel="1">
      <c r="C60" s="519">
        <v>5861.4</v>
      </c>
      <c r="D60" s="514">
        <v>1.0500000000000001E-2</v>
      </c>
      <c r="E60" s="527"/>
    </row>
    <row r="61" spans="3:17" outlineLevel="1">
      <c r="C61" s="519">
        <v>8792.0999999999985</v>
      </c>
      <c r="D61" s="514">
        <v>8.3999999999999995E-3</v>
      </c>
      <c r="E61" s="527"/>
    </row>
    <row r="62" spans="3:17" outlineLevel="1">
      <c r="C62" s="519">
        <v>11722.8</v>
      </c>
      <c r="D62" s="514">
        <v>7.3000000000000001E-3</v>
      </c>
      <c r="E62" s="527"/>
    </row>
    <row r="63" spans="3:17" outlineLevel="1">
      <c r="C63" s="519">
        <v>14653.5</v>
      </c>
      <c r="D63" s="514">
        <v>6.6E-3</v>
      </c>
      <c r="E63" s="527"/>
    </row>
    <row r="64" spans="3:17" outlineLevel="1">
      <c r="C64" s="519">
        <v>17584.199999999997</v>
      </c>
      <c r="D64" s="514">
        <v>6.1999999999999998E-3</v>
      </c>
      <c r="E64" s="527"/>
    </row>
    <row r="65" spans="3:5" outlineLevel="1">
      <c r="C65" s="519">
        <v>20514.899999999998</v>
      </c>
      <c r="D65" s="514">
        <v>5.8999999999999999E-3</v>
      </c>
      <c r="E65" s="527"/>
    </row>
    <row r="66" spans="3:5" outlineLevel="1">
      <c r="C66" s="519">
        <v>23445.599999999999</v>
      </c>
      <c r="D66" s="514">
        <v>5.5999999999999999E-3</v>
      </c>
      <c r="E66" s="527"/>
    </row>
    <row r="67" spans="3:5" outlineLevel="1">
      <c r="C67" s="519">
        <v>26376.3</v>
      </c>
      <c r="D67" s="514">
        <v>5.4000000000000003E-3</v>
      </c>
      <c r="E67" s="527"/>
    </row>
    <row r="68" spans="3:5" outlineLevel="1">
      <c r="C68" s="519">
        <v>29307</v>
      </c>
      <c r="D68" s="514">
        <v>5.1999999999999998E-3</v>
      </c>
      <c r="E68" s="527"/>
    </row>
    <row r="69" spans="3:5" outlineLevel="1">
      <c r="C69" s="519">
        <v>35168.399999999994</v>
      </c>
      <c r="D69" s="514">
        <v>4.7999999999999996E-3</v>
      </c>
      <c r="E69" s="527"/>
    </row>
    <row r="70" spans="3:5" outlineLevel="1">
      <c r="C70" s="519">
        <v>41029.799999999996</v>
      </c>
      <c r="D70" s="514">
        <v>4.4999999999999997E-3</v>
      </c>
      <c r="E70" s="527"/>
    </row>
    <row r="71" spans="3:5" outlineLevel="1">
      <c r="C71" s="519">
        <v>46891.199999999997</v>
      </c>
      <c r="D71" s="514">
        <v>4.3E-3</v>
      </c>
      <c r="E71" s="527"/>
    </row>
    <row r="72" spans="3:5" outlineLevel="1">
      <c r="C72" s="519">
        <v>52752.6</v>
      </c>
      <c r="D72" s="514">
        <v>4.0000000000000001E-3</v>
      </c>
      <c r="E72" s="527"/>
    </row>
    <row r="73" spans="3:5" outlineLevel="1">
      <c r="C73" s="519">
        <v>58614</v>
      </c>
      <c r="D73" s="514">
        <v>3.8E-3</v>
      </c>
      <c r="E73" s="527"/>
    </row>
    <row r="74" spans="3:5" outlineLevel="1">
      <c r="C74" s="519">
        <v>87921</v>
      </c>
      <c r="D74" s="514">
        <v>3.3999999999999998E-3</v>
      </c>
      <c r="E74" s="527"/>
    </row>
    <row r="75" spans="3:5" outlineLevel="1">
      <c r="C75" s="519">
        <v>117228</v>
      </c>
      <c r="D75" s="514">
        <v>3.0000000000000001E-3</v>
      </c>
      <c r="E75" s="527"/>
    </row>
    <row r="76" spans="3:5" outlineLevel="1">
      <c r="C76" s="519">
        <v>146535</v>
      </c>
      <c r="D76" s="514">
        <v>2.8E-3</v>
      </c>
      <c r="E76" s="527"/>
    </row>
    <row r="77" spans="3:5" outlineLevel="1">
      <c r="C77" s="519">
        <v>293070</v>
      </c>
      <c r="D77" s="514">
        <v>2.3E-3</v>
      </c>
      <c r="E77" s="527"/>
    </row>
    <row r="78" spans="3:5" outlineLevel="1">
      <c r="C78" s="519">
        <v>586140</v>
      </c>
      <c r="D78" s="514">
        <v>1.9499999999999999E-3</v>
      </c>
      <c r="E78" s="527"/>
    </row>
    <row r="79" spans="3:5" outlineLevel="1">
      <c r="C79" s="519">
        <v>1172280</v>
      </c>
      <c r="D79" s="514">
        <v>1.75E-3</v>
      </c>
      <c r="E79" s="527"/>
    </row>
    <row r="80" spans="3:5" outlineLevel="1">
      <c r="C80" s="519">
        <v>1758419.9999999998</v>
      </c>
      <c r="D80" s="514">
        <v>1.6000000000000001E-3</v>
      </c>
      <c r="E80" s="527"/>
    </row>
    <row r="81" spans="1:16" outlineLevel="1">
      <c r="C81" s="519">
        <v>2930700</v>
      </c>
      <c r="D81" s="514">
        <v>1.5E-3</v>
      </c>
      <c r="E81" s="527"/>
    </row>
    <row r="82" spans="1:16" outlineLevel="1">
      <c r="C82" s="520">
        <v>5861400</v>
      </c>
      <c r="D82" s="515">
        <v>1.5E-3</v>
      </c>
      <c r="E82" s="528"/>
    </row>
    <row r="83" spans="1:16" outlineLevel="1">
      <c r="C83" s="559"/>
      <c r="D83" s="563"/>
      <c r="E83" s="564"/>
    </row>
    <row r="84" spans="1:16" outlineLevel="1">
      <c r="C84" s="559" t="s">
        <v>954</v>
      </c>
      <c r="D84" s="675">
        <f>75.4*10^-3/18.01528*1000</f>
        <v>4.1853360036591161</v>
      </c>
      <c r="E84" s="564" t="s">
        <v>955</v>
      </c>
    </row>
    <row r="85" spans="1:16" outlineLevel="1">
      <c r="C85" s="559"/>
      <c r="D85" s="563"/>
      <c r="E85" s="564"/>
    </row>
    <row r="86" spans="1:16" ht="15.75" outlineLevel="1" thickBot="1">
      <c r="C86" s="547" t="s">
        <v>210</v>
      </c>
      <c r="D86" s="533"/>
      <c r="P86" s="557"/>
    </row>
    <row r="87" spans="1:16" outlineLevel="1">
      <c r="C87" s="551" t="s">
        <v>634</v>
      </c>
      <c r="D87" s="552"/>
      <c r="E87" s="553"/>
      <c r="F87" s="553"/>
      <c r="G87" s="553"/>
      <c r="H87" s="553"/>
      <c r="I87" s="553"/>
      <c r="J87" s="553"/>
      <c r="K87" s="553"/>
      <c r="L87" s="553"/>
      <c r="M87" s="553"/>
      <c r="N87" s="553"/>
      <c r="O87" s="553"/>
      <c r="P87" s="554"/>
    </row>
    <row r="88" spans="1:16" ht="15.75" outlineLevel="1" thickBot="1">
      <c r="C88" s="555"/>
      <c r="D88" s="556"/>
      <c r="E88" s="557"/>
      <c r="F88" s="557"/>
      <c r="G88" s="557"/>
      <c r="H88" s="557"/>
      <c r="I88" s="557"/>
      <c r="J88" s="557"/>
      <c r="K88" s="557"/>
      <c r="L88" s="557"/>
      <c r="M88" s="557"/>
      <c r="N88" s="557"/>
      <c r="O88" s="557"/>
      <c r="P88" s="558"/>
    </row>
    <row r="89" spans="1:16" outlineLevel="1">
      <c r="D89" s="526"/>
    </row>
    <row r="90" spans="1:16" s="498" customFormat="1">
      <c r="A90" s="562"/>
      <c r="B90" s="6"/>
      <c r="C90" s="6"/>
      <c r="D90" s="6"/>
      <c r="E90" s="561"/>
      <c r="F90" s="561"/>
      <c r="G90" s="561"/>
      <c r="H90" s="561"/>
      <c r="I90" s="561"/>
      <c r="J90" s="561"/>
      <c r="K90" s="561"/>
      <c r="L90" s="561"/>
      <c r="M90" s="561"/>
      <c r="N90" s="561"/>
      <c r="O90" s="561"/>
      <c r="P90" s="561"/>
    </row>
    <row r="91" spans="1:16" s="498" customFormat="1" ht="6" customHeight="1">
      <c r="B91" s="7"/>
      <c r="C91" s="7"/>
      <c r="D91" s="7"/>
    </row>
    <row r="92" spans="1:16" ht="18.75">
      <c r="B92" s="504" t="s">
        <v>614</v>
      </c>
      <c r="C92" s="502" t="s">
        <v>17</v>
      </c>
    </row>
    <row r="93" spans="1:16" ht="19.5" outlineLevel="1" thickBot="1">
      <c r="B93" s="504"/>
      <c r="C93" s="546" t="s">
        <v>631</v>
      </c>
      <c r="P93" s="549"/>
    </row>
    <row r="94" spans="1:16" ht="18.75" customHeight="1" outlineLevel="1">
      <c r="B94" s="504"/>
      <c r="C94" s="2257" t="s">
        <v>632</v>
      </c>
      <c r="D94" s="2258"/>
      <c r="E94" s="2258"/>
      <c r="F94" s="2258"/>
      <c r="G94" s="2258"/>
      <c r="H94" s="2258"/>
      <c r="I94" s="2258"/>
      <c r="J94" s="2258"/>
      <c r="K94" s="2258"/>
      <c r="L94" s="2258"/>
      <c r="M94" s="2258"/>
      <c r="N94" s="2258"/>
      <c r="O94" s="2258"/>
      <c r="P94" s="2259"/>
    </row>
    <row r="95" spans="1:16" ht="18.75" outlineLevel="1">
      <c r="B95" s="504"/>
      <c r="C95" s="2260"/>
      <c r="D95" s="2261"/>
      <c r="E95" s="2261"/>
      <c r="F95" s="2261"/>
      <c r="G95" s="2261"/>
      <c r="H95" s="2261"/>
      <c r="I95" s="2261"/>
      <c r="J95" s="2261"/>
      <c r="K95" s="2261"/>
      <c r="L95" s="2261"/>
      <c r="M95" s="2261"/>
      <c r="N95" s="2261"/>
      <c r="O95" s="2261"/>
      <c r="P95" s="2262"/>
    </row>
    <row r="96" spans="1:16" ht="18.75" outlineLevel="1">
      <c r="B96" s="504"/>
      <c r="C96" s="2260"/>
      <c r="D96" s="2261"/>
      <c r="E96" s="2261"/>
      <c r="F96" s="2261"/>
      <c r="G96" s="2261"/>
      <c r="H96" s="2261"/>
      <c r="I96" s="2261"/>
      <c r="J96" s="2261"/>
      <c r="K96" s="2261"/>
      <c r="L96" s="2261"/>
      <c r="M96" s="2261"/>
      <c r="N96" s="2261"/>
      <c r="O96" s="2261"/>
      <c r="P96" s="2262"/>
    </row>
    <row r="97" spans="2:17" ht="19.5" outlineLevel="1" thickBot="1">
      <c r="B97" s="504"/>
      <c r="C97" s="2263"/>
      <c r="D97" s="2264"/>
      <c r="E97" s="2264"/>
      <c r="F97" s="2264"/>
      <c r="G97" s="2264"/>
      <c r="H97" s="2264"/>
      <c r="I97" s="2264"/>
      <c r="J97" s="2264"/>
      <c r="K97" s="2264"/>
      <c r="L97" s="2264"/>
      <c r="M97" s="2264"/>
      <c r="N97" s="2264"/>
      <c r="O97" s="2264"/>
      <c r="P97" s="2265"/>
    </row>
    <row r="98" spans="2:17" ht="18.75" outlineLevel="1">
      <c r="B98" s="504"/>
      <c r="C98" s="550"/>
      <c r="D98" s="550"/>
      <c r="E98" s="550"/>
      <c r="F98" s="550"/>
      <c r="G98" s="550"/>
      <c r="H98" s="550"/>
      <c r="I98" s="550"/>
      <c r="J98" s="550"/>
      <c r="K98" s="550"/>
      <c r="L98" s="550"/>
      <c r="M98" s="550"/>
      <c r="N98" s="550"/>
      <c r="O98" s="550"/>
      <c r="P98" s="550"/>
    </row>
    <row r="99" spans="2:17" ht="18.75" outlineLevel="1">
      <c r="B99" s="504"/>
      <c r="C99" s="550" t="s">
        <v>1911</v>
      </c>
      <c r="D99" s="942">
        <v>3</v>
      </c>
      <c r="E99" s="550" t="s">
        <v>1414</v>
      </c>
      <c r="F99" s="550"/>
      <c r="G99" s="550"/>
      <c r="H99" s="550"/>
      <c r="I99" s="550"/>
      <c r="J99" s="550"/>
      <c r="K99" s="550"/>
      <c r="L99" s="550"/>
      <c r="M99" s="550"/>
      <c r="N99" s="550"/>
      <c r="O99" s="550"/>
    </row>
    <row r="100" spans="2:17" ht="18.75" outlineLevel="1">
      <c r="B100" s="504"/>
      <c r="C100" s="502"/>
    </row>
    <row r="101" spans="2:17" outlineLevel="1">
      <c r="C101" s="7" t="s">
        <v>530</v>
      </c>
    </row>
    <row r="102" spans="2:17" outlineLevel="1">
      <c r="C102" s="535" t="s">
        <v>526</v>
      </c>
      <c r="D102" s="536" t="s">
        <v>525</v>
      </c>
    </row>
    <row r="103" spans="2:17" outlineLevel="1">
      <c r="B103" s="537">
        <v>10</v>
      </c>
      <c r="C103" s="522" t="s">
        <v>527</v>
      </c>
      <c r="D103" s="943">
        <v>0.01</v>
      </c>
      <c r="E103" s="7" t="s">
        <v>647</v>
      </c>
    </row>
    <row r="104" spans="2:17" outlineLevel="1">
      <c r="B104" s="537"/>
      <c r="C104" s="523" t="s">
        <v>528</v>
      </c>
      <c r="D104" s="944">
        <v>8.0000000000000002E-3</v>
      </c>
    </row>
    <row r="105" spans="2:17" outlineLevel="1">
      <c r="B105" s="537">
        <v>5</v>
      </c>
      <c r="C105" s="524" t="s">
        <v>529</v>
      </c>
      <c r="D105" s="945">
        <v>6.0000000000000001E-3</v>
      </c>
    </row>
    <row r="106" spans="2:17" outlineLevel="1"/>
    <row r="107" spans="2:17" ht="18" outlineLevel="1">
      <c r="C107" s="525" t="s">
        <v>626</v>
      </c>
      <c r="D107" s="961">
        <v>0.03</v>
      </c>
      <c r="E107" s="508" t="s">
        <v>627</v>
      </c>
    </row>
    <row r="108" spans="2:17" outlineLevel="1">
      <c r="C108" s="525"/>
      <c r="D108" s="603">
        <v>1.4999999999999999E-2</v>
      </c>
      <c r="E108" s="508" t="s">
        <v>628</v>
      </c>
      <c r="Q108" s="578"/>
    </row>
    <row r="109" spans="2:17" outlineLevel="1">
      <c r="C109" s="622" t="s">
        <v>538</v>
      </c>
      <c r="D109" s="587">
        <v>0.4</v>
      </c>
      <c r="E109" s="7" t="s">
        <v>19</v>
      </c>
      <c r="Q109" s="578"/>
    </row>
    <row r="110" spans="2:17" outlineLevel="1">
      <c r="C110" s="7" t="s">
        <v>539</v>
      </c>
      <c r="D110" s="587">
        <v>7</v>
      </c>
      <c r="Q110" s="578"/>
    </row>
    <row r="111" spans="2:17" outlineLevel="1">
      <c r="C111" s="7" t="s">
        <v>976</v>
      </c>
      <c r="F111" s="579"/>
      <c r="Q111" s="578"/>
    </row>
    <row r="112" spans="2:17" outlineLevel="1">
      <c r="C112" s="538" t="s">
        <v>532</v>
      </c>
      <c r="D112" s="539" t="s">
        <v>533</v>
      </c>
      <c r="E112" s="540" t="s">
        <v>534</v>
      </c>
      <c r="Q112" s="578"/>
    </row>
    <row r="113" spans="3:17" outlineLevel="1">
      <c r="C113" s="529">
        <v>1</v>
      </c>
      <c r="D113" s="583">
        <v>20500</v>
      </c>
      <c r="E113" s="584">
        <v>0</v>
      </c>
      <c r="Q113" s="578"/>
    </row>
    <row r="114" spans="3:17" outlineLevel="1">
      <c r="C114" s="529">
        <v>2</v>
      </c>
      <c r="D114" s="583">
        <v>19500</v>
      </c>
      <c r="E114" s="584">
        <f>((D$113-D114)/D113)</f>
        <v>4.878048780487805E-2</v>
      </c>
      <c r="Q114" s="578"/>
    </row>
    <row r="115" spans="3:17" outlineLevel="1">
      <c r="C115" s="529">
        <v>3</v>
      </c>
      <c r="D115" s="583">
        <v>19000</v>
      </c>
      <c r="E115" s="584">
        <f t="shared" ref="E115:E119" si="1">((D$113-D115)/D114)</f>
        <v>7.6923076923076927E-2</v>
      </c>
      <c r="Q115" s="578"/>
    </row>
    <row r="116" spans="3:17" outlineLevel="1">
      <c r="C116" s="529">
        <v>4</v>
      </c>
      <c r="D116" s="583">
        <v>18800</v>
      </c>
      <c r="E116" s="584">
        <f t="shared" si="1"/>
        <v>8.9473684210526316E-2</v>
      </c>
      <c r="Q116" s="578"/>
    </row>
    <row r="117" spans="3:17" outlineLevel="1">
      <c r="C117" s="529">
        <v>5</v>
      </c>
      <c r="D117" s="583">
        <v>18550</v>
      </c>
      <c r="E117" s="584">
        <f t="shared" si="1"/>
        <v>0.10372340425531915</v>
      </c>
      <c r="Q117" s="578"/>
    </row>
    <row r="118" spans="3:17" outlineLevel="1">
      <c r="C118" s="530">
        <v>7.5</v>
      </c>
      <c r="D118" s="583">
        <v>18350</v>
      </c>
      <c r="E118" s="584">
        <f t="shared" si="1"/>
        <v>0.11590296495956873</v>
      </c>
      <c r="Q118" s="578"/>
    </row>
    <row r="119" spans="3:17" outlineLevel="1">
      <c r="C119" s="531">
        <v>10</v>
      </c>
      <c r="D119" s="585">
        <v>18200</v>
      </c>
      <c r="E119" s="586">
        <f t="shared" si="1"/>
        <v>0.12534059945504086</v>
      </c>
      <c r="Q119" s="578"/>
    </row>
    <row r="120" spans="3:17" outlineLevel="1">
      <c r="Q120" s="578"/>
    </row>
    <row r="121" spans="3:17" outlineLevel="1">
      <c r="C121" s="7" t="s">
        <v>629</v>
      </c>
      <c r="Q121" s="578"/>
    </row>
    <row r="122" spans="3:17" ht="17.25" outlineLevel="1">
      <c r="C122" s="532" t="s">
        <v>649</v>
      </c>
      <c r="D122" s="532" t="s">
        <v>650</v>
      </c>
      <c r="E122" s="532" t="s">
        <v>360</v>
      </c>
      <c r="F122" s="532" t="s">
        <v>535</v>
      </c>
      <c r="Q122" s="578"/>
    </row>
    <row r="123" spans="3:17" outlineLevel="1">
      <c r="C123" s="594">
        <f t="array" ref="C123:F123">LINEST(E113:E119,C113:C119^{1,2,3})</f>
        <v>4.0456453547900125E-4</v>
      </c>
      <c r="D123" s="593">
        <v>-8.8505900397568803E-3</v>
      </c>
      <c r="E123" s="593">
        <v>6.6165785603060662E-2</v>
      </c>
      <c r="F123" s="593">
        <v>-5.5260555422771571E-2</v>
      </c>
      <c r="Q123" s="578"/>
    </row>
    <row r="124" spans="3:17" outlineLevel="1">
      <c r="Q124" s="578"/>
    </row>
    <row r="125" spans="3:17" outlineLevel="1">
      <c r="Q125" s="578"/>
    </row>
    <row r="126" spans="3:17" outlineLevel="1">
      <c r="C126" s="7" t="s">
        <v>630</v>
      </c>
      <c r="D126" s="448">
        <f>D110^3*$C$123+D110^2*$D$123+D110*$E$123+$F$123</f>
        <v>0.11298666751986337</v>
      </c>
      <c r="F126" s="7" t="s">
        <v>956</v>
      </c>
      <c r="Q126" s="578"/>
    </row>
    <row r="127" spans="3:17" outlineLevel="1">
      <c r="D127" s="533"/>
      <c r="Q127" s="578"/>
    </row>
    <row r="128" spans="3:17" outlineLevel="1">
      <c r="C128" s="7" t="s">
        <v>971</v>
      </c>
      <c r="D128" s="533"/>
      <c r="Q128" s="578"/>
    </row>
    <row r="129" spans="1:17" outlineLevel="1">
      <c r="C129" s="454" t="s">
        <v>977</v>
      </c>
      <c r="D129" s="448"/>
      <c r="E129" s="454"/>
      <c r="F129" s="454"/>
      <c r="G129" s="454"/>
      <c r="H129" s="454"/>
      <c r="I129" s="454"/>
      <c r="J129" s="454"/>
      <c r="K129" s="454"/>
      <c r="L129" s="454"/>
      <c r="Q129" s="578"/>
    </row>
    <row r="130" spans="1:17" outlineLevel="1">
      <c r="C130" s="454" t="s">
        <v>972</v>
      </c>
      <c r="D130" s="448"/>
      <c r="E130" s="454"/>
      <c r="F130" s="454"/>
      <c r="G130" s="454"/>
      <c r="H130" s="454"/>
      <c r="I130" s="454"/>
      <c r="J130" s="454"/>
      <c r="K130" s="454"/>
      <c r="L130" s="454"/>
      <c r="Q130" s="578"/>
    </row>
    <row r="131" spans="1:17" outlineLevel="1">
      <c r="D131" s="533"/>
      <c r="Q131" s="578"/>
    </row>
    <row r="132" spans="1:17" outlineLevel="1">
      <c r="C132" s="7" t="s">
        <v>1417</v>
      </c>
      <c r="D132" s="448">
        <v>0.84</v>
      </c>
      <c r="E132" s="7" t="s">
        <v>1418</v>
      </c>
      <c r="Q132" s="578"/>
    </row>
    <row r="133" spans="1:17" outlineLevel="1">
      <c r="D133" s="533"/>
      <c r="Q133" s="578"/>
    </row>
    <row r="134" spans="1:17" ht="15.75" outlineLevel="1" thickBot="1">
      <c r="C134" s="547" t="s">
        <v>210</v>
      </c>
      <c r="D134" s="533"/>
      <c r="P134" s="557"/>
    </row>
    <row r="135" spans="1:17" outlineLevel="1">
      <c r="C135" s="551" t="s">
        <v>633</v>
      </c>
      <c r="D135" s="552"/>
      <c r="E135" s="553"/>
      <c r="F135" s="553"/>
      <c r="G135" s="553"/>
      <c r="H135" s="553"/>
      <c r="I135" s="553"/>
      <c r="J135" s="553"/>
      <c r="K135" s="553"/>
      <c r="L135" s="553"/>
      <c r="M135" s="553"/>
      <c r="N135" s="553"/>
      <c r="O135" s="553"/>
      <c r="P135" s="554"/>
    </row>
    <row r="136" spans="1:17" outlineLevel="1">
      <c r="C136" s="580" t="s">
        <v>636</v>
      </c>
      <c r="D136" s="581"/>
      <c r="P136" s="582"/>
    </row>
    <row r="137" spans="1:17" ht="15.75" outlineLevel="1" thickBot="1">
      <c r="C137" s="555" t="s">
        <v>648</v>
      </c>
      <c r="D137" s="556"/>
      <c r="E137" s="557"/>
      <c r="F137" s="557"/>
      <c r="G137" s="557"/>
      <c r="H137" s="557"/>
      <c r="I137" s="557"/>
      <c r="J137" s="557"/>
      <c r="K137" s="557"/>
      <c r="L137" s="557"/>
      <c r="M137" s="557"/>
      <c r="N137" s="557"/>
      <c r="O137" s="557"/>
      <c r="P137" s="558"/>
    </row>
    <row r="138" spans="1:17" outlineLevel="1">
      <c r="D138" s="526"/>
    </row>
    <row r="139" spans="1:17" s="498" customFormat="1">
      <c r="A139" s="562"/>
      <c r="B139" s="6"/>
      <c r="C139" s="6"/>
      <c r="D139" s="6"/>
      <c r="E139" s="561"/>
      <c r="F139" s="561"/>
      <c r="G139" s="561"/>
      <c r="H139" s="561"/>
      <c r="I139" s="561"/>
      <c r="J139" s="561"/>
      <c r="K139" s="561"/>
      <c r="L139" s="561"/>
      <c r="M139" s="561"/>
      <c r="N139" s="561"/>
      <c r="O139" s="561"/>
      <c r="P139" s="561"/>
    </row>
    <row r="140" spans="1:17" s="498" customFormat="1" ht="6.75" customHeight="1">
      <c r="B140" s="7"/>
      <c r="C140" s="7"/>
      <c r="D140" s="7"/>
    </row>
    <row r="141" spans="1:17" ht="18.75">
      <c r="B141" s="504" t="s">
        <v>622</v>
      </c>
      <c r="C141" s="502" t="s">
        <v>617</v>
      </c>
    </row>
    <row r="142" spans="1:17" ht="19.5" outlineLevel="1" thickBot="1">
      <c r="B142" s="504"/>
      <c r="C142" s="546" t="s">
        <v>631</v>
      </c>
      <c r="P142" s="549"/>
    </row>
    <row r="143" spans="1:17" ht="18.75" customHeight="1" outlineLevel="1">
      <c r="B143" s="504"/>
      <c r="C143" s="2257" t="s">
        <v>637</v>
      </c>
      <c r="D143" s="2258"/>
      <c r="E143" s="2258"/>
      <c r="F143" s="2258"/>
      <c r="G143" s="2258"/>
      <c r="H143" s="2258"/>
      <c r="I143" s="2258"/>
      <c r="J143" s="2258"/>
      <c r="K143" s="2258"/>
      <c r="L143" s="2258"/>
      <c r="M143" s="2258"/>
      <c r="N143" s="2258"/>
      <c r="O143" s="2258"/>
      <c r="P143" s="2259"/>
    </row>
    <row r="144" spans="1:17" ht="18.75" outlineLevel="1">
      <c r="B144" s="504"/>
      <c r="C144" s="2260"/>
      <c r="D144" s="2261"/>
      <c r="E144" s="2261"/>
      <c r="F144" s="2261"/>
      <c r="G144" s="2261"/>
      <c r="H144" s="2261"/>
      <c r="I144" s="2261"/>
      <c r="J144" s="2261"/>
      <c r="K144" s="2261"/>
      <c r="L144" s="2261"/>
      <c r="M144" s="2261"/>
      <c r="N144" s="2261"/>
      <c r="O144" s="2261"/>
      <c r="P144" s="2262"/>
    </row>
    <row r="145" spans="2:16" ht="18.75" outlineLevel="1">
      <c r="B145" s="504"/>
      <c r="C145" s="2260"/>
      <c r="D145" s="2261"/>
      <c r="E145" s="2261"/>
      <c r="F145" s="2261"/>
      <c r="G145" s="2261"/>
      <c r="H145" s="2261"/>
      <c r="I145" s="2261"/>
      <c r="J145" s="2261"/>
      <c r="K145" s="2261"/>
      <c r="L145" s="2261"/>
      <c r="M145" s="2261"/>
      <c r="N145" s="2261"/>
      <c r="O145" s="2261"/>
      <c r="P145" s="2262"/>
    </row>
    <row r="146" spans="2:16" ht="19.5" outlineLevel="1" thickBot="1">
      <c r="B146" s="504"/>
      <c r="C146" s="2263"/>
      <c r="D146" s="2264"/>
      <c r="E146" s="2264"/>
      <c r="F146" s="2264"/>
      <c r="G146" s="2264"/>
      <c r="H146" s="2264"/>
      <c r="I146" s="2264"/>
      <c r="J146" s="2264"/>
      <c r="K146" s="2264"/>
      <c r="L146" s="2264"/>
      <c r="M146" s="2264"/>
      <c r="N146" s="2264"/>
      <c r="O146" s="2264"/>
      <c r="P146" s="2265"/>
    </row>
    <row r="147" spans="2:16" ht="18.75" outlineLevel="1">
      <c r="B147" s="504"/>
      <c r="C147" s="550"/>
      <c r="D147" s="550"/>
      <c r="E147" s="550"/>
      <c r="F147" s="550"/>
      <c r="G147" s="550"/>
      <c r="H147" s="550"/>
      <c r="I147" s="550"/>
      <c r="J147" s="550"/>
      <c r="K147" s="550"/>
      <c r="L147" s="550"/>
      <c r="M147" s="550"/>
      <c r="N147" s="550"/>
      <c r="O147" s="550"/>
      <c r="P147" s="550"/>
    </row>
    <row r="148" spans="2:16" ht="19.5" outlineLevel="1" thickBot="1">
      <c r="B148" s="504"/>
      <c r="C148" s="534" t="s">
        <v>638</v>
      </c>
      <c r="D148" s="550"/>
      <c r="E148" s="550"/>
      <c r="F148" s="550"/>
      <c r="G148" s="550"/>
      <c r="H148" s="591" t="s">
        <v>983</v>
      </c>
      <c r="I148" s="550"/>
      <c r="J148" s="550"/>
      <c r="K148" s="550"/>
      <c r="L148" s="550"/>
      <c r="M148" s="550"/>
      <c r="N148" s="550"/>
      <c r="O148" s="550"/>
      <c r="P148" s="550"/>
    </row>
    <row r="149" spans="2:16" outlineLevel="1">
      <c r="C149" s="7" t="s">
        <v>639</v>
      </c>
      <c r="H149" s="566" t="s">
        <v>642</v>
      </c>
      <c r="I149" s="567" t="s">
        <v>643</v>
      </c>
    </row>
    <row r="150" spans="2:16" outlineLevel="1">
      <c r="H150" s="709">
        <f>(0.898*I150)/(0.21-I150/100)</f>
        <v>0</v>
      </c>
      <c r="I150" s="694">
        <v>0</v>
      </c>
    </row>
    <row r="151" spans="2:16" outlineLevel="1">
      <c r="C151" s="7" t="s">
        <v>652</v>
      </c>
      <c r="D151" s="587">
        <v>15</v>
      </c>
      <c r="E151" s="7" t="s">
        <v>978</v>
      </c>
      <c r="F151" s="602">
        <v>5</v>
      </c>
      <c r="G151" s="588" t="s">
        <v>979</v>
      </c>
      <c r="H151" s="589">
        <f>(0.898*I151)/(0.21-I151/100)</f>
        <v>2.1902439024390246</v>
      </c>
      <c r="I151" s="595">
        <v>0.5</v>
      </c>
    </row>
    <row r="152" spans="2:16" outlineLevel="1">
      <c r="C152" s="7" t="s">
        <v>551</v>
      </c>
      <c r="D152" s="587">
        <f>AVERAGE('normales 1981-2010'!K20:L20)</f>
        <v>12</v>
      </c>
      <c r="E152" s="7" t="s">
        <v>555</v>
      </c>
      <c r="G152" s="588"/>
      <c r="H152" s="589">
        <f t="shared" ref="H152:H173" si="2">(0.898*I152)/(0.21-I152/100)</f>
        <v>4.49</v>
      </c>
      <c r="I152" s="595">
        <v>1</v>
      </c>
    </row>
    <row r="153" spans="2:16" outlineLevel="1">
      <c r="C153" s="7" t="s">
        <v>553</v>
      </c>
      <c r="D153" s="450">
        <v>15</v>
      </c>
      <c r="E153" s="7" t="s">
        <v>903</v>
      </c>
      <c r="F153" s="508"/>
      <c r="G153" s="588"/>
      <c r="H153" s="589">
        <f t="shared" si="2"/>
        <v>6.9076923076923071</v>
      </c>
      <c r="I153" s="595">
        <v>1.5</v>
      </c>
    </row>
    <row r="154" spans="2:16" outlineLevel="1">
      <c r="C154" s="7" t="s">
        <v>640</v>
      </c>
      <c r="D154" s="542"/>
      <c r="G154" s="588"/>
      <c r="H154" s="589">
        <f t="shared" si="2"/>
        <v>9.4526315789473685</v>
      </c>
      <c r="I154" s="595">
        <v>2</v>
      </c>
    </row>
    <row r="155" spans="2:16" outlineLevel="1">
      <c r="C155" s="532" t="s">
        <v>554</v>
      </c>
      <c r="D155" s="600">
        <f>AVERAGE('normales 1981-2010'!C20:G20,'normales 1981-2010'!M20:N20)</f>
        <v>-0.41428571428571404</v>
      </c>
      <c r="E155" s="7" t="s">
        <v>552</v>
      </c>
      <c r="G155" s="588"/>
      <c r="H155" s="589">
        <f t="shared" si="2"/>
        <v>12.135135135135135</v>
      </c>
      <c r="I155" s="595">
        <v>2.5</v>
      </c>
    </row>
    <row r="156" spans="2:16" outlineLevel="1">
      <c r="C156" s="532" t="s">
        <v>1467</v>
      </c>
      <c r="D156" s="600">
        <f>'normales 1981-2010'!O20</f>
        <v>6.8</v>
      </c>
      <c r="E156" s="7" t="s">
        <v>556</v>
      </c>
      <c r="G156" s="588"/>
      <c r="H156" s="589">
        <f t="shared" si="2"/>
        <v>14.966666666666667</v>
      </c>
      <c r="I156" s="595">
        <v>3</v>
      </c>
    </row>
    <row r="157" spans="2:16" outlineLevel="1">
      <c r="C157" s="565" t="s">
        <v>557</v>
      </c>
      <c r="D157" s="542"/>
      <c r="G157" s="588"/>
      <c r="H157" s="589">
        <f t="shared" si="2"/>
        <v>17.96</v>
      </c>
      <c r="I157" s="595">
        <v>3.5</v>
      </c>
    </row>
    <row r="158" spans="2:16" outlineLevel="1">
      <c r="C158" s="532" t="s">
        <v>554</v>
      </c>
      <c r="D158" s="568">
        <f>D152-$D$155</f>
        <v>12.414285714285715</v>
      </c>
      <c r="E158" s="7" t="s">
        <v>16</v>
      </c>
      <c r="G158" s="588"/>
      <c r="H158" s="589">
        <f t="shared" si="2"/>
        <v>21.129411764705885</v>
      </c>
      <c r="I158" s="595">
        <v>4</v>
      </c>
    </row>
    <row r="159" spans="2:16" outlineLevel="1">
      <c r="C159" s="532" t="s">
        <v>1467</v>
      </c>
      <c r="D159" s="568">
        <f>D152-$D$156</f>
        <v>5.2</v>
      </c>
      <c r="E159" s="7" t="s">
        <v>16</v>
      </c>
      <c r="G159" s="588"/>
      <c r="H159" s="589">
        <f t="shared" si="2"/>
        <v>24.490909090909096</v>
      </c>
      <c r="I159" s="595">
        <v>4.5</v>
      </c>
    </row>
    <row r="160" spans="2:16" outlineLevel="1">
      <c r="G160" s="588"/>
      <c r="H160" s="589">
        <f t="shared" si="2"/>
        <v>28.062500000000007</v>
      </c>
      <c r="I160" s="595">
        <v>5</v>
      </c>
    </row>
    <row r="161" spans="3:16" outlineLevel="1">
      <c r="C161" s="7" t="s">
        <v>559</v>
      </c>
      <c r="G161" s="588"/>
      <c r="H161" s="589">
        <f t="shared" si="2"/>
        <v>31.864516129032257</v>
      </c>
      <c r="I161" s="595">
        <v>5.5</v>
      </c>
    </row>
    <row r="162" spans="3:16" outlineLevel="1">
      <c r="C162" s="532" t="s">
        <v>554</v>
      </c>
      <c r="D162" s="569">
        <f>($F$151*D158)/$D$151</f>
        <v>4.1380952380952376</v>
      </c>
      <c r="E162" s="7" t="s">
        <v>19</v>
      </c>
      <c r="G162" s="588"/>
      <c r="H162" s="589">
        <f t="shared" si="2"/>
        <v>35.92</v>
      </c>
      <c r="I162" s="595">
        <v>6</v>
      </c>
    </row>
    <row r="163" spans="3:16" outlineLevel="1">
      <c r="C163" s="532" t="s">
        <v>1467</v>
      </c>
      <c r="D163" s="569">
        <f>($F$151*D159)/$D$151</f>
        <v>1.7333333333333334</v>
      </c>
      <c r="E163" s="7" t="s">
        <v>19</v>
      </c>
      <c r="G163" s="588"/>
      <c r="H163" s="589">
        <f t="shared" si="2"/>
        <v>40.255172413793105</v>
      </c>
      <c r="I163" s="595">
        <v>6.5</v>
      </c>
    </row>
    <row r="164" spans="3:16" outlineLevel="1">
      <c r="C164" s="7" t="s">
        <v>558</v>
      </c>
      <c r="G164" s="588"/>
      <c r="H164" s="589">
        <f t="shared" si="2"/>
        <v>44.900000000000006</v>
      </c>
      <c r="I164" s="595">
        <v>7</v>
      </c>
      <c r="K164" s="7" t="s">
        <v>651</v>
      </c>
    </row>
    <row r="165" spans="3:16" ht="17.25" outlineLevel="1">
      <c r="C165" s="532" t="s">
        <v>554</v>
      </c>
      <c r="D165" s="569">
        <f>$D$153+D162</f>
        <v>19.138095238095239</v>
      </c>
      <c r="E165" s="7" t="s">
        <v>19</v>
      </c>
      <c r="G165" s="588"/>
      <c r="H165" s="589">
        <f t="shared" si="2"/>
        <v>49.888888888888886</v>
      </c>
      <c r="I165" s="595">
        <v>7.5</v>
      </c>
      <c r="L165" s="521" t="s">
        <v>650</v>
      </c>
      <c r="M165" s="521" t="s">
        <v>360</v>
      </c>
      <c r="N165" s="521" t="s">
        <v>535</v>
      </c>
    </row>
    <row r="166" spans="3:16" outlineLevel="1">
      <c r="C166" s="532" t="s">
        <v>1467</v>
      </c>
      <c r="D166" s="569">
        <f>$D$153+D163</f>
        <v>16.733333333333334</v>
      </c>
      <c r="E166" s="7" t="s">
        <v>19</v>
      </c>
      <c r="G166" s="588"/>
      <c r="H166" s="589">
        <f t="shared" si="2"/>
        <v>55.261538461538464</v>
      </c>
      <c r="I166" s="595">
        <v>8</v>
      </c>
      <c r="L166" s="592">
        <f t="array" ref="L166:N166">LINEST(I150:I173,H150:H173^{1,2})</f>
        <v>-7.610289197229101E-4</v>
      </c>
      <c r="M166" s="592">
        <v>0.1830045608373907</v>
      </c>
      <c r="N166" s="592">
        <v>0.30387288803106971</v>
      </c>
    </row>
    <row r="167" spans="3:16" outlineLevel="1">
      <c r="C167" s="7" t="s">
        <v>641</v>
      </c>
      <c r="G167" s="588"/>
      <c r="H167" s="589">
        <f t="shared" si="2"/>
        <v>61.064000000000007</v>
      </c>
      <c r="I167" s="595">
        <v>8.5</v>
      </c>
    </row>
    <row r="168" spans="3:16" outlineLevel="1">
      <c r="C168" s="532" t="s">
        <v>554</v>
      </c>
      <c r="D168" s="601">
        <f>(($L$166*D165^2+$M$166*D165+$N$166)-($L$166*$D$153^2+$M$166*$D$153+$N$166))/100</f>
        <v>6.4978226576783539E-3</v>
      </c>
      <c r="G168" s="588"/>
      <c r="H168" s="589">
        <f t="shared" si="2"/>
        <v>67.350000000000009</v>
      </c>
      <c r="I168" s="595">
        <v>9</v>
      </c>
    </row>
    <row r="169" spans="3:16" outlineLevel="1">
      <c r="C169" s="532" t="s">
        <v>1467</v>
      </c>
      <c r="D169" s="601">
        <f>(($L$166*D166^2+$M$166*D166+$N$166)-($L$166*$D$153^2+$M$166*$D$153+$N$166))/100</f>
        <v>2.7534793251596311E-3</v>
      </c>
      <c r="G169" s="588"/>
      <c r="H169" s="589">
        <f t="shared" si="2"/>
        <v>74.182608695652178</v>
      </c>
      <c r="I169" s="595">
        <v>9.5</v>
      </c>
    </row>
    <row r="170" spans="3:16" outlineLevel="1">
      <c r="C170" s="7" t="s">
        <v>644</v>
      </c>
      <c r="D170" s="521"/>
      <c r="G170" s="588"/>
      <c r="H170" s="589">
        <f t="shared" si="2"/>
        <v>81.636363636363654</v>
      </c>
      <c r="I170" s="595">
        <v>10</v>
      </c>
    </row>
    <row r="171" spans="3:16" outlineLevel="1">
      <c r="C171" s="532" t="s">
        <v>554</v>
      </c>
      <c r="D171" s="601">
        <f>D168*$D$109</f>
        <v>2.5991290630713419E-3</v>
      </c>
      <c r="G171" s="588"/>
      <c r="H171" s="589">
        <f t="shared" si="2"/>
        <v>89.800000000000011</v>
      </c>
      <c r="I171" s="595">
        <v>10.5</v>
      </c>
    </row>
    <row r="172" spans="3:16" outlineLevel="1">
      <c r="C172" s="532" t="s">
        <v>1467</v>
      </c>
      <c r="D172" s="601">
        <f>D169*$D$109</f>
        <v>1.1013917300638524E-3</v>
      </c>
      <c r="H172" s="589">
        <f t="shared" si="2"/>
        <v>98.780000000000015</v>
      </c>
      <c r="I172" s="595">
        <v>11</v>
      </c>
    </row>
    <row r="173" spans="3:16" ht="15.75" outlineLevel="1" thickBot="1">
      <c r="H173" s="590">
        <f t="shared" si="2"/>
        <v>108.70526315789475</v>
      </c>
      <c r="I173" s="596">
        <v>11.5</v>
      </c>
    </row>
    <row r="174" spans="3:16" ht="15.75" outlineLevel="1" thickBot="1">
      <c r="C174" s="547" t="s">
        <v>210</v>
      </c>
      <c r="D174" s="533"/>
      <c r="P174" s="557"/>
    </row>
    <row r="175" spans="3:16" outlineLevel="1">
      <c r="C175" s="551" t="s">
        <v>633</v>
      </c>
      <c r="D175" s="552"/>
      <c r="E175" s="553"/>
      <c r="F175" s="553"/>
      <c r="G175" s="553"/>
      <c r="H175" s="553"/>
      <c r="I175" s="553"/>
      <c r="J175" s="553"/>
      <c r="K175" s="553"/>
      <c r="L175" s="553"/>
      <c r="M175" s="553"/>
      <c r="N175" s="553"/>
      <c r="O175" s="553"/>
      <c r="P175" s="554"/>
    </row>
    <row r="176" spans="3:16" outlineLevel="1">
      <c r="C176" s="580" t="s">
        <v>636</v>
      </c>
      <c r="P176" s="582"/>
    </row>
    <row r="177" spans="1:16" ht="15.75" outlineLevel="1" thickBot="1">
      <c r="C177" s="555" t="s">
        <v>984</v>
      </c>
      <c r="D177" s="556"/>
      <c r="E177" s="557"/>
      <c r="F177" s="557"/>
      <c r="G177" s="557"/>
      <c r="H177" s="557"/>
      <c r="I177" s="557"/>
      <c r="J177" s="557"/>
      <c r="K177" s="557"/>
      <c r="L177" s="557"/>
      <c r="M177" s="557"/>
      <c r="N177" s="557"/>
      <c r="O177" s="557"/>
      <c r="P177" s="558"/>
    </row>
    <row r="178" spans="1:16" outlineLevel="1"/>
    <row r="179" spans="1:16" s="498" customFormat="1">
      <c r="A179" s="562"/>
      <c r="B179" s="6"/>
      <c r="C179" s="6"/>
      <c r="D179" s="6"/>
      <c r="E179" s="561"/>
      <c r="F179" s="561"/>
      <c r="G179" s="561"/>
      <c r="H179" s="561"/>
      <c r="I179" s="561"/>
      <c r="J179" s="561"/>
      <c r="K179" s="561"/>
      <c r="L179" s="561"/>
      <c r="M179" s="561"/>
      <c r="N179" s="561"/>
      <c r="O179" s="561"/>
      <c r="P179" s="561"/>
    </row>
    <row r="180" spans="1:16" ht="7.5" customHeight="1"/>
    <row r="181" spans="1:16" ht="18.75">
      <c r="B181" s="504" t="s">
        <v>619</v>
      </c>
      <c r="C181" s="502" t="s">
        <v>43</v>
      </c>
    </row>
    <row r="182" spans="1:16" ht="19.5" outlineLevel="1" thickBot="1">
      <c r="B182" s="504"/>
      <c r="C182" s="546" t="s">
        <v>631</v>
      </c>
      <c r="P182" s="549"/>
    </row>
    <row r="183" spans="1:16" ht="18.75" customHeight="1" outlineLevel="1">
      <c r="B183" s="504"/>
      <c r="C183" s="2257" t="s">
        <v>1912</v>
      </c>
      <c r="D183" s="2258"/>
      <c r="E183" s="2258"/>
      <c r="F183" s="2258"/>
      <c r="G183" s="2258"/>
      <c r="H183" s="2258"/>
      <c r="I183" s="2258"/>
      <c r="J183" s="2258"/>
      <c r="K183" s="2258"/>
      <c r="L183" s="2258"/>
      <c r="M183" s="2258"/>
      <c r="N183" s="2258"/>
      <c r="O183" s="2258"/>
      <c r="P183" s="2259"/>
    </row>
    <row r="184" spans="1:16" ht="18.75" outlineLevel="1">
      <c r="B184" s="504"/>
      <c r="C184" s="2260"/>
      <c r="D184" s="2261"/>
      <c r="E184" s="2261"/>
      <c r="F184" s="2261"/>
      <c r="G184" s="2261"/>
      <c r="H184" s="2261"/>
      <c r="I184" s="2261"/>
      <c r="J184" s="2261"/>
      <c r="K184" s="2261"/>
      <c r="L184" s="2261"/>
      <c r="M184" s="2261"/>
      <c r="N184" s="2261"/>
      <c r="O184" s="2261"/>
      <c r="P184" s="2262"/>
    </row>
    <row r="185" spans="1:16" ht="18.75" outlineLevel="1">
      <c r="B185" s="504"/>
      <c r="C185" s="2260"/>
      <c r="D185" s="2261"/>
      <c r="E185" s="2261"/>
      <c r="F185" s="2261"/>
      <c r="G185" s="2261"/>
      <c r="H185" s="2261"/>
      <c r="I185" s="2261"/>
      <c r="J185" s="2261"/>
      <c r="K185" s="2261"/>
      <c r="L185" s="2261"/>
      <c r="M185" s="2261"/>
      <c r="N185" s="2261"/>
      <c r="O185" s="2261"/>
      <c r="P185" s="2262"/>
    </row>
    <row r="186" spans="1:16" ht="99" customHeight="1" outlineLevel="1" thickBot="1">
      <c r="B186" s="504"/>
      <c r="C186" s="2263"/>
      <c r="D186" s="2264"/>
      <c r="E186" s="2264"/>
      <c r="F186" s="2264"/>
      <c r="G186" s="2264"/>
      <c r="H186" s="2264"/>
      <c r="I186" s="2264"/>
      <c r="J186" s="2264"/>
      <c r="K186" s="2264"/>
      <c r="L186" s="2264"/>
      <c r="M186" s="2264"/>
      <c r="N186" s="2264"/>
      <c r="O186" s="2264"/>
      <c r="P186" s="2265"/>
    </row>
    <row r="187" spans="1:16" ht="18.75" outlineLevel="1">
      <c r="B187" s="504"/>
      <c r="C187" s="550"/>
      <c r="D187" s="550"/>
      <c r="E187" s="550"/>
      <c r="F187" s="550"/>
      <c r="G187" s="550"/>
      <c r="H187" s="550"/>
      <c r="I187" s="550"/>
      <c r="J187" s="550"/>
      <c r="K187" s="550"/>
      <c r="L187" s="550"/>
      <c r="M187" s="550"/>
      <c r="N187" s="550"/>
      <c r="O187" s="550"/>
      <c r="P187" s="550"/>
    </row>
    <row r="188" spans="1:16" outlineLevel="1">
      <c r="C188" s="7" t="s">
        <v>396</v>
      </c>
      <c r="D188" s="512">
        <v>0.65</v>
      </c>
      <c r="E188" s="7" t="s">
        <v>397</v>
      </c>
    </row>
    <row r="189" spans="1:16" outlineLevel="1">
      <c r="C189" s="7" t="s">
        <v>980</v>
      </c>
      <c r="D189" s="510">
        <v>121</v>
      </c>
      <c r="E189" s="7" t="s">
        <v>16</v>
      </c>
    </row>
    <row r="190" spans="1:16" outlineLevel="1">
      <c r="D190" s="574"/>
    </row>
    <row r="191" spans="1:16" outlineLevel="1">
      <c r="C191" s="2236" t="s">
        <v>1913</v>
      </c>
      <c r="D191" s="2236"/>
      <c r="E191" s="2236"/>
      <c r="F191" s="2236"/>
      <c r="G191" s="2236"/>
      <c r="H191" s="2236"/>
      <c r="I191" s="2236"/>
      <c r="J191" s="2236"/>
      <c r="K191" s="2236"/>
      <c r="L191" s="2236"/>
      <c r="M191" s="2236"/>
      <c r="N191" s="2236"/>
      <c r="O191" s="2236"/>
      <c r="P191" s="2236"/>
    </row>
    <row r="192" spans="1:16" outlineLevel="1">
      <c r="C192" s="2236"/>
      <c r="D192" s="2236"/>
      <c r="E192" s="2236"/>
      <c r="F192" s="2236"/>
      <c r="G192" s="2236"/>
      <c r="H192" s="2236"/>
      <c r="I192" s="2236"/>
      <c r="J192" s="2236"/>
      <c r="K192" s="2236"/>
      <c r="L192" s="2236"/>
      <c r="M192" s="2236"/>
      <c r="N192" s="2236"/>
      <c r="O192" s="2236"/>
      <c r="P192" s="2236"/>
    </row>
    <row r="193" spans="1:16" outlineLevel="1">
      <c r="C193" s="611"/>
      <c r="D193" s="611"/>
      <c r="E193" s="611"/>
      <c r="F193" s="611"/>
      <c r="G193" s="611"/>
      <c r="H193" s="611"/>
      <c r="I193" s="611"/>
      <c r="J193" s="611"/>
      <c r="K193" s="611"/>
      <c r="L193" s="611"/>
      <c r="M193" s="611"/>
      <c r="N193" s="611"/>
      <c r="O193" s="611"/>
      <c r="P193" s="611"/>
    </row>
    <row r="194" spans="1:16" ht="15.75" outlineLevel="1" thickBot="1">
      <c r="C194" s="547" t="s">
        <v>210</v>
      </c>
      <c r="D194" s="533"/>
      <c r="P194" s="557"/>
    </row>
    <row r="195" spans="1:16" outlineLevel="1">
      <c r="C195" s="551" t="s">
        <v>635</v>
      </c>
      <c r="D195" s="552"/>
      <c r="E195" s="553"/>
      <c r="F195" s="553"/>
      <c r="G195" s="553"/>
      <c r="H195" s="553"/>
      <c r="I195" s="553"/>
      <c r="J195" s="553"/>
      <c r="K195" s="553"/>
      <c r="L195" s="553"/>
      <c r="M195" s="553"/>
      <c r="N195" s="553"/>
      <c r="O195" s="553"/>
      <c r="P195" s="554"/>
    </row>
    <row r="196" spans="1:16" ht="15.75" outlineLevel="1" thickBot="1">
      <c r="C196" s="555"/>
      <c r="D196" s="556"/>
      <c r="E196" s="557"/>
      <c r="F196" s="557"/>
      <c r="G196" s="557"/>
      <c r="H196" s="557"/>
      <c r="I196" s="557"/>
      <c r="J196" s="557"/>
      <c r="K196" s="557"/>
      <c r="L196" s="557"/>
      <c r="M196" s="557"/>
      <c r="N196" s="557"/>
      <c r="O196" s="557"/>
      <c r="P196" s="558"/>
    </row>
    <row r="197" spans="1:16" outlineLevel="1">
      <c r="D197" s="526"/>
    </row>
    <row r="198" spans="1:16" s="498" customFormat="1">
      <c r="A198" s="562"/>
      <c r="B198" s="6"/>
      <c r="C198" s="6"/>
      <c r="D198" s="6"/>
      <c r="E198" s="561"/>
      <c r="F198" s="561"/>
      <c r="G198" s="561"/>
      <c r="H198" s="561"/>
      <c r="I198" s="561"/>
      <c r="J198" s="561"/>
      <c r="K198" s="561"/>
      <c r="L198" s="561"/>
      <c r="M198" s="561"/>
      <c r="N198" s="561"/>
      <c r="O198" s="561"/>
      <c r="P198" s="561"/>
    </row>
    <row r="199" spans="1:16" ht="6" customHeight="1"/>
    <row r="200" spans="1:16" ht="18.75">
      <c r="B200" s="504" t="s">
        <v>620</v>
      </c>
      <c r="C200" s="502" t="s">
        <v>404</v>
      </c>
    </row>
    <row r="201" spans="1:16" ht="19.5" outlineLevel="1" thickBot="1">
      <c r="B201" s="504"/>
      <c r="C201" s="546" t="s">
        <v>631</v>
      </c>
      <c r="P201" s="549"/>
    </row>
    <row r="202" spans="1:16" ht="18.75" customHeight="1" outlineLevel="1">
      <c r="B202" s="504"/>
      <c r="C202" s="2269" t="s">
        <v>1517</v>
      </c>
      <c r="D202" s="2270"/>
      <c r="E202" s="2270"/>
      <c r="F202" s="2270"/>
      <c r="G202" s="2270"/>
      <c r="H202" s="2270"/>
      <c r="I202" s="2270"/>
      <c r="J202" s="2270"/>
      <c r="K202" s="2270"/>
      <c r="L202" s="2270"/>
      <c r="M202" s="2270"/>
      <c r="N202" s="2270"/>
      <c r="O202" s="2270"/>
      <c r="P202" s="2271"/>
    </row>
    <row r="203" spans="1:16" ht="18.75" outlineLevel="1">
      <c r="B203" s="504"/>
      <c r="C203" s="2272"/>
      <c r="D203" s="2273"/>
      <c r="E203" s="2273"/>
      <c r="F203" s="2273"/>
      <c r="G203" s="2273"/>
      <c r="H203" s="2273"/>
      <c r="I203" s="2273"/>
      <c r="J203" s="2273"/>
      <c r="K203" s="2273"/>
      <c r="L203" s="2273"/>
      <c r="M203" s="2273"/>
      <c r="N203" s="2273"/>
      <c r="O203" s="2273"/>
      <c r="P203" s="2274"/>
    </row>
    <row r="204" spans="1:16" ht="18.75" outlineLevel="1">
      <c r="B204" s="504"/>
      <c r="C204" s="2272"/>
      <c r="D204" s="2273"/>
      <c r="E204" s="2273"/>
      <c r="F204" s="2273"/>
      <c r="G204" s="2273"/>
      <c r="H204" s="2273"/>
      <c r="I204" s="2273"/>
      <c r="J204" s="2273"/>
      <c r="K204" s="2273"/>
      <c r="L204" s="2273"/>
      <c r="M204" s="2273"/>
      <c r="N204" s="2273"/>
      <c r="O204" s="2273"/>
      <c r="P204" s="2274"/>
    </row>
    <row r="205" spans="1:16" ht="18.75" outlineLevel="1">
      <c r="B205" s="504"/>
      <c r="C205" s="2272"/>
      <c r="D205" s="2273"/>
      <c r="E205" s="2273"/>
      <c r="F205" s="2273"/>
      <c r="G205" s="2273"/>
      <c r="H205" s="2273"/>
      <c r="I205" s="2273"/>
      <c r="J205" s="2273"/>
      <c r="K205" s="2273"/>
      <c r="L205" s="2273"/>
      <c r="M205" s="2273"/>
      <c r="N205" s="2273"/>
      <c r="O205" s="2273"/>
      <c r="P205" s="2274"/>
    </row>
    <row r="206" spans="1:16" ht="18.75" outlineLevel="1">
      <c r="B206" s="504"/>
      <c r="C206" s="2272"/>
      <c r="D206" s="2273"/>
      <c r="E206" s="2273"/>
      <c r="F206" s="2273"/>
      <c r="G206" s="2273"/>
      <c r="H206" s="2273"/>
      <c r="I206" s="2273"/>
      <c r="J206" s="2273"/>
      <c r="K206" s="2273"/>
      <c r="L206" s="2273"/>
      <c r="M206" s="2273"/>
      <c r="N206" s="2273"/>
      <c r="O206" s="2273"/>
      <c r="P206" s="2274"/>
    </row>
    <row r="207" spans="1:16" ht="19.5" outlineLevel="1" thickBot="1">
      <c r="B207" s="504"/>
      <c r="C207" s="2275"/>
      <c r="D207" s="2276"/>
      <c r="E207" s="2276"/>
      <c r="F207" s="2276"/>
      <c r="G207" s="2276"/>
      <c r="H207" s="2276"/>
      <c r="I207" s="2276"/>
      <c r="J207" s="2276"/>
      <c r="K207" s="2276"/>
      <c r="L207" s="2276"/>
      <c r="M207" s="2276"/>
      <c r="N207" s="2276"/>
      <c r="O207" s="2276"/>
      <c r="P207" s="2277"/>
    </row>
    <row r="208" spans="1:16" ht="18.75" outlineLevel="1">
      <c r="B208" s="504"/>
      <c r="C208" s="714"/>
      <c r="D208" s="550"/>
      <c r="E208" s="550"/>
      <c r="F208" s="550"/>
      <c r="G208" s="550"/>
      <c r="H208" s="550"/>
      <c r="I208" s="550"/>
      <c r="J208" s="550"/>
      <c r="K208" s="550"/>
      <c r="L208" s="550"/>
      <c r="M208" s="550"/>
      <c r="N208" s="550"/>
      <c r="O208" s="550"/>
      <c r="P208" s="550"/>
    </row>
    <row r="209" spans="2:16" ht="18.75" outlineLevel="1">
      <c r="B209" s="504"/>
      <c r="C209" s="714"/>
      <c r="D209" s="777" t="s">
        <v>1160</v>
      </c>
      <c r="E209" s="550"/>
      <c r="F209" s="550"/>
      <c r="G209" s="550"/>
      <c r="H209" s="550"/>
      <c r="I209" s="550"/>
      <c r="J209" s="550"/>
      <c r="K209" s="550"/>
      <c r="L209" s="550"/>
      <c r="M209" s="550"/>
      <c r="N209" s="550"/>
      <c r="O209" s="550"/>
      <c r="P209" s="550"/>
    </row>
    <row r="210" spans="2:16" ht="18.75" outlineLevel="1">
      <c r="B210" s="504"/>
      <c r="C210" s="718" t="s">
        <v>999</v>
      </c>
      <c r="D210" s="718"/>
      <c r="E210" s="718"/>
      <c r="F210" s="550"/>
      <c r="G210" s="550"/>
      <c r="H210" s="550"/>
      <c r="I210" s="550"/>
      <c r="J210" s="550"/>
      <c r="K210" s="550"/>
      <c r="L210" s="550"/>
      <c r="M210" s="550"/>
      <c r="N210" s="550"/>
      <c r="O210" s="550"/>
      <c r="P210" s="550"/>
    </row>
    <row r="211" spans="2:16" ht="21.75" customHeight="1" outlineLevel="1">
      <c r="B211" s="504"/>
      <c r="C211" s="2279" t="s">
        <v>1290</v>
      </c>
      <c r="D211" s="2279"/>
      <c r="E211" s="2279"/>
      <c r="F211" s="777" t="s">
        <v>1165</v>
      </c>
      <c r="G211" s="550"/>
      <c r="H211" s="550"/>
      <c r="I211" s="550"/>
      <c r="J211" s="550"/>
      <c r="K211" s="550"/>
      <c r="L211" s="550"/>
      <c r="M211" s="550"/>
      <c r="N211" s="550"/>
      <c r="O211" s="550"/>
      <c r="P211" s="550"/>
    </row>
    <row r="212" spans="2:16" ht="21.75" customHeight="1" outlineLevel="1">
      <c r="B212" s="504"/>
      <c r="C212" s="2279" t="s">
        <v>1291</v>
      </c>
      <c r="D212" s="2279"/>
      <c r="E212" s="2279"/>
      <c r="F212" s="777" t="s">
        <v>1165</v>
      </c>
      <c r="G212" s="550"/>
      <c r="H212" s="550"/>
      <c r="I212" s="550"/>
      <c r="J212" s="550"/>
      <c r="K212" s="550"/>
      <c r="L212" s="550"/>
      <c r="M212" s="550"/>
      <c r="N212" s="550"/>
      <c r="O212" s="550"/>
      <c r="P212" s="550"/>
    </row>
    <row r="213" spans="2:16" ht="18.75" outlineLevel="1">
      <c r="B213" s="504"/>
      <c r="C213" s="847" t="s">
        <v>1292</v>
      </c>
      <c r="D213" s="718"/>
      <c r="E213" s="718"/>
      <c r="F213" s="550"/>
      <c r="G213" s="550"/>
      <c r="H213" s="550"/>
      <c r="I213" s="550"/>
      <c r="J213" s="550"/>
      <c r="K213" s="550"/>
      <c r="L213" s="550"/>
      <c r="M213" s="550"/>
      <c r="N213" s="550"/>
      <c r="O213" s="550"/>
      <c r="P213" s="550"/>
    </row>
    <row r="214" spans="2:16" ht="18.75" outlineLevel="1">
      <c r="B214" s="504"/>
      <c r="C214" s="719" t="s">
        <v>1000</v>
      </c>
      <c r="D214" s="718"/>
      <c r="E214" s="718"/>
      <c r="F214" s="550"/>
      <c r="G214" s="550"/>
      <c r="H214" s="550"/>
      <c r="I214" s="550"/>
      <c r="J214" s="550"/>
      <c r="K214" s="550"/>
      <c r="L214" s="550"/>
      <c r="M214" s="550"/>
      <c r="N214" s="550"/>
      <c r="O214" s="550"/>
      <c r="P214" s="550"/>
    </row>
    <row r="215" spans="2:16" ht="18.75" outlineLevel="1">
      <c r="B215" s="504"/>
      <c r="C215" s="550"/>
      <c r="D215" s="750"/>
      <c r="E215" s="550"/>
      <c r="F215" s="550"/>
      <c r="G215" s="550"/>
      <c r="H215" s="550"/>
      <c r="I215" s="550"/>
      <c r="J215" s="550"/>
      <c r="K215" s="550"/>
      <c r="L215" s="550"/>
      <c r="M215" s="550"/>
      <c r="N215" s="550"/>
      <c r="O215" s="550"/>
      <c r="P215" s="550"/>
    </row>
    <row r="216" spans="2:16" ht="18.75" outlineLevel="1">
      <c r="B216" s="504"/>
      <c r="C216" s="550" t="s">
        <v>1585</v>
      </c>
      <c r="D216" s="1040">
        <v>0.9</v>
      </c>
      <c r="E216" s="550"/>
      <c r="F216" s="550"/>
      <c r="G216" s="550"/>
      <c r="H216" s="550"/>
      <c r="I216" s="550"/>
      <c r="J216" s="550"/>
      <c r="K216" s="550"/>
      <c r="L216" s="550"/>
      <c r="M216" s="550"/>
      <c r="N216" s="550"/>
      <c r="O216" s="550"/>
      <c r="P216" s="550"/>
    </row>
    <row r="217" spans="2:16" ht="18.75" outlineLevel="1">
      <c r="B217" s="504"/>
      <c r="C217" s="550" t="s">
        <v>1584</v>
      </c>
      <c r="D217" s="935">
        <v>0.79</v>
      </c>
      <c r="E217" s="722"/>
      <c r="F217" s="550"/>
      <c r="G217" s="550"/>
      <c r="H217" s="550"/>
      <c r="I217" s="550"/>
      <c r="J217" s="550"/>
      <c r="K217" s="550"/>
      <c r="L217" s="550"/>
      <c r="M217" s="550"/>
      <c r="N217" s="550"/>
      <c r="O217" s="550"/>
      <c r="P217" s="550"/>
    </row>
    <row r="218" spans="2:16" ht="18.75" outlineLevel="1">
      <c r="B218" s="504"/>
      <c r="C218" s="550" t="s">
        <v>1498</v>
      </c>
      <c r="D218" s="942">
        <v>0.8</v>
      </c>
      <c r="E218" s="722"/>
      <c r="F218" s="550"/>
      <c r="G218" s="550"/>
      <c r="H218" s="550"/>
      <c r="I218" s="550"/>
      <c r="J218" s="550"/>
      <c r="K218" s="550"/>
      <c r="L218" s="550"/>
      <c r="M218" s="550"/>
      <c r="N218" s="550"/>
      <c r="O218" s="550"/>
      <c r="P218" s="550"/>
    </row>
    <row r="219" spans="2:16" ht="18.75" outlineLevel="1">
      <c r="B219" s="504"/>
      <c r="C219" s="550" t="s">
        <v>1408</v>
      </c>
      <c r="D219" s="935" t="s">
        <v>1405</v>
      </c>
      <c r="E219" s="722"/>
      <c r="F219" s="550"/>
      <c r="G219" s="550"/>
      <c r="H219" s="550"/>
      <c r="I219" s="550"/>
      <c r="J219" s="550"/>
      <c r="K219" s="550"/>
      <c r="L219" s="550"/>
      <c r="M219" s="550"/>
      <c r="N219" s="550"/>
      <c r="O219" s="550"/>
      <c r="P219" s="550"/>
    </row>
    <row r="220" spans="2:16" ht="18.75" outlineLevel="1">
      <c r="B220" s="504"/>
      <c r="C220" s="550" t="s">
        <v>1407</v>
      </c>
      <c r="D220" s="941" t="s">
        <v>1406</v>
      </c>
      <c r="E220" s="722"/>
      <c r="F220" s="550"/>
      <c r="G220" s="550"/>
      <c r="H220" s="550"/>
      <c r="I220" s="550"/>
      <c r="J220" s="550"/>
      <c r="K220" s="550"/>
      <c r="L220" s="550"/>
      <c r="M220" s="550"/>
      <c r="N220" s="550"/>
      <c r="O220" s="550"/>
      <c r="P220" s="550"/>
    </row>
    <row r="221" spans="2:16" ht="18.75" outlineLevel="1">
      <c r="B221" s="504"/>
      <c r="C221" s="720" t="s">
        <v>1477</v>
      </c>
      <c r="D221" s="775"/>
      <c r="E221" s="722"/>
      <c r="F221" s="550"/>
      <c r="G221" s="550"/>
      <c r="H221" s="550"/>
      <c r="I221" s="550"/>
      <c r="J221" s="550"/>
      <c r="K221" s="550"/>
      <c r="L221" s="550"/>
      <c r="M221" s="550"/>
      <c r="N221" s="550"/>
      <c r="O221" s="550"/>
      <c r="P221" s="550"/>
    </row>
    <row r="222" spans="2:16" ht="18.75" outlineLevel="1">
      <c r="B222" s="504"/>
      <c r="C222" s="718" t="s">
        <v>1402</v>
      </c>
      <c r="D222" s="521"/>
      <c r="F222" s="550"/>
      <c r="G222" s="550"/>
      <c r="H222" s="550"/>
      <c r="I222" s="550"/>
      <c r="J222" s="550"/>
      <c r="K222" s="550"/>
      <c r="L222" s="550"/>
      <c r="M222" s="550"/>
      <c r="N222" s="550"/>
      <c r="O222" s="550"/>
      <c r="P222" s="550"/>
    </row>
    <row r="223" spans="2:16" ht="18.75" outlineLevel="1">
      <c r="B223" s="504"/>
      <c r="C223" s="936" t="s">
        <v>996</v>
      </c>
      <c r="D223" s="568">
        <f>CONVERT(65,"F","C")</f>
        <v>18.333333333333332</v>
      </c>
      <c r="E223" s="7" t="s">
        <v>16</v>
      </c>
      <c r="F223" s="550"/>
      <c r="G223" s="550"/>
      <c r="H223" s="550"/>
      <c r="I223" s="550"/>
      <c r="J223" s="550"/>
      <c r="K223" s="550"/>
      <c r="L223" s="550"/>
      <c r="M223" s="550"/>
      <c r="N223" s="550"/>
      <c r="O223" s="550"/>
      <c r="P223" s="550"/>
    </row>
    <row r="224" spans="2:16" ht="18.75" outlineLevel="1">
      <c r="B224" s="504"/>
      <c r="C224" s="936" t="s">
        <v>997</v>
      </c>
      <c r="D224" s="521"/>
      <c r="F224" s="550"/>
      <c r="G224" s="550"/>
      <c r="H224" s="550"/>
      <c r="I224" s="550"/>
      <c r="J224" s="550"/>
      <c r="K224" s="550"/>
      <c r="L224" s="550"/>
      <c r="M224" s="550"/>
      <c r="N224" s="550"/>
      <c r="O224" s="550"/>
      <c r="P224" s="550"/>
    </row>
    <row r="225" spans="2:16" ht="18.75" outlineLevel="1">
      <c r="B225" s="504"/>
      <c r="C225" s="716" t="s">
        <v>1468</v>
      </c>
      <c r="D225" s="751">
        <f>D156</f>
        <v>6.8</v>
      </c>
      <c r="E225" s="7" t="s">
        <v>556</v>
      </c>
      <c r="F225" s="550"/>
      <c r="G225" s="550"/>
      <c r="H225" s="550"/>
      <c r="I225" s="550"/>
      <c r="J225" s="550"/>
      <c r="K225" s="721"/>
      <c r="L225" s="550"/>
      <c r="M225" s="550"/>
      <c r="N225" s="550"/>
      <c r="O225" s="550"/>
      <c r="P225" s="550"/>
    </row>
    <row r="226" spans="2:16" ht="18.75" outlineLevel="1">
      <c r="B226" s="504"/>
      <c r="C226" s="716" t="s">
        <v>563</v>
      </c>
      <c r="D226" s="751">
        <f>D155</f>
        <v>-0.41428571428571404</v>
      </c>
      <c r="E226" s="7" t="s">
        <v>552</v>
      </c>
      <c r="F226" s="550"/>
      <c r="G226" s="550"/>
      <c r="H226" s="550"/>
      <c r="I226" s="550"/>
      <c r="J226" s="550"/>
      <c r="K226" s="550"/>
      <c r="L226" s="550"/>
      <c r="M226" s="550"/>
      <c r="N226" s="550"/>
      <c r="O226" s="550"/>
      <c r="P226" s="550"/>
    </row>
    <row r="227" spans="2:16" ht="18.75" outlineLevel="1">
      <c r="B227" s="504"/>
      <c r="C227" s="718" t="s">
        <v>1068</v>
      </c>
      <c r="D227" s="752"/>
      <c r="F227" s="550"/>
      <c r="G227" s="550"/>
      <c r="H227" s="550"/>
      <c r="I227" s="550"/>
      <c r="J227" s="550"/>
      <c r="K227" s="550"/>
      <c r="L227" s="550"/>
      <c r="M227" s="550"/>
      <c r="N227" s="550"/>
      <c r="O227" s="550"/>
      <c r="P227" s="550"/>
    </row>
    <row r="228" spans="2:16" ht="18.75" outlineLevel="1">
      <c r="B228" s="504"/>
      <c r="C228" s="716" t="s">
        <v>996</v>
      </c>
      <c r="D228" s="751">
        <v>0</v>
      </c>
      <c r="E228" s="7" t="s">
        <v>1007</v>
      </c>
      <c r="F228" s="550"/>
      <c r="G228" s="550"/>
      <c r="H228" s="550"/>
      <c r="I228" s="550"/>
      <c r="J228" s="550"/>
      <c r="K228" s="550"/>
      <c r="L228" s="550"/>
      <c r="M228" s="550"/>
      <c r="N228" s="550"/>
      <c r="O228" s="550"/>
      <c r="P228" s="550"/>
    </row>
    <row r="229" spans="2:16" ht="18.75" outlineLevel="1">
      <c r="B229" s="504"/>
      <c r="C229" s="716" t="s">
        <v>997</v>
      </c>
      <c r="D229" s="751">
        <v>2.2351999999999999</v>
      </c>
      <c r="E229" s="7" t="s">
        <v>1143</v>
      </c>
      <c r="F229" s="712" t="s">
        <v>1476</v>
      </c>
      <c r="G229" s="550"/>
      <c r="H229" s="550"/>
      <c r="I229" s="777" t="s">
        <v>1161</v>
      </c>
      <c r="J229" s="550"/>
      <c r="K229" s="550"/>
      <c r="L229" s="550"/>
      <c r="M229" s="550"/>
      <c r="N229" s="550"/>
      <c r="O229" s="550"/>
      <c r="P229" s="550"/>
    </row>
    <row r="230" spans="2:16" ht="18.75" outlineLevel="1">
      <c r="B230" s="504"/>
      <c r="C230" s="716"/>
      <c r="D230" s="752"/>
      <c r="F230" s="712"/>
      <c r="G230" s="550"/>
      <c r="H230" s="550"/>
      <c r="I230" s="777"/>
      <c r="J230" s="550"/>
      <c r="K230" s="550"/>
      <c r="L230" s="550"/>
      <c r="M230" s="550"/>
      <c r="N230" s="550"/>
      <c r="O230" s="550"/>
      <c r="P230" s="550"/>
    </row>
    <row r="231" spans="2:16" ht="18.75" outlineLevel="1">
      <c r="B231" s="504"/>
      <c r="C231" s="718" t="s">
        <v>1401</v>
      </c>
      <c r="D231" s="753">
        <v>0.06</v>
      </c>
      <c r="E231" s="7" t="s">
        <v>1005</v>
      </c>
      <c r="F231" s="591" t="s">
        <v>1210</v>
      </c>
      <c r="G231" s="550"/>
      <c r="H231" s="550"/>
      <c r="I231" s="550"/>
      <c r="J231" s="550"/>
      <c r="K231" s="550"/>
      <c r="L231" s="550"/>
      <c r="M231" s="550"/>
      <c r="N231" s="550"/>
      <c r="O231" s="550"/>
      <c r="P231" s="550"/>
    </row>
    <row r="232" spans="2:16" ht="18.75" outlineLevel="1">
      <c r="B232" s="504"/>
      <c r="C232" s="954"/>
      <c r="G232" s="550"/>
      <c r="H232" s="550"/>
      <c r="I232" s="550"/>
      <c r="J232" s="550"/>
      <c r="K232" s="550"/>
      <c r="L232" s="550"/>
      <c r="M232" s="550"/>
      <c r="N232" s="550"/>
      <c r="O232" s="550"/>
      <c r="P232" s="550"/>
    </row>
    <row r="233" spans="2:16" ht="18.75" outlineLevel="1">
      <c r="B233" s="504"/>
      <c r="C233" s="718" t="s">
        <v>1191</v>
      </c>
      <c r="F233" s="712"/>
      <c r="G233" s="550"/>
      <c r="H233" s="550"/>
      <c r="I233" s="550"/>
      <c r="J233" s="550"/>
      <c r="K233" s="550"/>
      <c r="L233" s="550"/>
      <c r="M233" s="550"/>
      <c r="N233" s="550"/>
      <c r="O233" s="550"/>
      <c r="P233" s="550"/>
    </row>
    <row r="234" spans="2:16" ht="18.75" outlineLevel="1">
      <c r="B234" s="504"/>
      <c r="C234" s="716" t="s">
        <v>996</v>
      </c>
      <c r="D234" s="751">
        <v>1</v>
      </c>
      <c r="E234" s="7" t="s">
        <v>1005</v>
      </c>
      <c r="F234" s="712"/>
      <c r="G234" s="550"/>
      <c r="H234" s="550"/>
      <c r="I234" s="550"/>
      <c r="J234" s="550"/>
      <c r="K234" s="550"/>
      <c r="L234" s="550"/>
      <c r="M234" s="550"/>
      <c r="N234" s="550"/>
      <c r="O234" s="550"/>
      <c r="P234" s="550"/>
    </row>
    <row r="235" spans="2:16" ht="18.75" outlineLevel="1">
      <c r="B235" s="504"/>
      <c r="C235" s="716" t="s">
        <v>997</v>
      </c>
      <c r="D235" s="751">
        <v>2</v>
      </c>
      <c r="E235" s="7" t="s">
        <v>1005</v>
      </c>
      <c r="F235" s="712"/>
      <c r="G235" s="550"/>
      <c r="H235" s="550"/>
      <c r="I235" s="550"/>
      <c r="J235" s="550"/>
      <c r="K235" s="550"/>
      <c r="L235" s="550"/>
      <c r="M235" s="550"/>
      <c r="N235" s="550"/>
      <c r="O235" s="550"/>
      <c r="P235" s="550"/>
    </row>
    <row r="236" spans="2:16" ht="18.75" outlineLevel="1">
      <c r="B236" s="504"/>
      <c r="C236" s="716"/>
      <c r="D236" s="813"/>
      <c r="F236" s="712"/>
      <c r="G236" s="550"/>
      <c r="H236" s="550"/>
      <c r="I236" s="550"/>
      <c r="J236" s="550"/>
      <c r="K236" s="550"/>
      <c r="L236" s="550"/>
      <c r="M236" s="550"/>
      <c r="N236" s="550"/>
      <c r="O236" s="550"/>
      <c r="P236" s="550"/>
    </row>
    <row r="237" spans="2:16" ht="18.75" outlineLevel="1">
      <c r="B237" s="504"/>
      <c r="C237" s="778" t="s">
        <v>1167</v>
      </c>
      <c r="D237" s="779"/>
      <c r="E237" s="772"/>
      <c r="F237" s="780"/>
      <c r="G237" s="780"/>
      <c r="H237" s="780"/>
      <c r="I237" s="780"/>
      <c r="J237" s="780"/>
      <c r="K237" s="780"/>
      <c r="L237" s="780"/>
      <c r="M237" s="780"/>
      <c r="N237" s="780"/>
      <c r="O237" s="780"/>
      <c r="P237" s="780"/>
    </row>
    <row r="238" spans="2:16" ht="18.75" outlineLevel="1">
      <c r="B238" s="504"/>
      <c r="C238" s="781"/>
      <c r="D238" s="782"/>
      <c r="E238" s="577"/>
      <c r="F238" s="783"/>
      <c r="G238" s="550"/>
      <c r="H238" s="550"/>
      <c r="I238" s="550"/>
      <c r="J238" s="550"/>
      <c r="K238" s="550"/>
      <c r="L238" s="550"/>
      <c r="M238" s="550"/>
      <c r="N238" s="550"/>
      <c r="O238" s="550"/>
      <c r="P238" s="550"/>
    </row>
    <row r="239" spans="2:16" ht="18.75" outlineLevel="1">
      <c r="B239" s="504"/>
      <c r="C239" s="781"/>
      <c r="D239" s="782"/>
      <c r="E239" s="577"/>
      <c r="F239" s="783"/>
      <c r="G239" s="550"/>
      <c r="H239" s="550"/>
      <c r="I239" s="550"/>
      <c r="J239" s="550"/>
      <c r="K239" s="550"/>
      <c r="L239" s="550"/>
      <c r="M239" s="550"/>
      <c r="N239" s="550"/>
      <c r="O239" s="550"/>
      <c r="P239" s="550"/>
    </row>
    <row r="240" spans="2:16" ht="18.75" outlineLevel="1">
      <c r="B240" s="504"/>
      <c r="C240" s="550" t="s">
        <v>999</v>
      </c>
      <c r="D240" s="752"/>
      <c r="F240" s="712"/>
      <c r="G240" s="550"/>
      <c r="H240" s="550"/>
      <c r="I240" s="550"/>
      <c r="J240" s="550"/>
      <c r="K240" s="550"/>
      <c r="L240" s="550"/>
      <c r="M240" s="550"/>
      <c r="N240" s="550"/>
      <c r="O240" s="550"/>
      <c r="P240" s="550"/>
    </row>
    <row r="241" spans="2:16" ht="18.75" outlineLevel="1">
      <c r="B241" s="504"/>
      <c r="C241" s="7" t="s">
        <v>1169</v>
      </c>
      <c r="F241" s="712"/>
      <c r="G241" s="550"/>
      <c r="H241" s="550"/>
      <c r="I241" s="550"/>
      <c r="J241" s="550"/>
      <c r="K241" s="550"/>
      <c r="L241" s="550"/>
      <c r="M241" s="550"/>
      <c r="N241" s="550"/>
      <c r="O241" s="550"/>
      <c r="P241" s="550"/>
    </row>
    <row r="242" spans="2:16" ht="18.75" outlineLevel="1">
      <c r="B242" s="504"/>
      <c r="C242" s="573" t="s">
        <v>1170</v>
      </c>
      <c r="F242" s="776" t="s">
        <v>1168</v>
      </c>
      <c r="G242" s="550"/>
      <c r="H242" s="550"/>
      <c r="I242" s="550"/>
      <c r="J242" s="550"/>
      <c r="K242" s="550"/>
      <c r="L242" s="550"/>
      <c r="M242" s="550"/>
      <c r="N242" s="550"/>
      <c r="O242" s="550"/>
      <c r="P242" s="550"/>
    </row>
    <row r="243" spans="2:16" ht="18.75" outlineLevel="1">
      <c r="B243" s="504"/>
      <c r="C243" s="573" t="s">
        <v>1293</v>
      </c>
      <c r="D243" s="782"/>
      <c r="E243" s="577"/>
      <c r="F243" s="783"/>
      <c r="G243" s="550"/>
      <c r="H243" s="550"/>
      <c r="I243" s="550"/>
      <c r="J243" s="550"/>
      <c r="K243" s="550"/>
      <c r="L243" s="550"/>
      <c r="M243" s="550"/>
      <c r="N243" s="550"/>
      <c r="O243" s="550"/>
      <c r="P243" s="550"/>
    </row>
    <row r="244" spans="2:16" ht="18.75" outlineLevel="1">
      <c r="B244" s="504"/>
      <c r="C244" s="573"/>
      <c r="D244" s="782"/>
      <c r="E244" s="577"/>
      <c r="F244" s="783"/>
      <c r="G244" s="550"/>
      <c r="H244" s="550"/>
      <c r="I244" s="550"/>
      <c r="J244" s="550"/>
      <c r="K244" s="550"/>
      <c r="L244" s="550"/>
      <c r="M244" s="550"/>
      <c r="N244" s="550"/>
      <c r="O244" s="550"/>
      <c r="P244" s="550"/>
    </row>
    <row r="245" spans="2:16" ht="18.75" outlineLevel="1">
      <c r="B245" s="504"/>
      <c r="C245" s="781" t="s">
        <v>1283</v>
      </c>
      <c r="D245" s="752"/>
      <c r="F245" s="712"/>
      <c r="G245" s="550"/>
      <c r="H245" s="550"/>
      <c r="I245" s="550"/>
      <c r="J245" s="550"/>
      <c r="K245" s="550"/>
      <c r="L245" s="550"/>
      <c r="M245" s="550"/>
      <c r="N245" s="550"/>
      <c r="O245" s="550"/>
      <c r="P245" s="550"/>
    </row>
    <row r="246" spans="2:16" ht="18.75" outlineLevel="1">
      <c r="B246" s="504"/>
      <c r="C246" s="576" t="s">
        <v>1173</v>
      </c>
      <c r="D246" s="784">
        <v>150</v>
      </c>
      <c r="E246" s="7" t="s">
        <v>487</v>
      </c>
      <c r="F246" s="712"/>
      <c r="G246" s="550"/>
      <c r="H246" s="550"/>
      <c r="I246" s="550"/>
      <c r="J246" s="550"/>
      <c r="K246" s="550"/>
      <c r="L246" s="550"/>
      <c r="M246" s="550"/>
      <c r="N246" s="550"/>
      <c r="O246" s="550"/>
      <c r="P246" s="550"/>
    </row>
    <row r="247" spans="2:16" ht="30" customHeight="1" outlineLevel="1">
      <c r="B247" s="504"/>
      <c r="D247" s="788" t="s">
        <v>1171</v>
      </c>
      <c r="E247" s="785" t="s">
        <v>1172</v>
      </c>
      <c r="G247" s="2278" t="s">
        <v>1561</v>
      </c>
      <c r="H247" s="2278"/>
      <c r="I247" s="550"/>
      <c r="J247" s="550"/>
      <c r="K247" s="550"/>
      <c r="L247" s="550"/>
      <c r="M247" s="550"/>
      <c r="N247" s="550"/>
      <c r="O247" s="550"/>
      <c r="P247" s="550"/>
    </row>
    <row r="248" spans="2:16" ht="18.75" outlineLevel="1">
      <c r="B248" s="504"/>
      <c r="C248" s="573"/>
      <c r="D248" s="786">
        <v>2</v>
      </c>
      <c r="E248" s="789">
        <v>2.21</v>
      </c>
      <c r="F248" s="712"/>
      <c r="G248" s="550" t="s">
        <v>1482</v>
      </c>
      <c r="H248" s="550" t="s">
        <v>1174</v>
      </c>
      <c r="I248" s="550" t="s">
        <v>1175</v>
      </c>
      <c r="J248" s="550" t="s">
        <v>1483</v>
      </c>
      <c r="K248" s="550" t="s">
        <v>183</v>
      </c>
      <c r="L248" s="550"/>
      <c r="M248" s="550"/>
      <c r="N248" s="550"/>
      <c r="O248" s="550"/>
      <c r="P248" s="550"/>
    </row>
    <row r="249" spans="2:16" ht="18.75" outlineLevel="1">
      <c r="B249" s="504"/>
      <c r="C249" s="573"/>
      <c r="D249" s="786">
        <v>2.5</v>
      </c>
      <c r="E249" s="789">
        <v>2.97</v>
      </c>
      <c r="F249" s="712"/>
      <c r="G249" s="787" cm="1">
        <f t="array" ref="G249:K249">LINEST(E248:E262,D248:D262^{1,2,3,4})</f>
        <v>9.635982146602925E-5</v>
      </c>
      <c r="H249" s="787">
        <v>-5.8709287195447607E-3</v>
      </c>
      <c r="I249" s="787">
        <v>0.16840751306961496</v>
      </c>
      <c r="J249" s="787">
        <v>-2.7401236662243211E-2</v>
      </c>
      <c r="K249" s="787">
        <v>2.0484919078065644</v>
      </c>
      <c r="L249" s="550"/>
      <c r="M249" s="550"/>
      <c r="N249" s="550"/>
      <c r="O249" s="550"/>
      <c r="P249" s="550"/>
    </row>
    <row r="250" spans="2:16" ht="18.75" outlineLevel="1">
      <c r="B250" s="504"/>
      <c r="C250" s="573"/>
      <c r="D250" s="786">
        <v>3</v>
      </c>
      <c r="E250" s="789">
        <v>3.37</v>
      </c>
      <c r="F250" s="712"/>
      <c r="G250" s="550"/>
      <c r="H250" s="550"/>
      <c r="I250" s="550"/>
      <c r="J250" s="550"/>
      <c r="K250" s="550"/>
      <c r="L250" s="550"/>
      <c r="M250" s="550"/>
      <c r="N250" s="550"/>
      <c r="O250" s="550"/>
      <c r="P250" s="550"/>
    </row>
    <row r="251" spans="2:16" ht="18.75" outlineLevel="1">
      <c r="B251" s="504"/>
      <c r="C251" s="781"/>
      <c r="D251" s="786">
        <v>4</v>
      </c>
      <c r="E251" s="789">
        <v>4.68</v>
      </c>
      <c r="F251" s="712"/>
      <c r="G251" s="550"/>
      <c r="H251" s="550"/>
      <c r="I251" s="550"/>
      <c r="J251" s="550"/>
      <c r="K251" s="550"/>
      <c r="L251" s="550"/>
      <c r="M251" s="550"/>
      <c r="N251" s="550"/>
      <c r="O251" s="550"/>
      <c r="P251" s="550"/>
    </row>
    <row r="252" spans="2:16" ht="18.75" outlineLevel="1">
      <c r="B252" s="504"/>
      <c r="C252" s="781"/>
      <c r="D252" s="786">
        <v>6</v>
      </c>
      <c r="E252" s="789">
        <v>7.03</v>
      </c>
      <c r="F252" s="712"/>
      <c r="G252" s="550"/>
      <c r="H252" s="550"/>
      <c r="I252" s="550"/>
      <c r="J252" s="550"/>
      <c r="K252" s="550"/>
      <c r="L252" s="550"/>
      <c r="M252" s="550"/>
      <c r="N252" s="550"/>
      <c r="O252" s="550"/>
      <c r="P252" s="550"/>
    </row>
    <row r="253" spans="2:16" ht="18.75" outlineLevel="1">
      <c r="B253" s="504"/>
      <c r="C253" s="781"/>
      <c r="D253" s="786">
        <v>8</v>
      </c>
      <c r="E253" s="789">
        <v>10.3</v>
      </c>
      <c r="F253" s="712"/>
      <c r="G253" s="550"/>
      <c r="H253" s="550"/>
      <c r="I253" s="550"/>
      <c r="J253" s="550"/>
      <c r="K253" s="550"/>
      <c r="L253" s="550"/>
      <c r="M253" s="550"/>
      <c r="N253" s="550"/>
      <c r="O253" s="550"/>
      <c r="P253" s="550"/>
    </row>
    <row r="254" spans="2:16" ht="18.75" outlineLevel="1">
      <c r="B254" s="504"/>
      <c r="C254" s="781"/>
      <c r="D254" s="786">
        <v>10</v>
      </c>
      <c r="E254" s="789">
        <v>13.8</v>
      </c>
      <c r="F254" s="712"/>
      <c r="G254" s="550"/>
      <c r="H254" s="550"/>
      <c r="I254" s="550"/>
      <c r="J254" s="550"/>
      <c r="K254" s="550"/>
      <c r="L254" s="550"/>
      <c r="M254" s="550"/>
      <c r="N254" s="550"/>
      <c r="O254" s="550"/>
      <c r="P254" s="550"/>
    </row>
    <row r="255" spans="2:16" ht="18.75" outlineLevel="1">
      <c r="B255" s="504"/>
      <c r="C255" s="781"/>
      <c r="D255" s="786">
        <v>12</v>
      </c>
      <c r="E255" s="789">
        <v>16.100000000000001</v>
      </c>
      <c r="F255" s="712"/>
      <c r="G255" s="550"/>
      <c r="H255" s="550"/>
      <c r="I255" s="550"/>
      <c r="J255" s="550"/>
      <c r="K255" s="550"/>
      <c r="L255" s="550"/>
      <c r="M255" s="550"/>
      <c r="N255" s="550"/>
      <c r="O255" s="550"/>
      <c r="P255" s="550"/>
    </row>
    <row r="256" spans="2:16" ht="18.75" outlineLevel="1">
      <c r="B256" s="504"/>
      <c r="C256" s="781"/>
      <c r="D256" s="786">
        <v>14</v>
      </c>
      <c r="E256" s="789">
        <v>22.8</v>
      </c>
      <c r="F256" s="712"/>
      <c r="G256" s="550"/>
      <c r="H256" s="550"/>
      <c r="I256" s="550"/>
      <c r="J256" s="550"/>
      <c r="K256" s="550"/>
      <c r="L256" s="550"/>
      <c r="M256" s="550"/>
      <c r="N256" s="550"/>
      <c r="O256" s="550"/>
      <c r="P256" s="550"/>
    </row>
    <row r="257" spans="2:16" ht="18.75" outlineLevel="1">
      <c r="B257" s="504"/>
      <c r="C257" s="781"/>
      <c r="D257" s="786">
        <v>16</v>
      </c>
      <c r="E257" s="789">
        <v>27.6</v>
      </c>
      <c r="F257" s="712"/>
      <c r="G257" s="550"/>
      <c r="H257" s="550"/>
      <c r="I257" s="550"/>
      <c r="J257" s="550"/>
      <c r="K257" s="550"/>
      <c r="L257" s="550"/>
      <c r="M257" s="550"/>
      <c r="N257" s="550"/>
      <c r="O257" s="550"/>
      <c r="P257" s="550"/>
    </row>
    <row r="258" spans="2:16" ht="18.75" outlineLevel="1">
      <c r="B258" s="504"/>
      <c r="C258" s="781"/>
      <c r="D258" s="786">
        <v>18</v>
      </c>
      <c r="E258" s="789">
        <v>31.7</v>
      </c>
      <c r="F258" s="712"/>
      <c r="G258" s="550"/>
      <c r="H258" s="550"/>
      <c r="I258" s="550"/>
      <c r="J258" s="550"/>
      <c r="K258" s="550"/>
      <c r="L258" s="550"/>
      <c r="M258" s="550"/>
      <c r="N258" s="550"/>
      <c r="O258" s="550"/>
      <c r="P258" s="550"/>
    </row>
    <row r="259" spans="2:16" ht="18.75" outlineLevel="1">
      <c r="B259" s="504"/>
      <c r="C259" s="781"/>
      <c r="D259" s="786">
        <v>20</v>
      </c>
      <c r="E259" s="789">
        <v>37.700000000000003</v>
      </c>
      <c r="F259" s="712"/>
      <c r="G259" s="550"/>
      <c r="H259" s="550"/>
      <c r="I259" s="550"/>
      <c r="J259" s="550"/>
      <c r="K259" s="550"/>
      <c r="L259" s="550"/>
      <c r="M259" s="550"/>
      <c r="N259" s="550"/>
      <c r="O259" s="550"/>
      <c r="P259" s="550"/>
    </row>
    <row r="260" spans="2:16" ht="18.75" outlineLevel="1">
      <c r="B260" s="504"/>
      <c r="C260" s="781"/>
      <c r="D260" s="786">
        <v>24</v>
      </c>
      <c r="E260" s="789">
        <v>49.1</v>
      </c>
      <c r="F260" s="712"/>
      <c r="G260" s="550"/>
      <c r="H260" s="550"/>
      <c r="I260" s="550"/>
      <c r="J260" s="550"/>
      <c r="K260" s="550"/>
      <c r="L260" s="550"/>
      <c r="M260" s="550"/>
      <c r="N260" s="550"/>
      <c r="O260" s="550"/>
      <c r="P260" s="550"/>
    </row>
    <row r="261" spans="2:16" ht="18.75" outlineLevel="1">
      <c r="B261" s="504"/>
      <c r="C261" s="781"/>
      <c r="D261" s="786">
        <v>30</v>
      </c>
      <c r="E261" s="789">
        <v>72.2</v>
      </c>
      <c r="F261" s="712"/>
      <c r="G261" s="550"/>
      <c r="H261" s="550"/>
      <c r="I261" s="550"/>
      <c r="J261" s="550"/>
      <c r="K261" s="550"/>
      <c r="L261" s="550"/>
      <c r="M261" s="550"/>
      <c r="N261" s="550"/>
      <c r="O261" s="550"/>
      <c r="P261" s="550"/>
    </row>
    <row r="262" spans="2:16" ht="18.75" outlineLevel="1">
      <c r="B262" s="504"/>
      <c r="C262" s="781"/>
      <c r="D262" s="786">
        <v>36</v>
      </c>
      <c r="E262" s="789">
        <v>107.3</v>
      </c>
      <c r="F262" s="712"/>
      <c r="G262" s="550"/>
      <c r="H262" s="550"/>
      <c r="I262" s="550"/>
      <c r="J262" s="550"/>
      <c r="K262" s="550"/>
      <c r="L262" s="550"/>
      <c r="M262" s="550"/>
      <c r="N262" s="550"/>
      <c r="O262" s="550"/>
      <c r="P262" s="550"/>
    </row>
    <row r="263" spans="2:16" ht="18.75" outlineLevel="1">
      <c r="B263" s="504"/>
      <c r="C263" s="714" t="s">
        <v>1214</v>
      </c>
      <c r="D263" s="776"/>
      <c r="F263" s="712"/>
      <c r="G263" s="550"/>
      <c r="H263" s="550"/>
      <c r="I263" s="550"/>
      <c r="J263" s="550"/>
      <c r="K263" s="550"/>
      <c r="L263" s="550"/>
      <c r="M263" s="550"/>
      <c r="N263" s="550"/>
      <c r="O263" s="550"/>
      <c r="P263" s="550"/>
    </row>
    <row r="264" spans="2:16" ht="30" outlineLevel="1">
      <c r="B264" s="504"/>
      <c r="C264" s="790" t="s">
        <v>1157</v>
      </c>
      <c r="D264" s="786" t="s">
        <v>1159</v>
      </c>
      <c r="E264" s="786" t="s">
        <v>1403</v>
      </c>
      <c r="F264" s="712"/>
      <c r="G264" s="550"/>
      <c r="H264" s="550"/>
      <c r="I264" s="550"/>
      <c r="J264" s="550"/>
      <c r="K264" s="550"/>
      <c r="L264" s="550"/>
      <c r="M264" s="550"/>
      <c r="N264" s="550"/>
      <c r="O264" s="550"/>
      <c r="P264" s="550"/>
    </row>
    <row r="265" spans="2:16" ht="18.75" outlineLevel="1">
      <c r="B265" s="504"/>
      <c r="C265" s="791">
        <f>1/8</f>
        <v>0.125</v>
      </c>
      <c r="D265" s="786">
        <v>0.40500000000000003</v>
      </c>
      <c r="E265" s="792">
        <f>CONVERT(D265,"in","mm")</f>
        <v>10.286999999999999</v>
      </c>
      <c r="F265" s="712"/>
      <c r="G265" s="550"/>
      <c r="H265" s="550"/>
      <c r="I265" s="550"/>
      <c r="J265" s="550"/>
      <c r="K265" s="550"/>
      <c r="L265" s="550"/>
      <c r="M265" s="550"/>
      <c r="N265" s="550"/>
      <c r="O265" s="550"/>
      <c r="P265" s="550"/>
    </row>
    <row r="266" spans="2:16" ht="18.75" outlineLevel="1">
      <c r="B266" s="504"/>
      <c r="C266" s="790">
        <f>1/4</f>
        <v>0.25</v>
      </c>
      <c r="D266" s="786">
        <v>0.54</v>
      </c>
      <c r="E266" s="792">
        <f t="shared" ref="E266:E285" si="3">CONVERT(D266,"in","mm")</f>
        <v>13.716000000000001</v>
      </c>
      <c r="F266" s="712"/>
      <c r="G266" s="550"/>
      <c r="H266" s="550"/>
      <c r="I266" s="550"/>
      <c r="J266" s="550"/>
      <c r="K266" s="550"/>
      <c r="L266" s="550"/>
      <c r="M266" s="550"/>
      <c r="N266" s="550"/>
      <c r="O266" s="550"/>
      <c r="P266" s="550"/>
    </row>
    <row r="267" spans="2:16" ht="18.75" outlineLevel="1">
      <c r="B267" s="504"/>
      <c r="C267" s="790">
        <f>3/8</f>
        <v>0.375</v>
      </c>
      <c r="D267" s="786">
        <v>0.67500000000000004</v>
      </c>
      <c r="E267" s="792">
        <f t="shared" si="3"/>
        <v>17.145</v>
      </c>
      <c r="F267" s="712"/>
      <c r="G267" s="550"/>
      <c r="H267" s="550"/>
      <c r="I267" s="550"/>
      <c r="J267" s="550"/>
      <c r="K267" s="550"/>
      <c r="L267" s="550"/>
      <c r="M267" s="550"/>
      <c r="N267" s="550"/>
      <c r="O267" s="550"/>
      <c r="P267" s="550"/>
    </row>
    <row r="268" spans="2:16" ht="18.75" outlineLevel="1">
      <c r="B268" s="504"/>
      <c r="C268" s="790">
        <f>1/2</f>
        <v>0.5</v>
      </c>
      <c r="D268" s="786">
        <v>0.84</v>
      </c>
      <c r="E268" s="792">
        <f t="shared" si="3"/>
        <v>21.336000000000002</v>
      </c>
      <c r="F268" s="712"/>
      <c r="G268" s="550"/>
      <c r="H268" s="550"/>
      <c r="I268" s="550"/>
      <c r="J268" s="550"/>
      <c r="K268" s="550"/>
      <c r="L268" s="550"/>
      <c r="M268" s="550"/>
      <c r="N268" s="550"/>
      <c r="O268" s="550"/>
      <c r="P268" s="550"/>
    </row>
    <row r="269" spans="2:16" ht="18.75" outlineLevel="1">
      <c r="B269" s="504"/>
      <c r="C269" s="790">
        <f>3/4</f>
        <v>0.75</v>
      </c>
      <c r="D269" s="786">
        <v>1.05</v>
      </c>
      <c r="E269" s="792">
        <f t="shared" si="3"/>
        <v>26.669999999999998</v>
      </c>
      <c r="F269" s="712"/>
      <c r="G269" s="550"/>
      <c r="H269" s="550"/>
      <c r="I269" s="550"/>
      <c r="J269" s="550"/>
      <c r="K269" s="550"/>
      <c r="L269" s="550"/>
      <c r="M269" s="550"/>
      <c r="N269" s="550"/>
      <c r="O269" s="550"/>
      <c r="P269" s="550"/>
    </row>
    <row r="270" spans="2:16" ht="18.75" outlineLevel="1">
      <c r="B270" s="504"/>
      <c r="C270" s="790">
        <v>1</v>
      </c>
      <c r="D270" s="786">
        <v>1.3149999999999999</v>
      </c>
      <c r="E270" s="792">
        <f t="shared" si="3"/>
        <v>33.401000000000003</v>
      </c>
      <c r="F270" s="712"/>
      <c r="G270" s="550"/>
      <c r="H270" s="550"/>
      <c r="I270" s="550"/>
      <c r="J270" s="550"/>
      <c r="K270" s="550"/>
      <c r="L270" s="550"/>
      <c r="M270" s="550"/>
      <c r="N270" s="550"/>
      <c r="O270" s="550"/>
      <c r="P270" s="550"/>
    </row>
    <row r="271" spans="2:16" ht="18.75" outlineLevel="1">
      <c r="B271" s="504"/>
      <c r="C271" s="790">
        <f>1+1/4</f>
        <v>1.25</v>
      </c>
      <c r="D271" s="786">
        <v>1.66</v>
      </c>
      <c r="E271" s="792">
        <f t="shared" si="3"/>
        <v>42.164000000000001</v>
      </c>
      <c r="F271" s="712"/>
      <c r="G271" s="550"/>
      <c r="H271" s="550"/>
      <c r="I271" s="550"/>
      <c r="J271" s="550"/>
      <c r="K271" s="550"/>
      <c r="L271" s="550"/>
      <c r="M271" s="550"/>
      <c r="N271" s="550"/>
      <c r="O271" s="550"/>
      <c r="P271" s="550"/>
    </row>
    <row r="272" spans="2:16" ht="18.75" outlineLevel="1">
      <c r="B272" s="504"/>
      <c r="C272" s="790">
        <f>1+1/2</f>
        <v>1.5</v>
      </c>
      <c r="D272" s="786">
        <v>1.9</v>
      </c>
      <c r="E272" s="792">
        <f t="shared" si="3"/>
        <v>48.26</v>
      </c>
      <c r="F272" s="712"/>
      <c r="G272" s="550"/>
      <c r="H272" s="550"/>
      <c r="I272" s="550"/>
      <c r="J272" s="550"/>
      <c r="K272" s="550"/>
      <c r="L272" s="550"/>
      <c r="M272" s="550"/>
      <c r="N272" s="550"/>
      <c r="O272" s="550"/>
      <c r="P272" s="550"/>
    </row>
    <row r="273" spans="2:16" ht="18.75" outlineLevel="1">
      <c r="B273" s="504"/>
      <c r="C273" s="790">
        <v>2</v>
      </c>
      <c r="D273" s="786">
        <v>2.375</v>
      </c>
      <c r="E273" s="792">
        <f t="shared" si="3"/>
        <v>60.324999999999996</v>
      </c>
      <c r="F273" s="712"/>
      <c r="G273" s="550"/>
      <c r="H273" s="550"/>
      <c r="I273" s="550"/>
      <c r="J273" s="550"/>
      <c r="K273" s="550"/>
      <c r="L273" s="550"/>
      <c r="M273" s="550"/>
      <c r="N273" s="550"/>
      <c r="O273" s="550"/>
      <c r="P273" s="550"/>
    </row>
    <row r="274" spans="2:16" ht="18.75" outlineLevel="1">
      <c r="B274" s="504"/>
      <c r="C274" s="790">
        <f>2+1/2</f>
        <v>2.5</v>
      </c>
      <c r="D274" s="786">
        <v>2.875</v>
      </c>
      <c r="E274" s="792">
        <f t="shared" si="3"/>
        <v>73.025000000000006</v>
      </c>
      <c r="F274" s="712"/>
      <c r="G274" s="550"/>
      <c r="H274" s="550"/>
      <c r="I274" s="550"/>
      <c r="J274" s="550"/>
      <c r="K274" s="550"/>
      <c r="L274" s="550"/>
      <c r="M274" s="550"/>
      <c r="N274" s="550"/>
      <c r="O274" s="550"/>
      <c r="P274" s="550"/>
    </row>
    <row r="275" spans="2:16" ht="18.75" outlineLevel="1">
      <c r="B275" s="504"/>
      <c r="C275" s="790">
        <v>3</v>
      </c>
      <c r="D275" s="786">
        <v>3.5</v>
      </c>
      <c r="E275" s="792">
        <f t="shared" si="3"/>
        <v>88.9</v>
      </c>
      <c r="F275" s="712"/>
      <c r="G275" s="550"/>
      <c r="H275" s="550"/>
      <c r="I275" s="550"/>
      <c r="J275" s="550"/>
      <c r="K275" s="550"/>
      <c r="L275" s="550"/>
      <c r="M275" s="550"/>
      <c r="N275" s="550"/>
      <c r="O275" s="550"/>
      <c r="P275" s="550"/>
    </row>
    <row r="276" spans="2:16" ht="18.75" outlineLevel="1">
      <c r="B276" s="504"/>
      <c r="C276" s="790">
        <v>3.5</v>
      </c>
      <c r="D276" s="786">
        <v>4</v>
      </c>
      <c r="E276" s="792">
        <f t="shared" si="3"/>
        <v>101.6</v>
      </c>
      <c r="F276" s="712"/>
      <c r="G276" s="550"/>
      <c r="H276" s="550"/>
      <c r="I276" s="550"/>
      <c r="J276" s="550"/>
      <c r="K276" s="550"/>
      <c r="L276" s="550"/>
      <c r="M276" s="550"/>
      <c r="N276" s="550"/>
      <c r="O276" s="550"/>
      <c r="P276" s="550"/>
    </row>
    <row r="277" spans="2:16" ht="18.75" outlineLevel="1">
      <c r="B277" s="504"/>
      <c r="C277" s="790">
        <v>4</v>
      </c>
      <c r="D277" s="786">
        <v>4.5</v>
      </c>
      <c r="E277" s="792">
        <f t="shared" si="3"/>
        <v>114.3</v>
      </c>
      <c r="F277" s="712"/>
      <c r="G277" s="550"/>
      <c r="H277" s="550"/>
      <c r="I277" s="550"/>
      <c r="J277" s="550"/>
      <c r="K277" s="550"/>
      <c r="L277" s="550"/>
      <c r="M277" s="550"/>
      <c r="N277" s="550"/>
      <c r="O277" s="550"/>
      <c r="P277" s="550"/>
    </row>
    <row r="278" spans="2:16" ht="18.75" outlineLevel="1">
      <c r="B278" s="504"/>
      <c r="C278" s="790">
        <v>4.5</v>
      </c>
      <c r="D278" s="786">
        <v>5</v>
      </c>
      <c r="E278" s="792">
        <f t="shared" si="3"/>
        <v>127</v>
      </c>
      <c r="F278" s="712"/>
      <c r="G278" s="550"/>
      <c r="H278" s="550"/>
      <c r="I278" s="550"/>
      <c r="J278" s="550"/>
      <c r="K278" s="550"/>
      <c r="L278" s="550"/>
      <c r="M278" s="550"/>
      <c r="N278" s="550"/>
      <c r="O278" s="550"/>
      <c r="P278" s="550"/>
    </row>
    <row r="279" spans="2:16" ht="18.75" outlineLevel="1">
      <c r="B279" s="504"/>
      <c r="C279" s="790">
        <v>5</v>
      </c>
      <c r="D279" s="786">
        <v>5.5629999999999997</v>
      </c>
      <c r="E279" s="792">
        <f t="shared" si="3"/>
        <v>141.30019999999999</v>
      </c>
      <c r="F279" s="712"/>
      <c r="G279" s="550"/>
      <c r="H279" s="550"/>
      <c r="I279" s="550"/>
      <c r="J279" s="550"/>
      <c r="K279" s="550"/>
      <c r="L279" s="550"/>
      <c r="M279" s="550"/>
      <c r="N279" s="550"/>
      <c r="O279" s="550"/>
      <c r="P279" s="550"/>
    </row>
    <row r="280" spans="2:16" ht="18.75" outlineLevel="1">
      <c r="B280" s="504"/>
      <c r="C280" s="790">
        <v>6</v>
      </c>
      <c r="D280" s="786">
        <v>6.625</v>
      </c>
      <c r="E280" s="792">
        <f t="shared" si="3"/>
        <v>168.27500000000001</v>
      </c>
      <c r="F280" s="712"/>
      <c r="G280" s="550"/>
      <c r="H280" s="550"/>
      <c r="I280" s="550"/>
      <c r="J280" s="550"/>
      <c r="K280" s="550"/>
      <c r="L280" s="550"/>
      <c r="M280" s="550"/>
      <c r="N280" s="550"/>
      <c r="O280" s="550"/>
      <c r="P280" s="550"/>
    </row>
    <row r="281" spans="2:16" ht="18.75" outlineLevel="1">
      <c r="B281" s="504"/>
      <c r="C281" s="790">
        <v>7</v>
      </c>
      <c r="D281" s="786">
        <v>7.625</v>
      </c>
      <c r="E281" s="792">
        <f t="shared" si="3"/>
        <v>193.67500000000001</v>
      </c>
      <c r="F281" s="712"/>
      <c r="G281" s="550"/>
      <c r="H281" s="550"/>
      <c r="I281" s="550"/>
      <c r="J281" s="550"/>
      <c r="K281" s="550"/>
      <c r="L281" s="550"/>
      <c r="M281" s="550"/>
      <c r="N281" s="550"/>
      <c r="O281" s="550"/>
      <c r="P281" s="550"/>
    </row>
    <row r="282" spans="2:16" ht="18.75" outlineLevel="1">
      <c r="B282" s="504"/>
      <c r="C282" s="790">
        <v>8</v>
      </c>
      <c r="D282" s="786">
        <v>8.625</v>
      </c>
      <c r="E282" s="792">
        <f t="shared" si="3"/>
        <v>219.07499999999999</v>
      </c>
      <c r="F282" s="712"/>
      <c r="G282" s="550"/>
      <c r="H282" s="550"/>
      <c r="I282" s="550"/>
      <c r="J282" s="550"/>
      <c r="K282" s="550"/>
      <c r="L282" s="550"/>
      <c r="M282" s="550"/>
      <c r="N282" s="550"/>
      <c r="O282" s="550"/>
      <c r="P282" s="550"/>
    </row>
    <row r="283" spans="2:16" ht="18.75" outlineLevel="1">
      <c r="B283" s="504"/>
      <c r="C283" s="790">
        <v>9</v>
      </c>
      <c r="D283" s="786">
        <v>9.625</v>
      </c>
      <c r="E283" s="792">
        <f t="shared" si="3"/>
        <v>244.47499999999999</v>
      </c>
      <c r="F283" s="712"/>
      <c r="G283" s="550"/>
      <c r="H283" s="550"/>
      <c r="I283" s="550"/>
      <c r="J283" s="550"/>
      <c r="K283" s="550"/>
      <c r="L283" s="550"/>
      <c r="M283" s="550"/>
      <c r="N283" s="550"/>
      <c r="O283" s="550"/>
      <c r="P283" s="550"/>
    </row>
    <row r="284" spans="2:16" ht="18.75" outlineLevel="1">
      <c r="B284" s="504"/>
      <c r="C284" s="790">
        <v>10</v>
      </c>
      <c r="D284" s="786">
        <v>10.75</v>
      </c>
      <c r="E284" s="792">
        <f t="shared" si="3"/>
        <v>273.05</v>
      </c>
      <c r="F284" s="712"/>
      <c r="G284" s="550"/>
      <c r="H284" s="550"/>
      <c r="I284" s="550"/>
      <c r="J284" s="550"/>
      <c r="K284" s="550"/>
      <c r="L284" s="550"/>
      <c r="M284" s="550"/>
      <c r="N284" s="550"/>
      <c r="O284" s="550"/>
      <c r="P284" s="550"/>
    </row>
    <row r="285" spans="2:16" ht="18.75" outlineLevel="1">
      <c r="B285" s="504"/>
      <c r="C285" s="793">
        <v>12</v>
      </c>
      <c r="D285" s="717">
        <v>12.75</v>
      </c>
      <c r="E285" s="792">
        <f t="shared" si="3"/>
        <v>323.85000000000002</v>
      </c>
      <c r="F285" s="574"/>
      <c r="G285" s="550"/>
      <c r="H285" s="550"/>
      <c r="I285" s="550"/>
      <c r="J285" s="550"/>
      <c r="K285" s="550"/>
      <c r="L285" s="550"/>
      <c r="M285" s="550"/>
      <c r="N285" s="550"/>
      <c r="O285" s="550"/>
      <c r="P285" s="550"/>
    </row>
    <row r="286" spans="2:16" ht="18.75" outlineLevel="1">
      <c r="B286" s="504"/>
      <c r="C286" s="576"/>
      <c r="D286" s="574"/>
      <c r="E286" s="574"/>
      <c r="F286" s="574"/>
      <c r="G286" s="550"/>
      <c r="H286" s="550"/>
      <c r="I286" s="550"/>
      <c r="J286" s="550"/>
      <c r="K286" s="550"/>
      <c r="L286" s="550"/>
      <c r="M286" s="550"/>
      <c r="N286" s="550"/>
      <c r="O286" s="550"/>
      <c r="P286" s="550"/>
    </row>
    <row r="287" spans="2:16" ht="18.75" outlineLevel="1">
      <c r="B287" s="504"/>
      <c r="C287" s="778" t="s">
        <v>1215</v>
      </c>
      <c r="D287" s="779"/>
      <c r="E287" s="772"/>
      <c r="F287" s="780"/>
      <c r="G287" s="780"/>
      <c r="H287" s="780"/>
      <c r="I287" s="780"/>
      <c r="J287" s="780"/>
      <c r="K287" s="780"/>
      <c r="L287" s="780"/>
      <c r="M287" s="780"/>
      <c r="N287" s="780"/>
      <c r="O287" s="780"/>
      <c r="P287" s="780"/>
    </row>
    <row r="288" spans="2:16" ht="18.75" outlineLevel="1">
      <c r="B288" s="504"/>
      <c r="C288" s="550"/>
      <c r="D288" s="550"/>
      <c r="E288" s="550"/>
      <c r="F288" s="550"/>
      <c r="G288" s="550"/>
      <c r="H288" s="550"/>
      <c r="I288" s="550"/>
      <c r="J288" s="550"/>
      <c r="K288" s="550"/>
      <c r="L288" s="550"/>
      <c r="M288" s="550"/>
      <c r="N288" s="550"/>
      <c r="O288" s="550"/>
      <c r="P288" s="550"/>
    </row>
    <row r="289" spans="2:16" ht="18.75" outlineLevel="1">
      <c r="B289" s="504"/>
      <c r="C289" s="550"/>
      <c r="D289" s="550"/>
      <c r="E289" s="550"/>
      <c r="F289" s="550"/>
      <c r="G289" s="550"/>
      <c r="H289" s="550"/>
      <c r="I289" s="550"/>
      <c r="J289" s="550"/>
      <c r="K289" s="550"/>
      <c r="L289" s="550"/>
      <c r="M289" s="550"/>
      <c r="N289" s="550"/>
      <c r="O289" s="550"/>
      <c r="P289" s="550"/>
    </row>
    <row r="290" spans="2:16" ht="18.75" outlineLevel="1">
      <c r="B290" s="504"/>
      <c r="C290" s="550"/>
      <c r="D290" s="550"/>
      <c r="E290" s="550"/>
      <c r="F290" s="550"/>
      <c r="G290" s="550"/>
      <c r="H290" s="550"/>
      <c r="I290" s="550"/>
      <c r="J290" s="550"/>
      <c r="K290" s="550"/>
      <c r="L290" s="550"/>
      <c r="M290" s="550"/>
      <c r="N290" s="550"/>
      <c r="O290" s="550"/>
      <c r="P290" s="550"/>
    </row>
    <row r="291" spans="2:16" ht="18.75" outlineLevel="1">
      <c r="B291" s="504"/>
      <c r="C291" s="550"/>
      <c r="D291" s="550"/>
      <c r="E291" s="550"/>
      <c r="F291" s="550"/>
      <c r="G291" s="550"/>
      <c r="H291" s="550"/>
      <c r="I291" s="550"/>
      <c r="J291" s="550"/>
      <c r="K291" s="550"/>
      <c r="L291" s="550"/>
      <c r="M291" s="550"/>
      <c r="N291" s="550"/>
      <c r="O291" s="550"/>
      <c r="P291" s="550"/>
    </row>
    <row r="292" spans="2:16" ht="18.75" outlineLevel="1">
      <c r="B292" s="504"/>
      <c r="C292" s="550"/>
      <c r="D292" s="550"/>
      <c r="E292" s="550"/>
      <c r="F292" s="550"/>
      <c r="G292" s="550"/>
      <c r="H292" s="550"/>
      <c r="I292" s="550"/>
      <c r="J292" s="550"/>
      <c r="K292" s="550"/>
      <c r="L292" s="550"/>
      <c r="M292" s="550"/>
      <c r="N292" s="550"/>
      <c r="O292" s="550"/>
      <c r="P292" s="550"/>
    </row>
    <row r="293" spans="2:16" ht="18.75" outlineLevel="1">
      <c r="B293" s="504"/>
      <c r="C293" s="550" t="s">
        <v>999</v>
      </c>
      <c r="D293" s="550"/>
      <c r="E293" s="550"/>
      <c r="F293" s="550"/>
      <c r="G293" s="550"/>
      <c r="H293" s="550"/>
      <c r="I293" s="550"/>
      <c r="J293" s="550"/>
      <c r="K293" s="550"/>
      <c r="L293" s="550"/>
      <c r="M293" s="550"/>
      <c r="N293" s="550"/>
      <c r="O293" s="550"/>
      <c r="P293" s="550"/>
    </row>
    <row r="294" spans="2:16" ht="18.75" outlineLevel="1">
      <c r="B294" s="504"/>
      <c r="C294" s="7" t="s">
        <v>1478</v>
      </c>
      <c r="D294" s="550"/>
      <c r="E294" s="550"/>
      <c r="F294" s="550"/>
      <c r="G294" s="550"/>
      <c r="H294" s="550"/>
      <c r="I294" s="550"/>
      <c r="J294" s="550"/>
      <c r="K294" s="550"/>
      <c r="L294" s="550"/>
      <c r="M294" s="550"/>
      <c r="N294" s="550"/>
      <c r="O294" s="550"/>
      <c r="P294" s="550"/>
    </row>
    <row r="295" spans="2:16" ht="18.75" outlineLevel="1">
      <c r="B295" s="504"/>
      <c r="C295" s="573" t="s">
        <v>1198</v>
      </c>
      <c r="D295" s="550"/>
      <c r="E295" s="550"/>
      <c r="F295" s="550"/>
      <c r="G295" s="550"/>
      <c r="H295" s="550"/>
      <c r="I295" s="550"/>
      <c r="J295" s="550"/>
      <c r="K295" s="550"/>
      <c r="L295" s="550"/>
      <c r="M295" s="550"/>
      <c r="N295" s="550"/>
      <c r="O295" s="550"/>
      <c r="P295" s="550"/>
    </row>
    <row r="296" spans="2:16" ht="18.75" outlineLevel="1">
      <c r="B296" s="504"/>
      <c r="C296" s="573" t="s">
        <v>1294</v>
      </c>
      <c r="D296" s="550"/>
      <c r="E296" s="550"/>
      <c r="F296" s="550"/>
      <c r="G296" s="550"/>
      <c r="H296" s="550"/>
      <c r="I296" s="550"/>
      <c r="J296" s="550"/>
      <c r="K296" s="550"/>
      <c r="L296" s="550"/>
      <c r="M296" s="550"/>
      <c r="N296" s="550"/>
      <c r="O296" s="550"/>
      <c r="P296" s="550"/>
    </row>
    <row r="297" spans="2:16" ht="18.75" outlineLevel="1">
      <c r="B297" s="504"/>
      <c r="C297" s="550" t="s">
        <v>1200</v>
      </c>
      <c r="D297" s="550"/>
      <c r="E297" s="550"/>
      <c r="F297" s="550"/>
      <c r="G297" s="550"/>
      <c r="H297" s="550"/>
      <c r="I297" s="550"/>
      <c r="J297" s="550"/>
      <c r="K297" s="550"/>
      <c r="L297" s="550"/>
      <c r="M297" s="550"/>
      <c r="N297" s="550"/>
      <c r="O297" s="550"/>
      <c r="P297" s="550"/>
    </row>
    <row r="298" spans="2:16" ht="18.75" outlineLevel="1">
      <c r="B298" s="504"/>
      <c r="C298" s="550"/>
      <c r="D298" s="550"/>
      <c r="E298" s="550"/>
      <c r="F298" s="550"/>
      <c r="G298" s="550"/>
      <c r="H298" s="550"/>
      <c r="I298" s="550"/>
      <c r="J298" s="550"/>
      <c r="K298" s="550"/>
      <c r="L298" s="550"/>
      <c r="M298" s="550"/>
      <c r="N298" s="550"/>
      <c r="O298" s="550"/>
      <c r="P298" s="550"/>
    </row>
    <row r="299" spans="2:16" ht="18.75" outlineLevel="1">
      <c r="B299" s="504"/>
      <c r="C299" s="573" t="s">
        <v>1196</v>
      </c>
      <c r="D299" s="751">
        <f>1/7.5</f>
        <v>0.13333333333333333</v>
      </c>
      <c r="E299" s="822" t="s">
        <v>1286</v>
      </c>
      <c r="F299" s="783"/>
      <c r="G299" s="783"/>
      <c r="H299" s="783"/>
      <c r="I299" s="783"/>
      <c r="J299" s="783"/>
      <c r="K299" s="783"/>
      <c r="L299" s="550"/>
      <c r="M299" s="550"/>
      <c r="N299" s="550"/>
      <c r="O299" s="550"/>
      <c r="P299" s="550"/>
    </row>
    <row r="300" spans="2:16" ht="18.75" outlineLevel="1">
      <c r="B300" s="504"/>
      <c r="C300" s="573"/>
      <c r="D300" s="752"/>
      <c r="E300" s="822"/>
      <c r="F300" s="783"/>
      <c r="G300" s="783"/>
      <c r="H300" s="783"/>
      <c r="I300" s="783"/>
      <c r="J300" s="783"/>
      <c r="K300" s="783"/>
      <c r="L300" s="550"/>
      <c r="M300" s="550"/>
      <c r="N300" s="550"/>
      <c r="O300" s="550"/>
      <c r="P300" s="550"/>
    </row>
    <row r="301" spans="2:16" ht="18.75" outlineLevel="1">
      <c r="B301" s="504"/>
      <c r="C301" s="778" t="s">
        <v>1195</v>
      </c>
      <c r="D301" s="779"/>
      <c r="E301" s="772"/>
      <c r="F301" s="780"/>
      <c r="G301" s="780"/>
      <c r="H301" s="780"/>
      <c r="I301" s="780"/>
      <c r="J301" s="780"/>
      <c r="K301" s="780"/>
      <c r="L301" s="780"/>
      <c r="M301" s="780"/>
      <c r="N301" s="780"/>
      <c r="O301" s="780"/>
      <c r="P301" s="780"/>
    </row>
    <row r="302" spans="2:16" ht="18.75" outlineLevel="1">
      <c r="B302" s="504"/>
      <c r="C302" s="550"/>
      <c r="D302" s="550"/>
      <c r="E302" s="550"/>
      <c r="F302" s="550"/>
      <c r="G302" s="550"/>
      <c r="H302" s="550"/>
      <c r="I302" s="550"/>
      <c r="J302" s="550"/>
      <c r="K302" s="550"/>
      <c r="L302" s="550"/>
      <c r="M302" s="550"/>
      <c r="N302" s="550"/>
      <c r="O302" s="550"/>
      <c r="P302" s="550"/>
    </row>
    <row r="303" spans="2:16" ht="18.75" outlineLevel="1">
      <c r="B303" s="504"/>
      <c r="C303" s="550"/>
      <c r="D303" s="550"/>
      <c r="E303" s="550"/>
      <c r="F303" s="550"/>
      <c r="G303" s="550"/>
      <c r="H303" s="550"/>
      <c r="I303" s="550"/>
      <c r="J303" s="550"/>
      <c r="K303" s="550"/>
      <c r="L303" s="550"/>
      <c r="M303" s="550"/>
      <c r="N303" s="550"/>
      <c r="O303" s="550"/>
      <c r="P303" s="550"/>
    </row>
    <row r="304" spans="2:16" ht="18.75" outlineLevel="1">
      <c r="B304" s="504"/>
      <c r="C304" s="550"/>
      <c r="D304" s="550"/>
      <c r="E304" s="550"/>
      <c r="F304" s="550"/>
      <c r="G304" s="550"/>
      <c r="H304" s="550"/>
      <c r="I304" s="550"/>
      <c r="J304" s="550"/>
      <c r="K304" s="550"/>
      <c r="L304" s="550"/>
      <c r="M304" s="550"/>
      <c r="N304" s="550"/>
      <c r="O304" s="550"/>
      <c r="P304" s="550"/>
    </row>
    <row r="305" spans="2:16" ht="18.75" outlineLevel="1">
      <c r="B305" s="504"/>
      <c r="C305" s="550"/>
      <c r="D305" s="550"/>
      <c r="E305" s="550"/>
      <c r="F305" s="550"/>
      <c r="G305" s="550"/>
      <c r="H305" s="550"/>
      <c r="I305" s="550"/>
      <c r="J305" s="550"/>
      <c r="K305" s="550"/>
      <c r="L305" s="550"/>
      <c r="M305" s="550"/>
      <c r="N305" s="550"/>
      <c r="O305" s="550"/>
      <c r="P305" s="550"/>
    </row>
    <row r="306" spans="2:16" ht="18.75" outlineLevel="1">
      <c r="B306" s="504"/>
      <c r="C306" s="550"/>
      <c r="D306" s="550"/>
      <c r="E306" s="550"/>
      <c r="F306" s="550"/>
      <c r="G306" s="550"/>
      <c r="H306" s="550"/>
      <c r="I306" s="550"/>
      <c r="J306" s="550"/>
      <c r="K306" s="550"/>
      <c r="L306" s="550"/>
      <c r="M306" s="550"/>
      <c r="N306" s="550"/>
      <c r="O306" s="550"/>
      <c r="P306" s="550"/>
    </row>
    <row r="307" spans="2:16" ht="18.75" outlineLevel="1">
      <c r="B307" s="504"/>
      <c r="C307" s="550" t="s">
        <v>999</v>
      </c>
      <c r="D307" s="550"/>
      <c r="E307" s="550"/>
      <c r="F307" s="550"/>
      <c r="G307" s="550"/>
      <c r="H307" s="550"/>
      <c r="I307" s="550"/>
      <c r="J307" s="550"/>
      <c r="K307" s="550"/>
      <c r="L307" s="550"/>
      <c r="M307" s="550"/>
      <c r="N307" s="550"/>
      <c r="O307" s="550"/>
      <c r="P307" s="550"/>
    </row>
    <row r="308" spans="2:16" ht="18.75" outlineLevel="1">
      <c r="B308" s="504"/>
      <c r="C308" s="7" t="s">
        <v>1197</v>
      </c>
      <c r="D308" s="550"/>
      <c r="E308" s="550"/>
      <c r="F308" s="550"/>
      <c r="G308" s="550"/>
      <c r="H308" s="550"/>
      <c r="I308" s="550"/>
      <c r="J308" s="550"/>
      <c r="K308" s="550"/>
      <c r="L308" s="550"/>
      <c r="M308" s="550"/>
      <c r="N308" s="550"/>
      <c r="O308" s="550"/>
      <c r="P308" s="550"/>
    </row>
    <row r="309" spans="2:16" ht="18.75" outlineLevel="1">
      <c r="B309" s="504"/>
      <c r="C309" s="573" t="s">
        <v>1198</v>
      </c>
      <c r="D309" s="550"/>
      <c r="E309" s="550"/>
      <c r="F309" s="550"/>
      <c r="G309" s="550"/>
      <c r="H309" s="550"/>
      <c r="I309" s="550"/>
      <c r="J309" s="550"/>
      <c r="K309" s="550"/>
      <c r="L309" s="550"/>
      <c r="M309" s="550"/>
      <c r="N309" s="550"/>
      <c r="O309" s="550"/>
      <c r="P309" s="550"/>
    </row>
    <row r="310" spans="2:16" ht="18.75" outlineLevel="1">
      <c r="B310" s="504"/>
      <c r="C310" s="573" t="s">
        <v>1199</v>
      </c>
      <c r="D310" s="550"/>
      <c r="E310" s="550"/>
      <c r="F310" s="550"/>
      <c r="G310" s="550"/>
      <c r="H310" s="550"/>
      <c r="I310" s="550"/>
      <c r="J310" s="550"/>
      <c r="K310" s="550"/>
      <c r="L310" s="550"/>
      <c r="M310" s="550"/>
      <c r="N310" s="550"/>
      <c r="O310" s="550"/>
      <c r="P310" s="550"/>
    </row>
    <row r="311" spans="2:16" ht="18.75" outlineLevel="1">
      <c r="B311" s="504"/>
      <c r="C311" s="550" t="s">
        <v>1200</v>
      </c>
      <c r="D311" s="550"/>
      <c r="E311" s="550"/>
      <c r="F311" s="550"/>
      <c r="G311" s="550"/>
      <c r="H311" s="550"/>
      <c r="I311" s="550"/>
      <c r="J311" s="550"/>
      <c r="K311" s="550"/>
      <c r="L311" s="550"/>
      <c r="M311" s="550"/>
      <c r="N311" s="550"/>
      <c r="O311" s="550"/>
      <c r="P311" s="550"/>
    </row>
    <row r="312" spans="2:16" ht="18.75" outlineLevel="1">
      <c r="B312" s="504"/>
      <c r="C312" s="550"/>
      <c r="D312" s="550"/>
      <c r="E312" s="550"/>
      <c r="F312" s="550"/>
      <c r="G312" s="550"/>
      <c r="H312" s="550"/>
      <c r="I312" s="550"/>
      <c r="J312" s="550"/>
      <c r="K312" s="550"/>
      <c r="L312" s="550"/>
      <c r="M312" s="550"/>
      <c r="N312" s="550"/>
      <c r="O312" s="550"/>
      <c r="P312" s="550"/>
    </row>
    <row r="313" spans="2:16" ht="18.75" outlineLevel="1">
      <c r="B313" s="504"/>
      <c r="C313" s="573" t="s">
        <v>1196</v>
      </c>
      <c r="D313" s="751">
        <v>1</v>
      </c>
      <c r="E313" s="822" t="s">
        <v>1288</v>
      </c>
      <c r="F313" s="783"/>
      <c r="G313" s="783"/>
      <c r="H313" s="783"/>
      <c r="I313" s="783"/>
      <c r="J313" s="783"/>
      <c r="K313" s="783"/>
      <c r="L313" s="550"/>
      <c r="M313" s="550"/>
      <c r="N313" s="550"/>
      <c r="O313" s="550"/>
      <c r="P313" s="550"/>
    </row>
    <row r="314" spans="2:16" ht="18.75" outlineLevel="1">
      <c r="B314" s="504"/>
      <c r="C314" s="573"/>
      <c r="D314" s="752"/>
      <c r="E314" s="822"/>
      <c r="F314" s="783"/>
      <c r="G314" s="783"/>
      <c r="H314" s="783"/>
      <c r="I314" s="783"/>
      <c r="J314" s="783"/>
      <c r="K314" s="783"/>
      <c r="L314" s="550"/>
      <c r="M314" s="550"/>
      <c r="N314" s="550"/>
      <c r="O314" s="550"/>
      <c r="P314" s="550"/>
    </row>
    <row r="315" spans="2:16" ht="18.75" outlineLevel="1">
      <c r="B315" s="504"/>
      <c r="C315" s="778" t="s">
        <v>1518</v>
      </c>
      <c r="D315" s="779"/>
      <c r="E315" s="772"/>
      <c r="F315" s="780"/>
      <c r="G315" s="780"/>
      <c r="H315" s="780"/>
      <c r="I315" s="780"/>
      <c r="J315" s="780"/>
      <c r="K315" s="780"/>
      <c r="L315" s="780"/>
      <c r="M315" s="780"/>
      <c r="N315" s="780"/>
      <c r="O315" s="780"/>
      <c r="P315" s="780"/>
    </row>
    <row r="316" spans="2:16" s="577" customFormat="1" ht="18.75" outlineLevel="1">
      <c r="B316" s="504"/>
      <c r="C316" s="978" t="s">
        <v>1519</v>
      </c>
      <c r="D316" s="964">
        <v>0.35</v>
      </c>
      <c r="E316" s="508" t="s">
        <v>1509</v>
      </c>
      <c r="F316" s="783"/>
      <c r="G316" s="783"/>
      <c r="H316" s="783"/>
      <c r="I316" s="783"/>
      <c r="J316" s="783"/>
      <c r="K316" s="783"/>
      <c r="L316" s="783"/>
      <c r="M316" s="783"/>
      <c r="N316" s="783"/>
      <c r="O316" s="783"/>
      <c r="P316" s="783"/>
    </row>
    <row r="317" spans="2:16" s="577" customFormat="1" ht="18.75" outlineLevel="1">
      <c r="B317" s="504"/>
      <c r="C317" s="573"/>
      <c r="D317" s="963"/>
      <c r="F317" s="783"/>
      <c r="G317" s="783"/>
      <c r="H317" s="783"/>
      <c r="I317" s="783"/>
      <c r="J317" s="783"/>
      <c r="K317" s="783"/>
      <c r="L317" s="783"/>
      <c r="M317" s="783"/>
      <c r="N317" s="783"/>
      <c r="O317" s="783"/>
      <c r="P317" s="783"/>
    </row>
    <row r="318" spans="2:16" s="577" customFormat="1" ht="18.75" outlineLevel="1">
      <c r="B318" s="504"/>
      <c r="C318" s="573"/>
      <c r="D318" s="965" t="s">
        <v>1505</v>
      </c>
      <c r="F318" s="783"/>
      <c r="G318" s="783"/>
      <c r="H318" s="783"/>
      <c r="I318" s="783"/>
      <c r="J318" s="783"/>
      <c r="K318" s="783"/>
      <c r="L318" s="783"/>
      <c r="M318" s="783"/>
      <c r="N318" s="783"/>
      <c r="O318" s="783"/>
      <c r="P318" s="783"/>
    </row>
    <row r="319" spans="2:16" s="577" customFormat="1" ht="18.75" outlineLevel="1">
      <c r="B319" s="504"/>
      <c r="C319" s="573"/>
      <c r="D319" s="966"/>
      <c r="F319" s="783"/>
      <c r="G319" s="783"/>
      <c r="H319" s="783"/>
      <c r="I319" s="783"/>
      <c r="J319" s="783"/>
      <c r="K319" s="783"/>
      <c r="L319" s="783"/>
      <c r="M319" s="783"/>
      <c r="N319" s="783"/>
      <c r="O319" s="783"/>
      <c r="P319" s="783"/>
    </row>
    <row r="320" spans="2:16" s="577" customFormat="1" ht="18.75" outlineLevel="1">
      <c r="B320" s="504"/>
      <c r="C320" s="573"/>
      <c r="D320" s="967" t="s">
        <v>1506</v>
      </c>
      <c r="F320" s="783"/>
      <c r="G320" s="783"/>
      <c r="H320" s="783"/>
      <c r="I320" s="783"/>
      <c r="J320" s="783"/>
      <c r="K320" s="783"/>
      <c r="L320" s="783"/>
      <c r="M320" s="783"/>
      <c r="N320" s="783"/>
      <c r="O320" s="783"/>
      <c r="P320" s="783"/>
    </row>
    <row r="321" spans="2:16" s="577" customFormat="1" ht="18.75" outlineLevel="1">
      <c r="B321" s="504"/>
      <c r="C321" s="573"/>
      <c r="D321" s="966"/>
      <c r="F321" s="783"/>
      <c r="G321" s="783"/>
      <c r="H321" s="783"/>
      <c r="I321" s="783"/>
      <c r="J321" s="783"/>
      <c r="K321" s="783"/>
      <c r="L321" s="783"/>
      <c r="M321" s="783"/>
      <c r="N321" s="783"/>
      <c r="O321" s="783"/>
      <c r="P321" s="783"/>
    </row>
    <row r="322" spans="2:16" s="577" customFormat="1" ht="18.75" outlineLevel="1">
      <c r="B322" s="504"/>
      <c r="C322" s="573"/>
      <c r="D322" s="967" t="s">
        <v>1507</v>
      </c>
      <c r="F322" s="783"/>
      <c r="G322" s="783"/>
      <c r="H322" s="783"/>
      <c r="I322" s="783"/>
      <c r="J322" s="783"/>
      <c r="K322" s="783"/>
      <c r="L322" s="783"/>
      <c r="M322" s="783"/>
      <c r="N322" s="783"/>
      <c r="O322" s="783"/>
      <c r="P322" s="783"/>
    </row>
    <row r="323" spans="2:16" s="577" customFormat="1" ht="18.75" outlineLevel="1">
      <c r="B323" s="504"/>
      <c r="C323" s="573"/>
      <c r="D323" s="966"/>
      <c r="F323" s="783"/>
      <c r="G323" s="783"/>
      <c r="H323" s="783"/>
      <c r="I323" s="783"/>
      <c r="J323" s="783"/>
      <c r="K323" s="783"/>
      <c r="L323" s="783"/>
      <c r="M323" s="783"/>
      <c r="N323" s="783"/>
      <c r="O323" s="783"/>
      <c r="P323" s="783"/>
    </row>
    <row r="324" spans="2:16" s="577" customFormat="1" ht="18.75" outlineLevel="1">
      <c r="B324" s="504"/>
      <c r="C324" s="573"/>
      <c r="D324" s="968" t="s">
        <v>1508</v>
      </c>
      <c r="F324" s="783"/>
      <c r="G324" s="783"/>
      <c r="H324" s="783"/>
      <c r="I324" s="783"/>
      <c r="J324" s="783"/>
      <c r="K324" s="783"/>
      <c r="L324" s="783"/>
      <c r="M324" s="783"/>
      <c r="N324" s="783"/>
      <c r="O324" s="783"/>
      <c r="P324" s="783"/>
    </row>
    <row r="325" spans="2:16" s="577" customFormat="1" ht="18.75" outlineLevel="1">
      <c r="B325" s="504"/>
      <c r="C325" s="781"/>
      <c r="D325" s="969"/>
      <c r="F325" s="783"/>
      <c r="G325" s="783"/>
      <c r="H325" s="783"/>
      <c r="I325" s="783"/>
      <c r="J325" s="783"/>
      <c r="K325" s="783"/>
      <c r="L325" s="783"/>
      <c r="M325" s="783"/>
      <c r="N325" s="783"/>
      <c r="O325" s="783"/>
      <c r="P325" s="783"/>
    </row>
    <row r="326" spans="2:16" ht="18.75" outlineLevel="1">
      <c r="B326" s="504"/>
      <c r="C326" s="778" t="s">
        <v>1990</v>
      </c>
      <c r="D326" s="779"/>
      <c r="E326" s="772"/>
      <c r="F326" s="780"/>
      <c r="G326" s="780"/>
      <c r="H326" s="780"/>
      <c r="I326" s="780"/>
      <c r="J326" s="780"/>
      <c r="K326" s="780"/>
      <c r="L326" s="780"/>
      <c r="M326" s="780"/>
      <c r="N326" s="780"/>
      <c r="O326" s="780"/>
      <c r="P326" s="780"/>
    </row>
    <row r="327" spans="2:16" ht="9" customHeight="1" outlineLevel="1">
      <c r="B327" s="504"/>
      <c r="C327" s="781"/>
      <c r="D327" s="782"/>
      <c r="E327" s="577"/>
      <c r="F327" s="783"/>
      <c r="G327" s="783"/>
      <c r="H327" s="783"/>
      <c r="I327" s="783"/>
      <c r="J327" s="783"/>
      <c r="K327" s="783"/>
      <c r="L327" s="783"/>
      <c r="M327" s="783"/>
      <c r="N327" s="783"/>
      <c r="O327" s="783"/>
      <c r="P327" s="783"/>
    </row>
    <row r="328" spans="2:16" ht="18.75" outlineLevel="1">
      <c r="B328" s="504"/>
      <c r="C328" s="781" t="s">
        <v>2001</v>
      </c>
      <c r="D328" s="782"/>
      <c r="E328" s="822" t="s">
        <v>2002</v>
      </c>
      <c r="F328" s="783"/>
      <c r="G328" s="783"/>
      <c r="H328" s="783"/>
      <c r="I328" s="783"/>
      <c r="J328" s="783"/>
      <c r="K328" s="783"/>
      <c r="L328" s="783"/>
      <c r="M328" s="783"/>
      <c r="N328" s="783"/>
      <c r="O328" s="783"/>
      <c r="P328" s="783"/>
    </row>
    <row r="329" spans="2:16" ht="19.5" outlineLevel="1" thickBot="1">
      <c r="B329" s="504"/>
      <c r="C329" s="547" t="s">
        <v>210</v>
      </c>
      <c r="D329" s="533"/>
    </row>
    <row r="330" spans="2:16" ht="18" customHeight="1" outlineLevel="1">
      <c r="B330" s="504"/>
      <c r="C330" s="551" t="s">
        <v>1162</v>
      </c>
      <c r="D330" s="552"/>
      <c r="E330" s="553"/>
      <c r="F330" s="553"/>
      <c r="G330" s="553"/>
      <c r="H330" s="553"/>
      <c r="I330" s="553"/>
      <c r="J330" s="553"/>
      <c r="K330" s="553"/>
      <c r="L330" s="553"/>
      <c r="M330" s="553"/>
      <c r="N330" s="553"/>
      <c r="O330" s="553"/>
      <c r="P330" s="554"/>
    </row>
    <row r="331" spans="2:16" ht="18" customHeight="1" outlineLevel="1">
      <c r="B331" s="504"/>
      <c r="C331" s="580" t="s">
        <v>1163</v>
      </c>
      <c r="D331" s="581"/>
      <c r="P331" s="582"/>
    </row>
    <row r="332" spans="2:16" ht="18.75" outlineLevel="1">
      <c r="B332" s="504"/>
      <c r="C332" s="580" t="s">
        <v>1164</v>
      </c>
      <c r="D332" s="581"/>
      <c r="P332" s="582"/>
    </row>
    <row r="333" spans="2:16" ht="18.75" outlineLevel="1">
      <c r="B333" s="504"/>
      <c r="C333" s="580" t="s">
        <v>1166</v>
      </c>
      <c r="D333" s="581"/>
      <c r="P333" s="582"/>
    </row>
    <row r="334" spans="2:16" ht="18.75" outlineLevel="1">
      <c r="B334" s="504"/>
      <c r="C334" s="580" t="s">
        <v>1983</v>
      </c>
      <c r="D334" s="581"/>
      <c r="P334" s="582"/>
    </row>
    <row r="335" spans="2:16" ht="18.75" outlineLevel="1">
      <c r="B335" s="504"/>
      <c r="C335" s="580" t="s">
        <v>1284</v>
      </c>
      <c r="D335" s="581"/>
      <c r="P335" s="582"/>
    </row>
    <row r="336" spans="2:16" ht="18.75" outlineLevel="1">
      <c r="B336" s="504"/>
      <c r="C336" s="580" t="s">
        <v>1285</v>
      </c>
      <c r="D336" s="581"/>
      <c r="P336" s="582"/>
    </row>
    <row r="337" spans="1:23" ht="18.75" outlineLevel="1">
      <c r="B337" s="504"/>
      <c r="C337" s="580" t="s">
        <v>1287</v>
      </c>
      <c r="D337" s="581"/>
      <c r="P337" s="582"/>
    </row>
    <row r="338" spans="1:23" ht="19.5" outlineLevel="1" thickBot="1">
      <c r="B338" s="504"/>
      <c r="C338" s="555" t="s">
        <v>1484</v>
      </c>
      <c r="D338" s="556"/>
      <c r="E338" s="557"/>
      <c r="F338" s="557"/>
      <c r="G338" s="557"/>
      <c r="H338" s="557"/>
      <c r="I338" s="557"/>
      <c r="J338" s="557"/>
      <c r="K338" s="557"/>
      <c r="L338" s="557"/>
      <c r="M338" s="557"/>
      <c r="N338" s="557"/>
      <c r="O338" s="557"/>
      <c r="P338" s="558"/>
    </row>
    <row r="339" spans="1:23" ht="18.75" outlineLevel="1">
      <c r="B339" s="504"/>
      <c r="C339" s="502"/>
    </row>
    <row r="340" spans="1:23" outlineLevel="1">
      <c r="A340" s="562"/>
      <c r="B340" s="6"/>
      <c r="C340" s="6"/>
      <c r="D340" s="6"/>
      <c r="E340" s="561"/>
      <c r="F340" s="561"/>
      <c r="G340" s="561"/>
      <c r="H340" s="561"/>
      <c r="I340" s="561"/>
      <c r="J340" s="561"/>
      <c r="K340" s="561"/>
      <c r="L340" s="561"/>
      <c r="M340" s="561"/>
      <c r="N340" s="561"/>
      <c r="O340" s="561"/>
      <c r="P340" s="561"/>
    </row>
    <row r="341" spans="1:23" outlineLevel="1"/>
    <row r="342" spans="1:23" ht="18.75" outlineLevel="1">
      <c r="B342" s="504" t="s">
        <v>621</v>
      </c>
      <c r="C342" s="502" t="s">
        <v>618</v>
      </c>
      <c r="D342" s="543"/>
      <c r="E342" s="543"/>
      <c r="F342" s="543"/>
      <c r="G342" s="543"/>
      <c r="H342" s="543"/>
    </row>
    <row r="343" spans="1:23" ht="16.5" outlineLevel="1" thickBot="1">
      <c r="C343" s="546" t="s">
        <v>631</v>
      </c>
      <c r="P343" s="549"/>
    </row>
    <row r="344" spans="1:23" outlineLevel="1">
      <c r="C344" s="2257" t="s">
        <v>926</v>
      </c>
      <c r="D344" s="2258"/>
      <c r="E344" s="2258"/>
      <c r="F344" s="2258"/>
      <c r="G344" s="2258"/>
      <c r="H344" s="2258"/>
      <c r="I344" s="2258"/>
      <c r="J344" s="2258"/>
      <c r="K344" s="2258"/>
      <c r="L344" s="2258"/>
      <c r="M344" s="2258"/>
      <c r="N344" s="2258"/>
      <c r="O344" s="2258"/>
      <c r="P344" s="2259"/>
    </row>
    <row r="345" spans="1:23" ht="18.75" outlineLevel="1">
      <c r="B345" s="504"/>
      <c r="C345" s="2260"/>
      <c r="D345" s="2261"/>
      <c r="E345" s="2261"/>
      <c r="F345" s="2261"/>
      <c r="G345" s="2261"/>
      <c r="H345" s="2261"/>
      <c r="I345" s="2261"/>
      <c r="J345" s="2261"/>
      <c r="K345" s="2261"/>
      <c r="L345" s="2261"/>
      <c r="M345" s="2261"/>
      <c r="N345" s="2261"/>
      <c r="O345" s="2261"/>
      <c r="P345" s="2262"/>
    </row>
    <row r="346" spans="1:23" outlineLevel="1">
      <c r="C346" s="2260"/>
      <c r="D346" s="2261"/>
      <c r="E346" s="2261"/>
      <c r="F346" s="2261"/>
      <c r="G346" s="2261"/>
      <c r="H346" s="2261"/>
      <c r="I346" s="2261"/>
      <c r="J346" s="2261"/>
      <c r="K346" s="2261"/>
      <c r="L346" s="2261"/>
      <c r="M346" s="2261"/>
      <c r="N346" s="2261"/>
      <c r="O346" s="2261"/>
      <c r="P346" s="2262"/>
    </row>
    <row r="347" spans="1:23" ht="15.75" outlineLevel="1" thickBot="1">
      <c r="C347" s="2263"/>
      <c r="D347" s="2264"/>
      <c r="E347" s="2264"/>
      <c r="F347" s="2264"/>
      <c r="G347" s="2264"/>
      <c r="H347" s="2264"/>
      <c r="I347" s="2264"/>
      <c r="J347" s="2264"/>
      <c r="K347" s="2264"/>
      <c r="L347" s="2264"/>
      <c r="M347" s="2264"/>
      <c r="N347" s="2264"/>
      <c r="O347" s="2264"/>
      <c r="P347" s="2265"/>
    </row>
    <row r="348" spans="1:23" outlineLevel="1">
      <c r="P348" s="548"/>
    </row>
    <row r="349" spans="1:23" outlineLevel="1">
      <c r="C349" s="2243" t="s">
        <v>965</v>
      </c>
      <c r="D349" s="2245" t="s">
        <v>598</v>
      </c>
      <c r="E349" s="2246"/>
      <c r="F349" s="2249" t="s">
        <v>597</v>
      </c>
      <c r="G349" s="2250"/>
      <c r="H349" s="2250"/>
      <c r="I349" s="2251"/>
    </row>
    <row r="350" spans="1:23" ht="30" outlineLevel="1">
      <c r="C350" s="2244"/>
      <c r="D350" s="2247"/>
      <c r="E350" s="2248"/>
      <c r="F350" s="638" t="s">
        <v>601</v>
      </c>
      <c r="G350" s="604" t="s">
        <v>25</v>
      </c>
      <c r="H350" s="638" t="s">
        <v>27</v>
      </c>
      <c r="I350" s="604" t="s">
        <v>404</v>
      </c>
    </row>
    <row r="351" spans="1:23" ht="18.75" outlineLevel="1">
      <c r="B351" s="504"/>
      <c r="C351" s="2240" t="s">
        <v>604</v>
      </c>
      <c r="D351" s="625" t="s">
        <v>981</v>
      </c>
      <c r="E351" s="626"/>
      <c r="F351" s="2237"/>
      <c r="G351" s="636" t="s">
        <v>603</v>
      </c>
      <c r="H351" s="637"/>
      <c r="I351" s="636" t="s">
        <v>603</v>
      </c>
      <c r="Q351" s="498"/>
      <c r="R351" s="498"/>
      <c r="S351" s="498"/>
      <c r="T351" s="498"/>
      <c r="U351" s="498"/>
      <c r="V351" s="498"/>
      <c r="W351" s="498"/>
    </row>
    <row r="352" spans="1:23" s="498" customFormat="1">
      <c r="C352" s="2241"/>
      <c r="D352" s="544" t="s">
        <v>599</v>
      </c>
      <c r="E352" s="7"/>
      <c r="F352" s="2252"/>
      <c r="G352" s="605" t="s">
        <v>602</v>
      </c>
      <c r="H352" s="639" t="s">
        <v>602</v>
      </c>
      <c r="I352" s="641" t="s">
        <v>603</v>
      </c>
      <c r="J352" s="7"/>
      <c r="K352" s="7"/>
      <c r="L352" s="7"/>
      <c r="M352" s="7"/>
      <c r="N352" s="7"/>
      <c r="O352" s="7"/>
      <c r="P352" s="7"/>
      <c r="Q352" s="7"/>
      <c r="R352" s="7"/>
      <c r="S352" s="7"/>
      <c r="T352" s="7"/>
      <c r="U352" s="7"/>
      <c r="V352" s="7"/>
      <c r="W352" s="7"/>
    </row>
    <row r="353" spans="2:9" ht="18" customHeight="1">
      <c r="C353" s="2242"/>
      <c r="D353" s="628" t="s">
        <v>600</v>
      </c>
      <c r="E353" s="627"/>
      <c r="F353" s="2238"/>
      <c r="G353" s="635" t="s">
        <v>603</v>
      </c>
      <c r="H353" s="640"/>
      <c r="I353" s="635" t="s">
        <v>603</v>
      </c>
    </row>
    <row r="354" spans="2:9">
      <c r="C354" s="2240" t="s">
        <v>27</v>
      </c>
      <c r="D354" s="629" t="s">
        <v>918</v>
      </c>
      <c r="E354" s="629"/>
      <c r="F354" s="636" t="s">
        <v>603</v>
      </c>
      <c r="G354" s="632" t="s">
        <v>603</v>
      </c>
      <c r="H354" s="2237"/>
      <c r="I354" s="636" t="s">
        <v>603</v>
      </c>
    </row>
    <row r="355" spans="2:9" ht="18.75" outlineLevel="1">
      <c r="B355" s="504"/>
      <c r="C355" s="2241"/>
      <c r="D355" s="630" t="s">
        <v>919</v>
      </c>
      <c r="E355" s="630"/>
      <c r="F355" s="641" t="s">
        <v>603</v>
      </c>
      <c r="G355" s="633" t="s">
        <v>963</v>
      </c>
      <c r="H355" s="2252"/>
      <c r="I355" s="641" t="s">
        <v>603</v>
      </c>
    </row>
    <row r="356" spans="2:9" ht="18.75" customHeight="1" outlineLevel="1">
      <c r="B356" s="504"/>
      <c r="C356" s="2241"/>
      <c r="D356" s="624" t="s">
        <v>964</v>
      </c>
      <c r="E356" s="624"/>
      <c r="F356" s="634" t="s">
        <v>603</v>
      </c>
      <c r="G356" s="634" t="s">
        <v>603</v>
      </c>
      <c r="H356" s="2252"/>
      <c r="I356" s="634" t="s">
        <v>603</v>
      </c>
    </row>
    <row r="357" spans="2:9" ht="18.75" outlineLevel="1">
      <c r="B357" s="504"/>
      <c r="C357" s="2242"/>
      <c r="D357" s="628" t="s">
        <v>600</v>
      </c>
      <c r="E357" s="627"/>
      <c r="F357" s="643" t="s">
        <v>924</v>
      </c>
      <c r="G357" s="635" t="s">
        <v>603</v>
      </c>
      <c r="H357" s="2238"/>
      <c r="I357" s="642" t="s">
        <v>603</v>
      </c>
    </row>
    <row r="358" spans="2:9" ht="18.75" outlineLevel="1">
      <c r="B358" s="504"/>
      <c r="C358" s="2240" t="s">
        <v>25</v>
      </c>
      <c r="D358" s="545" t="s">
        <v>919</v>
      </c>
      <c r="E358" s="545"/>
      <c r="F358" s="636" t="s">
        <v>603</v>
      </c>
      <c r="G358" s="2266"/>
      <c r="H358" s="636" t="s">
        <v>603</v>
      </c>
      <c r="I358" s="636" t="s">
        <v>603</v>
      </c>
    </row>
    <row r="359" spans="2:9" ht="18.75" outlineLevel="1">
      <c r="B359" s="504"/>
      <c r="C359" s="2241"/>
      <c r="D359" s="631" t="s">
        <v>964</v>
      </c>
      <c r="E359" s="631"/>
      <c r="F359" s="641" t="s">
        <v>603</v>
      </c>
      <c r="G359" s="2267"/>
      <c r="H359" s="641" t="s">
        <v>603</v>
      </c>
      <c r="I359" s="641" t="s">
        <v>603</v>
      </c>
    </row>
    <row r="360" spans="2:9" outlineLevel="1">
      <c r="C360" s="2242"/>
      <c r="D360" s="628" t="s">
        <v>962</v>
      </c>
      <c r="E360" s="627"/>
      <c r="F360" s="635" t="s">
        <v>924</v>
      </c>
      <c r="G360" s="2268"/>
      <c r="H360" s="635" t="s">
        <v>603</v>
      </c>
      <c r="I360" s="635" t="s">
        <v>603</v>
      </c>
    </row>
    <row r="361" spans="2:9" ht="15" customHeight="1" outlineLevel="1">
      <c r="C361" s="2240" t="s">
        <v>404</v>
      </c>
      <c r="D361" s="2253" t="s">
        <v>1289</v>
      </c>
      <c r="E361" s="2254"/>
      <c r="F361" s="636" t="s">
        <v>603</v>
      </c>
      <c r="G361" s="636" t="s">
        <v>603</v>
      </c>
      <c r="H361" s="636" t="s">
        <v>603</v>
      </c>
      <c r="I361" s="2237"/>
    </row>
    <row r="362" spans="2:9" outlineLevel="1">
      <c r="C362" s="2242"/>
      <c r="D362" s="2255"/>
      <c r="E362" s="2256"/>
      <c r="F362" s="635" t="s">
        <v>603</v>
      </c>
      <c r="G362" s="635" t="s">
        <v>603</v>
      </c>
      <c r="H362" s="635" t="s">
        <v>603</v>
      </c>
      <c r="I362" s="2238"/>
    </row>
    <row r="363" spans="2:9" outlineLevel="1"/>
    <row r="364" spans="2:9" outlineLevel="1"/>
    <row r="365" spans="2:9" outlineLevel="1">
      <c r="C365" s="658" t="s">
        <v>982</v>
      </c>
      <c r="D365" s="659"/>
      <c r="E365" s="659"/>
      <c r="F365" s="659"/>
      <c r="G365" s="659"/>
      <c r="H365" s="659"/>
      <c r="I365" s="659"/>
    </row>
    <row r="366" spans="2:9" outlineLevel="1"/>
    <row r="367" spans="2:9" outlineLevel="1"/>
    <row r="368" spans="2:9" outlineLevel="1"/>
    <row r="369" spans="1:16" outlineLevel="1"/>
    <row r="370" spans="1:16" outlineLevel="1"/>
    <row r="371" spans="1:16" outlineLevel="1"/>
    <row r="372" spans="1:16" outlineLevel="1"/>
    <row r="374" spans="1:16">
      <c r="A374" s="562"/>
      <c r="B374" s="6"/>
      <c r="C374" s="6"/>
      <c r="D374" s="6"/>
      <c r="E374" s="561"/>
      <c r="F374" s="561"/>
      <c r="G374" s="561"/>
      <c r="H374" s="561"/>
      <c r="I374" s="561"/>
      <c r="J374" s="561"/>
      <c r="K374" s="561"/>
      <c r="L374" s="561"/>
      <c r="M374" s="561"/>
      <c r="N374" s="561"/>
      <c r="O374" s="561"/>
      <c r="P374" s="561"/>
    </row>
    <row r="376" spans="1:16" ht="18.75">
      <c r="B376" s="504" t="s">
        <v>1488</v>
      </c>
      <c r="C376" s="502" t="s">
        <v>1242</v>
      </c>
      <c r="D376" s="543"/>
      <c r="E376" s="543"/>
      <c r="F376" s="543"/>
      <c r="G376" s="543"/>
      <c r="H376" s="543"/>
    </row>
    <row r="378" spans="1:16">
      <c r="C378" s="7" t="s">
        <v>1973</v>
      </c>
      <c r="D378" s="958"/>
    </row>
    <row r="380" spans="1:16">
      <c r="D380" s="710"/>
    </row>
    <row r="381" spans="1:16">
      <c r="D381" s="710"/>
    </row>
    <row r="383" spans="1:16">
      <c r="D383" s="710"/>
    </row>
    <row r="384" spans="1:16">
      <c r="D384" s="710"/>
    </row>
  </sheetData>
  <mergeCells count="22">
    <mergeCell ref="G358:G360"/>
    <mergeCell ref="C202:P207"/>
    <mergeCell ref="C344:P347"/>
    <mergeCell ref="G247:H247"/>
    <mergeCell ref="C211:E211"/>
    <mergeCell ref="C212:E212"/>
    <mergeCell ref="C191:P192"/>
    <mergeCell ref="I361:I362"/>
    <mergeCell ref="D41:F41"/>
    <mergeCell ref="C351:C353"/>
    <mergeCell ref="C349:C350"/>
    <mergeCell ref="D349:E350"/>
    <mergeCell ref="F349:I349"/>
    <mergeCell ref="F351:F353"/>
    <mergeCell ref="H354:H357"/>
    <mergeCell ref="C354:C357"/>
    <mergeCell ref="C358:C360"/>
    <mergeCell ref="C361:C362"/>
    <mergeCell ref="D361:E362"/>
    <mergeCell ref="C94:P97"/>
    <mergeCell ref="C143:P146"/>
    <mergeCell ref="C183:P186"/>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1"/>
  <dimension ref="A1:AP243"/>
  <sheetViews>
    <sheetView topLeftCell="A75" workbookViewId="0">
      <selection activeCell="H93" sqref="H93"/>
    </sheetView>
  </sheetViews>
  <sheetFormatPr baseColWidth="10" defaultRowHeight="15"/>
  <cols>
    <col min="1" max="1" width="4.85546875" style="7" customWidth="1"/>
    <col min="2" max="3" width="11.42578125" style="7"/>
    <col min="4" max="4" width="12.5703125" style="7" customWidth="1"/>
    <col min="5" max="5" width="17.5703125" style="896" bestFit="1" customWidth="1"/>
    <col min="6" max="6" width="13" style="7" customWidth="1"/>
    <col min="7" max="7" width="11.42578125" style="7"/>
    <col min="8" max="8" width="19.5703125" style="7" customWidth="1"/>
    <col min="9" max="18" width="11.42578125" style="7"/>
    <col min="19" max="19" width="21.5703125" style="7" bestFit="1" customWidth="1"/>
    <col min="20" max="23" width="11.42578125" style="7"/>
    <col min="24" max="24" width="11.42578125" style="897"/>
    <col min="25" max="25" width="19.5703125" style="7" customWidth="1"/>
    <col min="26" max="42" width="11.42578125" style="7"/>
  </cols>
  <sheetData>
    <row r="1" spans="2:30" s="7" customFormat="1" ht="36">
      <c r="B1" s="499" t="s">
        <v>1187</v>
      </c>
      <c r="E1" s="896"/>
      <c r="X1" s="897"/>
    </row>
    <row r="2" spans="2:30" s="7" customFormat="1">
      <c r="B2" s="543"/>
      <c r="E2" s="896"/>
      <c r="X2" s="897"/>
    </row>
    <row r="3" spans="2:30">
      <c r="B3" s="809" t="s">
        <v>1188</v>
      </c>
      <c r="C3" s="801"/>
      <c r="D3" s="802"/>
      <c r="E3" s="803"/>
      <c r="F3" s="802"/>
      <c r="G3" s="802"/>
      <c r="H3" s="802"/>
      <c r="I3" s="802"/>
      <c r="J3" s="802"/>
      <c r="K3" s="802"/>
      <c r="L3" s="802"/>
      <c r="M3" s="802"/>
      <c r="N3" s="802"/>
      <c r="O3" s="802"/>
      <c r="P3" s="802"/>
      <c r="Q3" s="802"/>
      <c r="R3" s="804"/>
      <c r="S3" s="804"/>
      <c r="T3" s="804"/>
      <c r="U3" s="804"/>
      <c r="V3" s="804"/>
      <c r="W3" s="804"/>
      <c r="X3" s="804"/>
      <c r="Y3" s="804"/>
      <c r="Z3" s="804"/>
      <c r="AA3" s="804"/>
      <c r="AB3" s="804"/>
      <c r="AC3" s="804"/>
      <c r="AD3" s="804"/>
    </row>
    <row r="4" spans="2:30" s="7" customFormat="1">
      <c r="E4" s="896"/>
      <c r="X4" s="897"/>
      <c r="Y4" s="7" t="s">
        <v>1513</v>
      </c>
    </row>
    <row r="5" spans="2:30" ht="51">
      <c r="B5" s="2286" t="s">
        <v>1136</v>
      </c>
      <c r="C5" s="931" t="s">
        <v>1179</v>
      </c>
      <c r="D5" s="931" t="s">
        <v>1180</v>
      </c>
      <c r="E5" s="2287" t="s">
        <v>1148</v>
      </c>
      <c r="F5" s="2286" t="s">
        <v>998</v>
      </c>
      <c r="G5" s="2286" t="s">
        <v>562</v>
      </c>
      <c r="H5" s="2286" t="s">
        <v>986</v>
      </c>
      <c r="I5" s="934" t="s">
        <v>21</v>
      </c>
      <c r="J5" s="2284" t="s">
        <v>1203</v>
      </c>
      <c r="K5" s="2285"/>
      <c r="L5" s="931" t="s">
        <v>670</v>
      </c>
      <c r="M5" s="934" t="s">
        <v>1184</v>
      </c>
      <c r="N5" s="2284" t="s">
        <v>1177</v>
      </c>
      <c r="O5" s="2285"/>
      <c r="P5" s="931" t="s">
        <v>1185</v>
      </c>
      <c r="Q5" s="931" t="s">
        <v>1185</v>
      </c>
      <c r="R5" s="931" t="s">
        <v>1186</v>
      </c>
      <c r="S5" s="2286" t="s">
        <v>1390</v>
      </c>
      <c r="T5" s="2286"/>
      <c r="U5" s="2286"/>
      <c r="V5" s="2286"/>
      <c r="W5" s="805" t="s">
        <v>1391</v>
      </c>
      <c r="Y5" s="2280" t="s">
        <v>1136</v>
      </c>
      <c r="Z5" s="2280" t="s">
        <v>1157</v>
      </c>
      <c r="AA5" s="2280" t="s">
        <v>1138</v>
      </c>
      <c r="AB5" s="2280" t="s">
        <v>998</v>
      </c>
      <c r="AC5" s="2280" t="s">
        <v>1203</v>
      </c>
      <c r="AD5" s="2282" t="s">
        <v>1135</v>
      </c>
    </row>
    <row r="6" spans="2:30">
      <c r="B6" s="2286"/>
      <c r="C6" s="930" t="s">
        <v>1141</v>
      </c>
      <c r="D6" s="930" t="s">
        <v>1178</v>
      </c>
      <c r="E6" s="2287"/>
      <c r="F6" s="2286"/>
      <c r="G6" s="2286"/>
      <c r="H6" s="2286"/>
      <c r="I6" s="932" t="s">
        <v>1181</v>
      </c>
      <c r="J6" s="933" t="s">
        <v>1158</v>
      </c>
      <c r="K6" s="930" t="s">
        <v>1141</v>
      </c>
      <c r="L6" s="930" t="s">
        <v>1189</v>
      </c>
      <c r="M6" s="932" t="s">
        <v>1182</v>
      </c>
      <c r="N6" s="933" t="s">
        <v>1010</v>
      </c>
      <c r="O6" s="930" t="s">
        <v>1011</v>
      </c>
      <c r="P6" s="930" t="s">
        <v>1444</v>
      </c>
      <c r="Q6" s="930" t="s">
        <v>1190</v>
      </c>
      <c r="R6" s="930" t="s">
        <v>1190</v>
      </c>
      <c r="S6" s="805" t="s">
        <v>1389</v>
      </c>
      <c r="T6" s="805" t="s">
        <v>1345</v>
      </c>
      <c r="U6" s="805" t="s">
        <v>1383</v>
      </c>
      <c r="V6" s="805" t="s">
        <v>1148</v>
      </c>
      <c r="W6" s="805" t="s">
        <v>1392</v>
      </c>
      <c r="Y6" s="2281"/>
      <c r="Z6" s="2281"/>
      <c r="AA6" s="2281"/>
      <c r="AB6" s="2281"/>
      <c r="AC6" s="2281"/>
      <c r="AD6" s="2283"/>
    </row>
    <row r="7" spans="2:30">
      <c r="B7" s="11">
        <v>1</v>
      </c>
      <c r="C7" s="797">
        <f>'3b. Calculateur - MEÉ 1'!E43</f>
        <v>0</v>
      </c>
      <c r="D7" s="12">
        <f>'3b. Calculateur - MEÉ 1'!F43</f>
        <v>0</v>
      </c>
      <c r="E7" s="798" t="str">
        <f>IF(F7="Intérieur",F7,F7&amp;"_"&amp;G7)</f>
        <v>&lt; sélectionner &gt;_</v>
      </c>
      <c r="F7" s="12" t="str">
        <f>'3b. Calculateur - MEÉ 1'!G43</f>
        <v>&lt; sélectionner &gt;</v>
      </c>
      <c r="G7" s="12" t="str">
        <f>IF('3b. Calculateur - MEÉ 1'!G9="&lt; sélectionner &gt;","",IF('3b. Calculateur - MEÉ 1'!G9="CVAC","CVAC","Procédé"))</f>
        <v/>
      </c>
      <c r="H7" s="12">
        <f>'3b. Calculateur - MEÉ 1'!I43</f>
        <v>0</v>
      </c>
      <c r="I7" s="811">
        <f>'3b. Calculateur - MEÉ 1'!H43</f>
        <v>0</v>
      </c>
      <c r="J7" s="810">
        <f>IF(C7=0,0,VLOOKUP(C7,Hypothèses!$C$265:$E$285,3))</f>
        <v>0</v>
      </c>
      <c r="K7" s="799">
        <f>IF(C7=0,0,VLOOKUP(C7,Hypothèses!$C$265:$E$285,2))</f>
        <v>0</v>
      </c>
      <c r="L7" s="799">
        <f>IF(C7=0,0,C7^4*Hypothèses!$G$249+C7^3*Hypothèses!$H$249+C7^2*Hypothèses!$I$249+C7*Hypothèses!$J$249+Hypothèses!$K$249)</f>
        <v>0</v>
      </c>
      <c r="M7" s="812">
        <f>IF(C7=0,0,L7/PI()/(K7/12))</f>
        <v>0</v>
      </c>
      <c r="N7" s="810">
        <f>_xlfn.XLOOKUP(B7,$Y$8:$Y$67,$AD$8:$AD$67,0,0)</f>
        <v>0</v>
      </c>
      <c r="O7" s="799">
        <f>N7*'Facteurs conversion'!C$6/1000/'Facteurs conversion'!$C$23*M7</f>
        <v>0</v>
      </c>
      <c r="P7" s="713">
        <f>O7*I7*H7</f>
        <v>0</v>
      </c>
      <c r="Q7" s="713">
        <f>P7/'Facteurs conversion'!$C$11</f>
        <v>0</v>
      </c>
      <c r="R7" s="800">
        <f>Q7/Hypothèses!$D$217</f>
        <v>0</v>
      </c>
      <c r="S7" s="823" t="str">
        <f>'3b. Calculateur - MEÉ 1'!D43</f>
        <v>&lt; sélectionner &gt;</v>
      </c>
      <c r="T7" s="823" t="e">
        <f>VLOOKUP(S7,Subvention!$E$55:$F$60,2,FALSE)</f>
        <v>#N/A</v>
      </c>
      <c r="U7" s="823">
        <f>IF(C7&lt;1,1,IF(AND(C7&gt;=1,C7&lt;=2),"1à2",IF(AND(C7&gt;2,C7&lt;=4),"2à4",IF(AND(C7&gt;4,C7&lt;=6),"4à6","6"))))</f>
        <v>1</v>
      </c>
      <c r="V7" s="823" t="e">
        <f>T7&amp;"_"&amp;U7</f>
        <v>#N/A</v>
      </c>
      <c r="W7" s="823">
        <f>IFERROR(VLOOKUP(V7,Subvention!$B$54:$C$83,2,FALSE),0)*H7</f>
        <v>0</v>
      </c>
      <c r="Y7" s="806"/>
      <c r="Z7" s="806" t="s">
        <v>1141</v>
      </c>
      <c r="AA7" s="806" t="s">
        <v>1142</v>
      </c>
      <c r="AB7" s="806"/>
      <c r="AC7" s="807" t="s">
        <v>1158</v>
      </c>
      <c r="AD7" s="808" t="s">
        <v>1010</v>
      </c>
    </row>
    <row r="8" spans="2:30">
      <c r="B8" s="11">
        <v>2</v>
      </c>
      <c r="C8" s="797">
        <f>'3b. Calculateur - MEÉ 1'!E44</f>
        <v>0</v>
      </c>
      <c r="D8" s="12">
        <f>'3b. Calculateur - MEÉ 1'!F44</f>
        <v>0</v>
      </c>
      <c r="E8" s="798" t="str">
        <f t="shared" ref="E8:E26" si="0">IF(F8="Intérieur",F8,F8&amp;"_"&amp;G8)</f>
        <v>&lt; sélectionner &gt;_</v>
      </c>
      <c r="F8" s="12" t="str">
        <f>'3b. Calculateur - MEÉ 1'!G44</f>
        <v>&lt; sélectionner &gt;</v>
      </c>
      <c r="G8" s="12" t="str">
        <f>$G$7</f>
        <v/>
      </c>
      <c r="H8" s="12">
        <f>'3b. Calculateur - MEÉ 1'!I44</f>
        <v>0</v>
      </c>
      <c r="I8" s="811">
        <f>'3b. Calculateur - MEÉ 1'!H44</f>
        <v>0</v>
      </c>
      <c r="J8" s="810">
        <f>IF(C8=0,0,VLOOKUP(C8,Hypothèses!$C$265:$E$285,3))</f>
        <v>0</v>
      </c>
      <c r="K8" s="799">
        <f>IF(C8=0,0,VLOOKUP(C8,Hypothèses!$C$265:$E$285,2))</f>
        <v>0</v>
      </c>
      <c r="L8" s="799">
        <f>IF(C8=0,0,C8^4*Hypothèses!$G$249+C8^3*Hypothèses!$H$249+C8^2*Hypothèses!$I$249+C8*Hypothèses!$J$249+Hypothèses!$K$249)</f>
        <v>0</v>
      </c>
      <c r="M8" s="812">
        <f t="shared" ref="M8:M26" si="1">IF(C8=0,0,L8/PI()/(K8/12))</f>
        <v>0</v>
      </c>
      <c r="N8" s="810">
        <f>_xlfn.XLOOKUP(B8,$Y$8:$Y$67,$AD$8:$AD$67,0,0)</f>
        <v>0</v>
      </c>
      <c r="O8" s="799">
        <f>N8*'Facteurs conversion'!C$6/1000/'Facteurs conversion'!$C$23*M8</f>
        <v>0</v>
      </c>
      <c r="P8" s="713">
        <f t="shared" ref="P8:P26" si="2">O8*I8*H8</f>
        <v>0</v>
      </c>
      <c r="Q8" s="713">
        <f>P8/'Facteurs conversion'!$C$11</f>
        <v>0</v>
      </c>
      <c r="R8" s="800">
        <f>Q8/Hypothèses!$D$217</f>
        <v>0</v>
      </c>
      <c r="S8" s="823" t="str">
        <f>'3b. Calculateur - MEÉ 1'!D44</f>
        <v>&lt; sélectionner &gt;</v>
      </c>
      <c r="T8" s="823" t="e">
        <f>VLOOKUP(S8,Subvention!$E$55:$F$60,2,FALSE)</f>
        <v>#N/A</v>
      </c>
      <c r="U8" s="823">
        <f t="shared" ref="U8:U26" si="3">IF(C8&lt;1,1,IF(AND(C8&gt;=1,C8&lt;=2),"1à2",IF(AND(C8&gt;2,C8&lt;=4),"2à4",IF(AND(C8&gt;4,C8&lt;=6),"4à6","6"))))</f>
        <v>1</v>
      </c>
      <c r="V8" s="823" t="e">
        <f t="shared" ref="V8:V26" si="4">T8&amp;"_"&amp;U8</f>
        <v>#N/A</v>
      </c>
      <c r="W8" s="823">
        <f>IFERROR(VLOOKUP(V8,Subvention!$B$54:$C$83,2,FALSE),0)*H8</f>
        <v>0</v>
      </c>
      <c r="X8" s="898">
        <v>1</v>
      </c>
      <c r="Y8" s="260" t="e" cm="1" vm="1">
        <f t="array" ref="Y8">_xlfn._xlws.FILTER('Isolation - CAS 1'!N12:S31,'Isolation - CAS 1'!N12:N31&lt;&gt;"")</f>
        <v>#VALUE!</v>
      </c>
      <c r="Z8"/>
      <c r="AA8"/>
      <c r="AB8" s="794"/>
      <c r="AC8"/>
      <c r="AD8" s="764"/>
    </row>
    <row r="9" spans="2:30">
      <c r="B9" s="11">
        <v>3</v>
      </c>
      <c r="C9" s="797">
        <f>'3b. Calculateur - MEÉ 1'!E45</f>
        <v>0</v>
      </c>
      <c r="D9" s="12">
        <f>'3b. Calculateur - MEÉ 1'!F45</f>
        <v>0</v>
      </c>
      <c r="E9" s="798" t="str">
        <f t="shared" si="0"/>
        <v>&lt; sélectionner &gt;_</v>
      </c>
      <c r="F9" s="12" t="str">
        <f>'3b. Calculateur - MEÉ 1'!G45</f>
        <v>&lt; sélectionner &gt;</v>
      </c>
      <c r="G9" s="12" t="str">
        <f t="shared" ref="G9:G26" si="5">$G$7</f>
        <v/>
      </c>
      <c r="H9" s="12">
        <f>'3b. Calculateur - MEÉ 1'!I45</f>
        <v>0</v>
      </c>
      <c r="I9" s="811">
        <f>'3b. Calculateur - MEÉ 1'!H45</f>
        <v>0</v>
      </c>
      <c r="J9" s="810">
        <f>IF(C9=0,0,VLOOKUP(C9,Hypothèses!$C$265:$E$285,3))</f>
        <v>0</v>
      </c>
      <c r="K9" s="799">
        <f>IF(C9=0,0,VLOOKUP(C9,Hypothèses!$C$265:$E$285,2))</f>
        <v>0</v>
      </c>
      <c r="L9" s="799">
        <f>IF(C9=0,0,C9^4*Hypothèses!$G$249+C9^3*Hypothèses!$H$249+C9^2*Hypothèses!$I$249+C9*Hypothèses!$J$249+Hypothèses!$K$249)</f>
        <v>0</v>
      </c>
      <c r="M9" s="812">
        <f t="shared" si="1"/>
        <v>0</v>
      </c>
      <c r="N9" s="810">
        <f t="shared" ref="N9:N25" si="6">_xlfn.XLOOKUP(B9,$Y$8:$Y$67,$AD$8:$AD$67,0,0)</f>
        <v>0</v>
      </c>
      <c r="O9" s="799">
        <f>N9*'Facteurs conversion'!C$6/1000/'Facteurs conversion'!$C$23*M9</f>
        <v>0</v>
      </c>
      <c r="P9" s="713">
        <f t="shared" si="2"/>
        <v>0</v>
      </c>
      <c r="Q9" s="713">
        <f>P9/'Facteurs conversion'!$C$11</f>
        <v>0</v>
      </c>
      <c r="R9" s="800">
        <f>Q9/Hypothèses!$D$217</f>
        <v>0</v>
      </c>
      <c r="S9" s="823" t="str">
        <f>'3b. Calculateur - MEÉ 1'!D45</f>
        <v>&lt; sélectionner &gt;</v>
      </c>
      <c r="T9" s="823" t="e">
        <f>VLOOKUP(S9,Subvention!$E$55:$F$60,2,FALSE)</f>
        <v>#N/A</v>
      </c>
      <c r="U9" s="823">
        <f t="shared" si="3"/>
        <v>1</v>
      </c>
      <c r="V9" s="823" t="e">
        <f t="shared" si="4"/>
        <v>#N/A</v>
      </c>
      <c r="W9" s="823">
        <f>IFERROR(VLOOKUP(V9,Subvention!$B$54:$C$83,2,FALSE),0)*H9</f>
        <v>0</v>
      </c>
      <c r="X9" s="898">
        <v>2</v>
      </c>
      <c r="Y9" s="260"/>
      <c r="Z9"/>
      <c r="AA9"/>
      <c r="AB9" s="794"/>
      <c r="AC9"/>
      <c r="AD9" s="764"/>
    </row>
    <row r="10" spans="2:30">
      <c r="B10" s="11">
        <v>4</v>
      </c>
      <c r="C10" s="797">
        <f>'3b. Calculateur - MEÉ 1'!E46</f>
        <v>0</v>
      </c>
      <c r="D10" s="12">
        <f>'3b. Calculateur - MEÉ 1'!F46</f>
        <v>0</v>
      </c>
      <c r="E10" s="798" t="str">
        <f t="shared" si="0"/>
        <v>&lt; sélectionner &gt;_</v>
      </c>
      <c r="F10" s="12" t="str">
        <f>'3b. Calculateur - MEÉ 1'!G46</f>
        <v>&lt; sélectionner &gt;</v>
      </c>
      <c r="G10" s="12" t="str">
        <f t="shared" si="5"/>
        <v/>
      </c>
      <c r="H10" s="12">
        <f>'3b. Calculateur - MEÉ 1'!I46</f>
        <v>0</v>
      </c>
      <c r="I10" s="811">
        <f>'3b. Calculateur - MEÉ 1'!H46</f>
        <v>0</v>
      </c>
      <c r="J10" s="810">
        <f>IF(C10=0,0,VLOOKUP(C10,Hypothèses!$C$265:$E$285,3))</f>
        <v>0</v>
      </c>
      <c r="K10" s="799">
        <f>IF(C10=0,0,VLOOKUP(C10,Hypothèses!$C$265:$E$285,2))</f>
        <v>0</v>
      </c>
      <c r="L10" s="799">
        <f>IF(C10=0,0,C10^4*Hypothèses!$G$249+C10^3*Hypothèses!$H$249+C10^2*Hypothèses!$I$249+C10*Hypothèses!$J$249+Hypothèses!$K$249)</f>
        <v>0</v>
      </c>
      <c r="M10" s="812">
        <f t="shared" si="1"/>
        <v>0</v>
      </c>
      <c r="N10" s="810">
        <f t="shared" si="6"/>
        <v>0</v>
      </c>
      <c r="O10" s="799">
        <f>N10*'Facteurs conversion'!C$6/1000/'Facteurs conversion'!$C$23*M10</f>
        <v>0</v>
      </c>
      <c r="P10" s="713">
        <f t="shared" si="2"/>
        <v>0</v>
      </c>
      <c r="Q10" s="713">
        <f>P10/'Facteurs conversion'!$C$11</f>
        <v>0</v>
      </c>
      <c r="R10" s="800">
        <f>Q10/Hypothèses!$D$217</f>
        <v>0</v>
      </c>
      <c r="S10" s="823" t="str">
        <f>'3b. Calculateur - MEÉ 1'!D46</f>
        <v>&lt; sélectionner &gt;</v>
      </c>
      <c r="T10" s="823" t="e">
        <f>VLOOKUP(S10,Subvention!$E$55:$F$60,2,FALSE)</f>
        <v>#N/A</v>
      </c>
      <c r="U10" s="823">
        <f t="shared" si="3"/>
        <v>1</v>
      </c>
      <c r="V10" s="823" t="e">
        <f t="shared" si="4"/>
        <v>#N/A</v>
      </c>
      <c r="W10" s="823">
        <f>IFERROR(VLOOKUP(V10,Subvention!$B$54:$C$83,2,FALSE),0)*H10</f>
        <v>0</v>
      </c>
      <c r="X10" s="898">
        <v>3</v>
      </c>
      <c r="Y10" s="260"/>
      <c r="Z10"/>
      <c r="AA10"/>
      <c r="AB10" s="794"/>
      <c r="AC10"/>
      <c r="AD10" s="764"/>
    </row>
    <row r="11" spans="2:30" ht="19.5" customHeight="1">
      <c r="B11" s="11">
        <v>5</v>
      </c>
      <c r="C11" s="797">
        <f>'3b. Calculateur - MEÉ 1'!E47</f>
        <v>0</v>
      </c>
      <c r="D11" s="12">
        <f>'3b. Calculateur - MEÉ 1'!F47</f>
        <v>0</v>
      </c>
      <c r="E11" s="798" t="str">
        <f t="shared" si="0"/>
        <v>&lt; sélectionner &gt;_</v>
      </c>
      <c r="F11" s="12" t="str">
        <f>'3b. Calculateur - MEÉ 1'!G47</f>
        <v>&lt; sélectionner &gt;</v>
      </c>
      <c r="G11" s="12" t="str">
        <f t="shared" si="5"/>
        <v/>
      </c>
      <c r="H11" s="12">
        <f>'3b. Calculateur - MEÉ 1'!I47</f>
        <v>0</v>
      </c>
      <c r="I11" s="811">
        <f>'3b. Calculateur - MEÉ 1'!H47</f>
        <v>0</v>
      </c>
      <c r="J11" s="810">
        <f>IF(C11=0,0,VLOOKUP(C11,Hypothèses!$C$265:$E$285,3))</f>
        <v>0</v>
      </c>
      <c r="K11" s="799">
        <f>IF(C11=0,0,VLOOKUP(C11,Hypothèses!$C$265:$E$285,2))</f>
        <v>0</v>
      </c>
      <c r="L11" s="799">
        <f>IF(C11=0,0,C11^4*Hypothèses!$G$249+C11^3*Hypothèses!$H$249+C11^2*Hypothèses!$I$249+C11*Hypothèses!$J$249+Hypothèses!$K$249)</f>
        <v>0</v>
      </c>
      <c r="M11" s="812">
        <f t="shared" si="1"/>
        <v>0</v>
      </c>
      <c r="N11" s="810">
        <f t="shared" si="6"/>
        <v>0</v>
      </c>
      <c r="O11" s="799">
        <f>N11*'Facteurs conversion'!C$6/1000/'Facteurs conversion'!$C$23*M11</f>
        <v>0</v>
      </c>
      <c r="P11" s="713">
        <f t="shared" si="2"/>
        <v>0</v>
      </c>
      <c r="Q11" s="713">
        <f>P11/'Facteurs conversion'!$C$11</f>
        <v>0</v>
      </c>
      <c r="R11" s="800">
        <f>Q11/Hypothèses!$D$217</f>
        <v>0</v>
      </c>
      <c r="S11" s="823" t="str">
        <f>'3b. Calculateur - MEÉ 1'!D47</f>
        <v>&lt; sélectionner &gt;</v>
      </c>
      <c r="T11" s="823" t="e">
        <f>VLOOKUP(S11,Subvention!$E$55:$F$60,2,FALSE)</f>
        <v>#N/A</v>
      </c>
      <c r="U11" s="823">
        <f t="shared" si="3"/>
        <v>1</v>
      </c>
      <c r="V11" s="823" t="e">
        <f t="shared" si="4"/>
        <v>#N/A</v>
      </c>
      <c r="W11" s="823">
        <f>IFERROR(VLOOKUP(V11,Subvention!$B$54:$C$83,2,FALSE),0)*H11</f>
        <v>0</v>
      </c>
      <c r="X11" s="898">
        <v>4</v>
      </c>
      <c r="Y11" s="260"/>
      <c r="Z11"/>
      <c r="AA11"/>
      <c r="AB11" s="794"/>
      <c r="AC11"/>
      <c r="AD11" s="764"/>
    </row>
    <row r="12" spans="2:30">
      <c r="B12" s="11">
        <v>6</v>
      </c>
      <c r="C12" s="797">
        <f>'3b. Calculateur - MEÉ 1'!E48</f>
        <v>0</v>
      </c>
      <c r="D12" s="12">
        <f>'3b. Calculateur - MEÉ 1'!F48</f>
        <v>0</v>
      </c>
      <c r="E12" s="798" t="str">
        <f t="shared" si="0"/>
        <v>&lt; sélectionner &gt;_</v>
      </c>
      <c r="F12" s="12" t="str">
        <f>'3b. Calculateur - MEÉ 1'!G48</f>
        <v>&lt; sélectionner &gt;</v>
      </c>
      <c r="G12" s="12" t="str">
        <f t="shared" si="5"/>
        <v/>
      </c>
      <c r="H12" s="12">
        <f>'3b. Calculateur - MEÉ 1'!I48</f>
        <v>0</v>
      </c>
      <c r="I12" s="811">
        <f>'3b. Calculateur - MEÉ 1'!H48</f>
        <v>0</v>
      </c>
      <c r="J12" s="810">
        <f>IF(C12=0,0,VLOOKUP(C12,Hypothèses!$C$265:$E$285,3))</f>
        <v>0</v>
      </c>
      <c r="K12" s="799">
        <f>IF(C12=0,0,VLOOKUP(C12,Hypothèses!$C$265:$E$285,2))</f>
        <v>0</v>
      </c>
      <c r="L12" s="799">
        <f>IF(C12=0,0,C12^4*Hypothèses!$G$249+C12^3*Hypothèses!$H$249+C12^2*Hypothèses!$I$249+C12*Hypothèses!$J$249+Hypothèses!$K$249)</f>
        <v>0</v>
      </c>
      <c r="M12" s="812">
        <f t="shared" si="1"/>
        <v>0</v>
      </c>
      <c r="N12" s="810">
        <f t="shared" si="6"/>
        <v>0</v>
      </c>
      <c r="O12" s="799">
        <f>N12*'Facteurs conversion'!C$6/1000/'Facteurs conversion'!$C$23*M12</f>
        <v>0</v>
      </c>
      <c r="P12" s="713">
        <f t="shared" si="2"/>
        <v>0</v>
      </c>
      <c r="Q12" s="713">
        <f>P12/'Facteurs conversion'!$C$11</f>
        <v>0</v>
      </c>
      <c r="R12" s="800">
        <f>Q12/Hypothèses!$D$217</f>
        <v>0</v>
      </c>
      <c r="S12" s="823" t="str">
        <f>'3b. Calculateur - MEÉ 1'!D48</f>
        <v>&lt; sélectionner &gt;</v>
      </c>
      <c r="T12" s="823" t="e">
        <f>VLOOKUP(S12,Subvention!$E$55:$F$60,2,FALSE)</f>
        <v>#N/A</v>
      </c>
      <c r="U12" s="823">
        <f t="shared" si="3"/>
        <v>1</v>
      </c>
      <c r="V12" s="823" t="e">
        <f t="shared" si="4"/>
        <v>#N/A</v>
      </c>
      <c r="W12" s="823">
        <f>IFERROR(VLOOKUP(V12,Subvention!$B$54:$C$83,2,FALSE),0)*H12</f>
        <v>0</v>
      </c>
      <c r="X12" s="898">
        <v>5</v>
      </c>
      <c r="Y12" s="260"/>
      <c r="Z12"/>
      <c r="AA12"/>
      <c r="AB12" s="794"/>
      <c r="AC12"/>
      <c r="AD12" s="764"/>
    </row>
    <row r="13" spans="2:30">
      <c r="B13" s="11">
        <v>7</v>
      </c>
      <c r="C13" s="797">
        <f>'3b. Calculateur - MEÉ 1'!E49</f>
        <v>0</v>
      </c>
      <c r="D13" s="12">
        <f>'3b. Calculateur - MEÉ 1'!F49</f>
        <v>0</v>
      </c>
      <c r="E13" s="798" t="str">
        <f t="shared" si="0"/>
        <v>&lt; sélectionner &gt;_</v>
      </c>
      <c r="F13" s="12" t="str">
        <f>'3b. Calculateur - MEÉ 1'!G49</f>
        <v>&lt; sélectionner &gt;</v>
      </c>
      <c r="G13" s="12" t="str">
        <f t="shared" si="5"/>
        <v/>
      </c>
      <c r="H13" s="12">
        <f>'3b. Calculateur - MEÉ 1'!I49</f>
        <v>0</v>
      </c>
      <c r="I13" s="811">
        <f>'3b. Calculateur - MEÉ 1'!H49</f>
        <v>0</v>
      </c>
      <c r="J13" s="810">
        <f>IF(C13=0,0,VLOOKUP(C13,Hypothèses!$C$265:$E$285,3))</f>
        <v>0</v>
      </c>
      <c r="K13" s="799">
        <f>IF(C13=0,0,VLOOKUP(C13,Hypothèses!$C$265:$E$285,2))</f>
        <v>0</v>
      </c>
      <c r="L13" s="799">
        <f>IF(C13=0,0,C13^4*Hypothèses!$G$249+C13^3*Hypothèses!$H$249+C13^2*Hypothèses!$I$249+C13*Hypothèses!$J$249+Hypothèses!$K$249)</f>
        <v>0</v>
      </c>
      <c r="M13" s="812">
        <f t="shared" si="1"/>
        <v>0</v>
      </c>
      <c r="N13" s="810">
        <f t="shared" si="6"/>
        <v>0</v>
      </c>
      <c r="O13" s="799">
        <f>N13*'Facteurs conversion'!C$6/1000/'Facteurs conversion'!$C$23*M13</f>
        <v>0</v>
      </c>
      <c r="P13" s="713">
        <f t="shared" si="2"/>
        <v>0</v>
      </c>
      <c r="Q13" s="713">
        <f>P13/'Facteurs conversion'!$C$11</f>
        <v>0</v>
      </c>
      <c r="R13" s="800">
        <f>Q13/Hypothèses!$D$217</f>
        <v>0</v>
      </c>
      <c r="S13" s="823" t="str">
        <f>'3b. Calculateur - MEÉ 1'!D49</f>
        <v>&lt; sélectionner &gt;</v>
      </c>
      <c r="T13" s="823" t="e">
        <f>VLOOKUP(S13,Subvention!$E$55:$F$60,2,FALSE)</f>
        <v>#N/A</v>
      </c>
      <c r="U13" s="823">
        <f t="shared" si="3"/>
        <v>1</v>
      </c>
      <c r="V13" s="823" t="e">
        <f t="shared" si="4"/>
        <v>#N/A</v>
      </c>
      <c r="W13" s="823">
        <f>IFERROR(VLOOKUP(V13,Subvention!$B$54:$C$83,2,FALSE),0)*H13</f>
        <v>0</v>
      </c>
      <c r="X13" s="898">
        <v>6</v>
      </c>
      <c r="Y13" s="260"/>
      <c r="Z13"/>
      <c r="AA13"/>
      <c r="AB13" s="794"/>
      <c r="AC13"/>
      <c r="AD13" s="764"/>
    </row>
    <row r="14" spans="2:30">
      <c r="B14" s="11">
        <v>8</v>
      </c>
      <c r="C14" s="797">
        <f>'3b. Calculateur - MEÉ 1'!E50</f>
        <v>0</v>
      </c>
      <c r="D14" s="12">
        <f>'3b. Calculateur - MEÉ 1'!F50</f>
        <v>0</v>
      </c>
      <c r="E14" s="798" t="str">
        <f t="shared" si="0"/>
        <v>&lt; sélectionner &gt;_</v>
      </c>
      <c r="F14" s="12" t="str">
        <f>'3b. Calculateur - MEÉ 1'!G50</f>
        <v>&lt; sélectionner &gt;</v>
      </c>
      <c r="G14" s="12" t="str">
        <f t="shared" si="5"/>
        <v/>
      </c>
      <c r="H14" s="12">
        <f>'3b. Calculateur - MEÉ 1'!I50</f>
        <v>0</v>
      </c>
      <c r="I14" s="811">
        <f>'3b. Calculateur - MEÉ 1'!H50</f>
        <v>0</v>
      </c>
      <c r="J14" s="810">
        <f>IF(C14=0,0,VLOOKUP(C14,Hypothèses!$C$265:$E$285,3))</f>
        <v>0</v>
      </c>
      <c r="K14" s="799">
        <f>IF(C14=0,0,VLOOKUP(C14,Hypothèses!$C$265:$E$285,2))</f>
        <v>0</v>
      </c>
      <c r="L14" s="799">
        <f>IF(C14=0,0,C14^4*Hypothèses!$G$249+C14^3*Hypothèses!$H$249+C14^2*Hypothèses!$I$249+C14*Hypothèses!$J$249+Hypothèses!$K$249)</f>
        <v>0</v>
      </c>
      <c r="M14" s="812">
        <f t="shared" si="1"/>
        <v>0</v>
      </c>
      <c r="N14" s="810">
        <f t="shared" si="6"/>
        <v>0</v>
      </c>
      <c r="O14" s="799">
        <f>N14*'Facteurs conversion'!C$6/1000/'Facteurs conversion'!$C$23*M14</f>
        <v>0</v>
      </c>
      <c r="P14" s="713">
        <f>O14*I14*H14</f>
        <v>0</v>
      </c>
      <c r="Q14" s="713">
        <f>P14/'Facteurs conversion'!$C$11</f>
        <v>0</v>
      </c>
      <c r="R14" s="800">
        <f>Q14/Hypothèses!$D$217</f>
        <v>0</v>
      </c>
      <c r="S14" s="823" t="str">
        <f>'3b. Calculateur - MEÉ 1'!D50</f>
        <v>&lt; sélectionner &gt;</v>
      </c>
      <c r="T14" s="823" t="e">
        <f>VLOOKUP(S14,Subvention!$E$55:$F$60,2,FALSE)</f>
        <v>#N/A</v>
      </c>
      <c r="U14" s="823">
        <f t="shared" si="3"/>
        <v>1</v>
      </c>
      <c r="V14" s="823" t="e">
        <f t="shared" si="4"/>
        <v>#N/A</v>
      </c>
      <c r="W14" s="823">
        <f>IFERROR(VLOOKUP(V14,Subvention!$B$54:$C$83,2,FALSE),0)*H14</f>
        <v>0</v>
      </c>
      <c r="X14" s="898">
        <v>7</v>
      </c>
      <c r="Y14" s="260"/>
      <c r="Z14"/>
      <c r="AA14"/>
      <c r="AB14" s="794"/>
      <c r="AC14"/>
      <c r="AD14" s="764"/>
    </row>
    <row r="15" spans="2:30">
      <c r="B15" s="11">
        <v>9</v>
      </c>
      <c r="C15" s="797">
        <f>'3b. Calculateur - MEÉ 1'!E51</f>
        <v>0</v>
      </c>
      <c r="D15" s="12">
        <f>'3b. Calculateur - MEÉ 1'!F51</f>
        <v>0</v>
      </c>
      <c r="E15" s="798" t="str">
        <f t="shared" si="0"/>
        <v>&lt; sélectionner &gt;_</v>
      </c>
      <c r="F15" s="12" t="str">
        <f>'3b. Calculateur - MEÉ 1'!G51</f>
        <v>&lt; sélectionner &gt;</v>
      </c>
      <c r="G15" s="12" t="str">
        <f t="shared" si="5"/>
        <v/>
      </c>
      <c r="H15" s="12">
        <f>'3b. Calculateur - MEÉ 1'!I51</f>
        <v>0</v>
      </c>
      <c r="I15" s="811">
        <f>'3b. Calculateur - MEÉ 1'!H51</f>
        <v>0</v>
      </c>
      <c r="J15" s="810">
        <f>IF(C15=0,0,VLOOKUP(C15,Hypothèses!$C$265:$E$285,3))</f>
        <v>0</v>
      </c>
      <c r="K15" s="799">
        <f>IF(C15=0,0,VLOOKUP(C15,Hypothèses!$C$265:$E$285,2))</f>
        <v>0</v>
      </c>
      <c r="L15" s="799">
        <f>IF(C15=0,0,C15^4*Hypothèses!$G$249+C15^3*Hypothèses!$H$249+C15^2*Hypothèses!$I$249+C15*Hypothèses!$J$249+Hypothèses!$K$249)</f>
        <v>0</v>
      </c>
      <c r="M15" s="812">
        <f t="shared" si="1"/>
        <v>0</v>
      </c>
      <c r="N15" s="810">
        <f t="shared" si="6"/>
        <v>0</v>
      </c>
      <c r="O15" s="799">
        <f>N15*'Facteurs conversion'!C$6/1000/'Facteurs conversion'!$C$23*M15</f>
        <v>0</v>
      </c>
      <c r="P15" s="713">
        <f t="shared" si="2"/>
        <v>0</v>
      </c>
      <c r="Q15" s="713">
        <f>P15/'Facteurs conversion'!$C$11</f>
        <v>0</v>
      </c>
      <c r="R15" s="800">
        <f>Q15/Hypothèses!$D$217</f>
        <v>0</v>
      </c>
      <c r="S15" s="823" t="str">
        <f>'3b. Calculateur - MEÉ 1'!D51</f>
        <v>&lt; sélectionner &gt;</v>
      </c>
      <c r="T15" s="823" t="e">
        <f>VLOOKUP(S15,Subvention!$E$55:$F$60,2,FALSE)</f>
        <v>#N/A</v>
      </c>
      <c r="U15" s="823">
        <f t="shared" si="3"/>
        <v>1</v>
      </c>
      <c r="V15" s="823" t="e">
        <f t="shared" si="4"/>
        <v>#N/A</v>
      </c>
      <c r="W15" s="823">
        <f>IFERROR(VLOOKUP(V15,Subvention!$B$54:$C$83,2,FALSE),0)*H15</f>
        <v>0</v>
      </c>
      <c r="X15" s="898">
        <v>8</v>
      </c>
      <c r="Y15" s="260"/>
      <c r="Z15"/>
      <c r="AA15"/>
      <c r="AB15" s="794"/>
      <c r="AC15"/>
      <c r="AD15" s="764"/>
    </row>
    <row r="16" spans="2:30">
      <c r="B16" s="11">
        <v>10</v>
      </c>
      <c r="C16" s="797">
        <f>'3b. Calculateur - MEÉ 1'!E52</f>
        <v>0</v>
      </c>
      <c r="D16" s="12">
        <f>'3b. Calculateur - MEÉ 1'!F52</f>
        <v>0</v>
      </c>
      <c r="E16" s="798" t="str">
        <f t="shared" si="0"/>
        <v>&lt; sélectionner &gt;_</v>
      </c>
      <c r="F16" s="12" t="str">
        <f>'3b. Calculateur - MEÉ 1'!G52</f>
        <v>&lt; sélectionner &gt;</v>
      </c>
      <c r="G16" s="12" t="str">
        <f t="shared" si="5"/>
        <v/>
      </c>
      <c r="H16" s="12">
        <f>'3b. Calculateur - MEÉ 1'!I52</f>
        <v>0</v>
      </c>
      <c r="I16" s="811">
        <f>'3b. Calculateur - MEÉ 1'!H52</f>
        <v>0</v>
      </c>
      <c r="J16" s="810">
        <f>IF(C16=0,0,VLOOKUP(C16,Hypothèses!$C$265:$E$285,3))</f>
        <v>0</v>
      </c>
      <c r="K16" s="799">
        <f>IF(C16=0,0,VLOOKUP(C16,Hypothèses!$C$265:$E$285,2))</f>
        <v>0</v>
      </c>
      <c r="L16" s="799">
        <f>IF(C16=0,0,C16^4*Hypothèses!$G$249+C16^3*Hypothèses!$H$249+C16^2*Hypothèses!$I$249+C16*Hypothèses!$J$249+Hypothèses!$K$249)</f>
        <v>0</v>
      </c>
      <c r="M16" s="812">
        <f t="shared" si="1"/>
        <v>0</v>
      </c>
      <c r="N16" s="810">
        <f t="shared" si="6"/>
        <v>0</v>
      </c>
      <c r="O16" s="799">
        <f>N16*'Facteurs conversion'!C$6/1000/'Facteurs conversion'!$C$23*M16</f>
        <v>0</v>
      </c>
      <c r="P16" s="713">
        <f t="shared" si="2"/>
        <v>0</v>
      </c>
      <c r="Q16" s="713">
        <f>P16/'Facteurs conversion'!$C$11</f>
        <v>0</v>
      </c>
      <c r="R16" s="800">
        <f>Q16/Hypothèses!$D$217</f>
        <v>0</v>
      </c>
      <c r="S16" s="823" t="str">
        <f>'3b. Calculateur - MEÉ 1'!D52</f>
        <v>&lt; sélectionner &gt;</v>
      </c>
      <c r="T16" s="823" t="e">
        <f>VLOOKUP(S16,Subvention!$E$55:$F$60,2,FALSE)</f>
        <v>#N/A</v>
      </c>
      <c r="U16" s="823">
        <f t="shared" si="3"/>
        <v>1</v>
      </c>
      <c r="V16" s="823" t="e">
        <f t="shared" si="4"/>
        <v>#N/A</v>
      </c>
      <c r="W16" s="823">
        <f>IFERROR(VLOOKUP(V16,Subvention!$B$54:$C$83,2,FALSE),0)*H16</f>
        <v>0</v>
      </c>
      <c r="X16" s="898">
        <v>9</v>
      </c>
      <c r="Y16" s="260"/>
      <c r="Z16"/>
      <c r="AA16"/>
      <c r="AB16" s="794"/>
      <c r="AC16"/>
      <c r="AD16" s="764"/>
    </row>
    <row r="17" spans="2:30">
      <c r="B17" s="11">
        <v>11</v>
      </c>
      <c r="C17" s="797">
        <f>'3b. Calculateur - MEÉ 1'!E53</f>
        <v>0</v>
      </c>
      <c r="D17" s="12">
        <f>'3b. Calculateur - MEÉ 1'!F53</f>
        <v>0</v>
      </c>
      <c r="E17" s="798" t="str">
        <f t="shared" si="0"/>
        <v>&lt; sélectionner &gt;_</v>
      </c>
      <c r="F17" s="12" t="str">
        <f>'3b. Calculateur - MEÉ 1'!G53</f>
        <v>&lt; sélectionner &gt;</v>
      </c>
      <c r="G17" s="12" t="str">
        <f t="shared" si="5"/>
        <v/>
      </c>
      <c r="H17" s="12">
        <f>'3b. Calculateur - MEÉ 1'!I53</f>
        <v>0</v>
      </c>
      <c r="I17" s="811">
        <f>'3b. Calculateur - MEÉ 1'!H53</f>
        <v>0</v>
      </c>
      <c r="J17" s="810">
        <f>IF(C17=0,0,VLOOKUP(C17,Hypothèses!$C$265:$E$285,3))</f>
        <v>0</v>
      </c>
      <c r="K17" s="799">
        <f>IF(C17=0,0,VLOOKUP(C17,Hypothèses!$C$265:$E$285,2))</f>
        <v>0</v>
      </c>
      <c r="L17" s="799">
        <f>IF(C17=0,0,C17^4*Hypothèses!$G$249+C17^3*Hypothèses!$H$249+C17^2*Hypothèses!$I$249+C17*Hypothèses!$J$249+Hypothèses!$K$249)</f>
        <v>0</v>
      </c>
      <c r="M17" s="812">
        <f t="shared" si="1"/>
        <v>0</v>
      </c>
      <c r="N17" s="810">
        <f t="shared" si="6"/>
        <v>0</v>
      </c>
      <c r="O17" s="799">
        <f>N17*'Facteurs conversion'!C$6/1000/'Facteurs conversion'!$C$23*M17</f>
        <v>0</v>
      </c>
      <c r="P17" s="713">
        <f t="shared" si="2"/>
        <v>0</v>
      </c>
      <c r="Q17" s="713">
        <f>P17/'Facteurs conversion'!$C$11</f>
        <v>0</v>
      </c>
      <c r="R17" s="800">
        <f>Q17/Hypothèses!$D$217</f>
        <v>0</v>
      </c>
      <c r="S17" s="823" t="str">
        <f>'3b. Calculateur - MEÉ 1'!D53</f>
        <v>&lt; sélectionner &gt;</v>
      </c>
      <c r="T17" s="823" t="e">
        <f>VLOOKUP(S17,Subvention!$E$55:$F$60,2,FALSE)</f>
        <v>#N/A</v>
      </c>
      <c r="U17" s="823">
        <f t="shared" si="3"/>
        <v>1</v>
      </c>
      <c r="V17" s="823" t="e">
        <f t="shared" si="4"/>
        <v>#N/A</v>
      </c>
      <c r="W17" s="823">
        <f>IFERROR(VLOOKUP(V17,Subvention!$B$54:$C$83,2,FALSE),0)*H17</f>
        <v>0</v>
      </c>
      <c r="X17" s="898">
        <v>10</v>
      </c>
      <c r="Y17" s="260"/>
      <c r="Z17"/>
      <c r="AA17"/>
      <c r="AB17" s="794"/>
      <c r="AC17"/>
      <c r="AD17" s="764"/>
    </row>
    <row r="18" spans="2:30">
      <c r="B18" s="11">
        <v>12</v>
      </c>
      <c r="C18" s="797">
        <f>'3b. Calculateur - MEÉ 1'!E54</f>
        <v>0</v>
      </c>
      <c r="D18" s="12">
        <f>'3b. Calculateur - MEÉ 1'!F54</f>
        <v>0</v>
      </c>
      <c r="E18" s="798" t="str">
        <f t="shared" si="0"/>
        <v>&lt; sélectionner &gt;_</v>
      </c>
      <c r="F18" s="12" t="str">
        <f>'3b. Calculateur - MEÉ 1'!G54</f>
        <v>&lt; sélectionner &gt;</v>
      </c>
      <c r="G18" s="12" t="str">
        <f t="shared" si="5"/>
        <v/>
      </c>
      <c r="H18" s="12">
        <f>'3b. Calculateur - MEÉ 1'!I54</f>
        <v>0</v>
      </c>
      <c r="I18" s="811">
        <f>'3b. Calculateur - MEÉ 1'!H54</f>
        <v>0</v>
      </c>
      <c r="J18" s="810">
        <f>IF(C18=0,0,VLOOKUP(C18,Hypothèses!$C$265:$E$285,3))</f>
        <v>0</v>
      </c>
      <c r="K18" s="799">
        <f>IF(C18=0,0,VLOOKUP(C18,Hypothèses!$C$265:$E$285,2))</f>
        <v>0</v>
      </c>
      <c r="L18" s="799">
        <f>IF(C18=0,0,C18^4*Hypothèses!$G$249+C18^3*Hypothèses!$H$249+C18^2*Hypothèses!$I$249+C18*Hypothèses!$J$249+Hypothèses!$K$249)</f>
        <v>0</v>
      </c>
      <c r="M18" s="812">
        <f t="shared" si="1"/>
        <v>0</v>
      </c>
      <c r="N18" s="810">
        <f t="shared" si="6"/>
        <v>0</v>
      </c>
      <c r="O18" s="799">
        <f>N18*'Facteurs conversion'!C$6/1000/'Facteurs conversion'!$C$23*M18</f>
        <v>0</v>
      </c>
      <c r="P18" s="713">
        <f t="shared" si="2"/>
        <v>0</v>
      </c>
      <c r="Q18" s="713">
        <f>P18/'Facteurs conversion'!$C$11</f>
        <v>0</v>
      </c>
      <c r="R18" s="800">
        <f>Q18/Hypothèses!$D$217</f>
        <v>0</v>
      </c>
      <c r="S18" s="823" t="str">
        <f>'3b. Calculateur - MEÉ 1'!D54</f>
        <v>&lt; sélectionner &gt;</v>
      </c>
      <c r="T18" s="823" t="e">
        <f>VLOOKUP(S18,Subvention!$E$55:$F$60,2,FALSE)</f>
        <v>#N/A</v>
      </c>
      <c r="U18" s="823">
        <f t="shared" si="3"/>
        <v>1</v>
      </c>
      <c r="V18" s="823" t="e">
        <f t="shared" si="4"/>
        <v>#N/A</v>
      </c>
      <c r="W18" s="823">
        <f>IFERROR(VLOOKUP(V18,Subvention!$B$54:$C$83,2,FALSE),0)*H18</f>
        <v>0</v>
      </c>
      <c r="X18" s="898">
        <v>11</v>
      </c>
      <c r="Y18" s="260"/>
      <c r="Z18"/>
      <c r="AA18"/>
      <c r="AB18" s="794"/>
      <c r="AC18"/>
      <c r="AD18" s="764"/>
    </row>
    <row r="19" spans="2:30">
      <c r="B19" s="11">
        <v>13</v>
      </c>
      <c r="C19" s="797">
        <f>'3b. Calculateur - MEÉ 1'!E55</f>
        <v>0</v>
      </c>
      <c r="D19" s="12">
        <f>'3b. Calculateur - MEÉ 1'!F55</f>
        <v>0</v>
      </c>
      <c r="E19" s="798" t="str">
        <f t="shared" si="0"/>
        <v>&lt; sélectionner &gt;_</v>
      </c>
      <c r="F19" s="12" t="str">
        <f>'3b. Calculateur - MEÉ 1'!G55</f>
        <v>&lt; sélectionner &gt;</v>
      </c>
      <c r="G19" s="12" t="str">
        <f t="shared" si="5"/>
        <v/>
      </c>
      <c r="H19" s="12">
        <f>'3b. Calculateur - MEÉ 1'!I55</f>
        <v>0</v>
      </c>
      <c r="I19" s="811">
        <f>'3b. Calculateur - MEÉ 1'!H55</f>
        <v>0</v>
      </c>
      <c r="J19" s="810">
        <f>IF(C19=0,0,VLOOKUP(C19,Hypothèses!$C$265:$E$285,3))</f>
        <v>0</v>
      </c>
      <c r="K19" s="799">
        <f>IF(C19=0,0,VLOOKUP(C19,Hypothèses!$C$265:$E$285,2))</f>
        <v>0</v>
      </c>
      <c r="L19" s="799">
        <f>IF(C19=0,0,C19^4*Hypothèses!$G$249+C19^3*Hypothèses!$H$249+C19^2*Hypothèses!$I$249+C19*Hypothèses!$J$249+Hypothèses!$K$249)</f>
        <v>0</v>
      </c>
      <c r="M19" s="812">
        <f t="shared" si="1"/>
        <v>0</v>
      </c>
      <c r="N19" s="810">
        <f t="shared" si="6"/>
        <v>0</v>
      </c>
      <c r="O19" s="799">
        <f>N19*'Facteurs conversion'!C$6/1000/'Facteurs conversion'!$C$23*M19</f>
        <v>0</v>
      </c>
      <c r="P19" s="713">
        <f t="shared" si="2"/>
        <v>0</v>
      </c>
      <c r="Q19" s="713">
        <f>P19/'Facteurs conversion'!$C$11</f>
        <v>0</v>
      </c>
      <c r="R19" s="800">
        <f>Q19/Hypothèses!$D$217</f>
        <v>0</v>
      </c>
      <c r="S19" s="823" t="str">
        <f>'3b. Calculateur - MEÉ 1'!D55</f>
        <v>&lt; sélectionner &gt;</v>
      </c>
      <c r="T19" s="823" t="e">
        <f>VLOOKUP(S19,Subvention!$E$55:$F$60,2,FALSE)</f>
        <v>#N/A</v>
      </c>
      <c r="U19" s="823">
        <f t="shared" si="3"/>
        <v>1</v>
      </c>
      <c r="V19" s="823" t="e">
        <f t="shared" si="4"/>
        <v>#N/A</v>
      </c>
      <c r="W19" s="823">
        <f>IFERROR(VLOOKUP(V19,Subvention!$B$54:$C$83,2,FALSE),0)*H19</f>
        <v>0</v>
      </c>
      <c r="X19" s="898">
        <v>12</v>
      </c>
      <c r="Y19" s="260"/>
      <c r="Z19"/>
      <c r="AA19"/>
      <c r="AB19" s="794"/>
      <c r="AC19"/>
      <c r="AD19" s="764"/>
    </row>
    <row r="20" spans="2:30">
      <c r="B20" s="11">
        <v>14</v>
      </c>
      <c r="C20" s="797">
        <f>'3b. Calculateur - MEÉ 1'!E56</f>
        <v>0</v>
      </c>
      <c r="D20" s="12">
        <f>'3b. Calculateur - MEÉ 1'!F56</f>
        <v>0</v>
      </c>
      <c r="E20" s="798" t="str">
        <f t="shared" si="0"/>
        <v>&lt; sélectionner &gt;_</v>
      </c>
      <c r="F20" s="12" t="str">
        <f>'3b. Calculateur - MEÉ 1'!G56</f>
        <v>&lt; sélectionner &gt;</v>
      </c>
      <c r="G20" s="12" t="str">
        <f t="shared" si="5"/>
        <v/>
      </c>
      <c r="H20" s="12">
        <f>'3b. Calculateur - MEÉ 1'!I56</f>
        <v>0</v>
      </c>
      <c r="I20" s="811">
        <f>'3b. Calculateur - MEÉ 1'!H56</f>
        <v>0</v>
      </c>
      <c r="J20" s="810">
        <f>IF(C20=0,0,VLOOKUP(C20,Hypothèses!$C$265:$E$285,3))</f>
        <v>0</v>
      </c>
      <c r="K20" s="799">
        <f>IF(C20=0,0,VLOOKUP(C20,Hypothèses!$C$265:$E$285,2))</f>
        <v>0</v>
      </c>
      <c r="L20" s="799">
        <f>IF(C20=0,0,C20^4*Hypothèses!$G$249+C20^3*Hypothèses!$H$249+C20^2*Hypothèses!$I$249+C20*Hypothèses!$J$249+Hypothèses!$K$249)</f>
        <v>0</v>
      </c>
      <c r="M20" s="812">
        <f t="shared" si="1"/>
        <v>0</v>
      </c>
      <c r="N20" s="810">
        <f t="shared" si="6"/>
        <v>0</v>
      </c>
      <c r="O20" s="799">
        <f>N20*'Facteurs conversion'!C$6/1000/'Facteurs conversion'!$C$23*M20</f>
        <v>0</v>
      </c>
      <c r="P20" s="713">
        <f t="shared" si="2"/>
        <v>0</v>
      </c>
      <c r="Q20" s="713">
        <f>P20/'Facteurs conversion'!$C$11</f>
        <v>0</v>
      </c>
      <c r="R20" s="800">
        <f>Q20/Hypothèses!$D$217</f>
        <v>0</v>
      </c>
      <c r="S20" s="823" t="str">
        <f>'3b. Calculateur - MEÉ 1'!D56</f>
        <v>&lt; sélectionner &gt;</v>
      </c>
      <c r="T20" s="823" t="e">
        <f>VLOOKUP(S20,Subvention!$E$55:$F$60,2,FALSE)</f>
        <v>#N/A</v>
      </c>
      <c r="U20" s="823">
        <f t="shared" si="3"/>
        <v>1</v>
      </c>
      <c r="V20" s="823" t="e">
        <f t="shared" si="4"/>
        <v>#N/A</v>
      </c>
      <c r="W20" s="823">
        <f>IFERROR(VLOOKUP(V20,Subvention!$B$54:$C$83,2,FALSE),0)*H20</f>
        <v>0</v>
      </c>
      <c r="X20" s="898">
        <v>13</v>
      </c>
      <c r="Y20" s="260"/>
      <c r="Z20"/>
      <c r="AA20"/>
      <c r="AB20" s="794"/>
      <c r="AC20"/>
      <c r="AD20" s="764"/>
    </row>
    <row r="21" spans="2:30">
      <c r="B21" s="11">
        <v>15</v>
      </c>
      <c r="C21" s="797">
        <f>'3b. Calculateur - MEÉ 1'!E57</f>
        <v>0</v>
      </c>
      <c r="D21" s="12">
        <f>'3b. Calculateur - MEÉ 1'!F57</f>
        <v>0</v>
      </c>
      <c r="E21" s="798" t="str">
        <f t="shared" si="0"/>
        <v>&lt; sélectionner &gt;_</v>
      </c>
      <c r="F21" s="12" t="str">
        <f>'3b. Calculateur - MEÉ 1'!G57</f>
        <v>&lt; sélectionner &gt;</v>
      </c>
      <c r="G21" s="12" t="str">
        <f t="shared" si="5"/>
        <v/>
      </c>
      <c r="H21" s="12">
        <f>'3b. Calculateur - MEÉ 1'!I57</f>
        <v>0</v>
      </c>
      <c r="I21" s="811">
        <f>'3b. Calculateur - MEÉ 1'!H57</f>
        <v>0</v>
      </c>
      <c r="J21" s="810">
        <f>IF(C21=0,0,VLOOKUP(C21,Hypothèses!$C$265:$E$285,3))</f>
        <v>0</v>
      </c>
      <c r="K21" s="799">
        <f>IF(C21=0,0,VLOOKUP(C21,Hypothèses!$C$265:$E$285,2))</f>
        <v>0</v>
      </c>
      <c r="L21" s="799">
        <f>IF(C21=0,0,C21^4*Hypothèses!$G$249+C21^3*Hypothèses!$H$249+C21^2*Hypothèses!$I$249+C21*Hypothèses!$J$249+Hypothèses!$K$249)</f>
        <v>0</v>
      </c>
      <c r="M21" s="812">
        <f t="shared" si="1"/>
        <v>0</v>
      </c>
      <c r="N21" s="810">
        <f t="shared" si="6"/>
        <v>0</v>
      </c>
      <c r="O21" s="799">
        <f>N21*'Facteurs conversion'!C$6/1000/'Facteurs conversion'!$C$23*M21</f>
        <v>0</v>
      </c>
      <c r="P21" s="713">
        <f t="shared" si="2"/>
        <v>0</v>
      </c>
      <c r="Q21" s="713">
        <f>P21/'Facteurs conversion'!$C$11</f>
        <v>0</v>
      </c>
      <c r="R21" s="800">
        <f>Q21/Hypothèses!$D$217</f>
        <v>0</v>
      </c>
      <c r="S21" s="823" t="str">
        <f>'3b. Calculateur - MEÉ 1'!D57</f>
        <v>&lt; sélectionner &gt;</v>
      </c>
      <c r="T21" s="823" t="e">
        <f>VLOOKUP(S21,Subvention!$E$55:$F$60,2,FALSE)</f>
        <v>#N/A</v>
      </c>
      <c r="U21" s="823">
        <f t="shared" si="3"/>
        <v>1</v>
      </c>
      <c r="V21" s="823" t="e">
        <f t="shared" si="4"/>
        <v>#N/A</v>
      </c>
      <c r="W21" s="823">
        <f>IFERROR(VLOOKUP(V21,Subvention!$B$54:$C$83,2,FALSE),0)*H21</f>
        <v>0</v>
      </c>
      <c r="X21" s="898">
        <v>14</v>
      </c>
      <c r="Y21" s="260"/>
      <c r="Z21"/>
      <c r="AA21"/>
      <c r="AB21" s="794"/>
      <c r="AC21"/>
      <c r="AD21" s="764"/>
    </row>
    <row r="22" spans="2:30">
      <c r="B22" s="11">
        <v>16</v>
      </c>
      <c r="C22" s="797">
        <f>'3b. Calculateur - MEÉ 1'!E58</f>
        <v>0</v>
      </c>
      <c r="D22" s="12">
        <f>'3b. Calculateur - MEÉ 1'!F58</f>
        <v>0</v>
      </c>
      <c r="E22" s="798" t="str">
        <f t="shared" si="0"/>
        <v>&lt; sélectionner &gt;_</v>
      </c>
      <c r="F22" s="12" t="str">
        <f>'3b. Calculateur - MEÉ 1'!G58</f>
        <v>&lt; sélectionner &gt;</v>
      </c>
      <c r="G22" s="12" t="str">
        <f t="shared" si="5"/>
        <v/>
      </c>
      <c r="H22" s="12">
        <f>'3b. Calculateur - MEÉ 1'!I58</f>
        <v>0</v>
      </c>
      <c r="I22" s="811">
        <f>'3b. Calculateur - MEÉ 1'!H58</f>
        <v>0</v>
      </c>
      <c r="J22" s="810">
        <f>IF(C22=0,0,VLOOKUP(C22,Hypothèses!$C$265:$E$285,3))</f>
        <v>0</v>
      </c>
      <c r="K22" s="799">
        <f>IF(C22=0,0,VLOOKUP(C22,Hypothèses!$C$265:$E$285,2))</f>
        <v>0</v>
      </c>
      <c r="L22" s="799">
        <f>IF(C22=0,0,C22^4*Hypothèses!$G$249+C22^3*Hypothèses!$H$249+C22^2*Hypothèses!$I$249+C22*Hypothèses!$J$249+Hypothèses!$K$249)</f>
        <v>0</v>
      </c>
      <c r="M22" s="812">
        <f t="shared" si="1"/>
        <v>0</v>
      </c>
      <c r="N22" s="810">
        <f t="shared" si="6"/>
        <v>0</v>
      </c>
      <c r="O22" s="799">
        <f>N22*'Facteurs conversion'!C$6/1000/'Facteurs conversion'!$C$23*M22</f>
        <v>0</v>
      </c>
      <c r="P22" s="713">
        <f t="shared" si="2"/>
        <v>0</v>
      </c>
      <c r="Q22" s="713">
        <f>P22/'Facteurs conversion'!$C$11</f>
        <v>0</v>
      </c>
      <c r="R22" s="800">
        <f>Q22/Hypothèses!$D$217</f>
        <v>0</v>
      </c>
      <c r="S22" s="823" t="str">
        <f>'3b. Calculateur - MEÉ 1'!D58</f>
        <v>&lt; sélectionner &gt;</v>
      </c>
      <c r="T22" s="823" t="e">
        <f>VLOOKUP(S22,Subvention!$E$55:$F$60,2,FALSE)</f>
        <v>#N/A</v>
      </c>
      <c r="U22" s="823">
        <f t="shared" si="3"/>
        <v>1</v>
      </c>
      <c r="V22" s="823" t="e">
        <f t="shared" si="4"/>
        <v>#N/A</v>
      </c>
      <c r="W22" s="823">
        <f>IFERROR(VLOOKUP(V22,Subvention!$B$54:$C$83,2,FALSE),0)*H22</f>
        <v>0</v>
      </c>
      <c r="X22" s="898">
        <v>15</v>
      </c>
      <c r="Y22" s="260"/>
      <c r="Z22"/>
      <c r="AA22"/>
      <c r="AB22" s="794"/>
      <c r="AC22"/>
      <c r="AD22" s="764"/>
    </row>
    <row r="23" spans="2:30">
      <c r="B23" s="11">
        <v>17</v>
      </c>
      <c r="C23" s="797">
        <f>'3b. Calculateur - MEÉ 1'!E59</f>
        <v>0</v>
      </c>
      <c r="D23" s="12">
        <f>'3b. Calculateur - MEÉ 1'!F59</f>
        <v>0</v>
      </c>
      <c r="E23" s="798" t="str">
        <f t="shared" si="0"/>
        <v>&lt; sélectionner &gt;_</v>
      </c>
      <c r="F23" s="12" t="str">
        <f>'3b. Calculateur - MEÉ 1'!G59</f>
        <v>&lt; sélectionner &gt;</v>
      </c>
      <c r="G23" s="12" t="str">
        <f t="shared" si="5"/>
        <v/>
      </c>
      <c r="H23" s="12">
        <f>'3b. Calculateur - MEÉ 1'!I59</f>
        <v>0</v>
      </c>
      <c r="I23" s="811">
        <f>'3b. Calculateur - MEÉ 1'!H59</f>
        <v>0</v>
      </c>
      <c r="J23" s="810">
        <f>IF(C23=0,0,VLOOKUP(C23,Hypothèses!$C$265:$E$285,3))</f>
        <v>0</v>
      </c>
      <c r="K23" s="799">
        <f>IF(C23=0,0,VLOOKUP(C23,Hypothèses!$C$265:$E$285,2))</f>
        <v>0</v>
      </c>
      <c r="L23" s="799">
        <f>IF(C23=0,0,C23^4*Hypothèses!$G$249+C23^3*Hypothèses!$H$249+C23^2*Hypothèses!$I$249+C23*Hypothèses!$J$249+Hypothèses!$K$249)</f>
        <v>0</v>
      </c>
      <c r="M23" s="812">
        <f t="shared" si="1"/>
        <v>0</v>
      </c>
      <c r="N23" s="810">
        <f t="shared" si="6"/>
        <v>0</v>
      </c>
      <c r="O23" s="799">
        <f>N23*'Facteurs conversion'!C$6/1000/'Facteurs conversion'!$C$23*M23</f>
        <v>0</v>
      </c>
      <c r="P23" s="713">
        <f t="shared" si="2"/>
        <v>0</v>
      </c>
      <c r="Q23" s="713">
        <f>P23/'Facteurs conversion'!$C$11</f>
        <v>0</v>
      </c>
      <c r="R23" s="800">
        <f>Q23/Hypothèses!$D$217</f>
        <v>0</v>
      </c>
      <c r="S23" s="823" t="str">
        <f>'3b. Calculateur - MEÉ 1'!D59</f>
        <v>&lt; sélectionner &gt;</v>
      </c>
      <c r="T23" s="823" t="e">
        <f>VLOOKUP(S23,Subvention!$E$55:$F$60,2,FALSE)</f>
        <v>#N/A</v>
      </c>
      <c r="U23" s="823">
        <f t="shared" si="3"/>
        <v>1</v>
      </c>
      <c r="V23" s="823" t="e">
        <f t="shared" si="4"/>
        <v>#N/A</v>
      </c>
      <c r="W23" s="823">
        <f>IFERROR(VLOOKUP(V23,Subvention!$B$54:$C$83,2,FALSE),0)*H23</f>
        <v>0</v>
      </c>
      <c r="X23" s="898">
        <v>16</v>
      </c>
      <c r="Y23" s="260"/>
      <c r="Z23"/>
      <c r="AA23"/>
      <c r="AB23" s="794"/>
      <c r="AC23"/>
      <c r="AD23" s="764"/>
    </row>
    <row r="24" spans="2:30">
      <c r="B24" s="11">
        <v>18</v>
      </c>
      <c r="C24" s="797">
        <f>'3b. Calculateur - MEÉ 1'!E60</f>
        <v>0</v>
      </c>
      <c r="D24" s="12">
        <f>'3b. Calculateur - MEÉ 1'!F60</f>
        <v>0</v>
      </c>
      <c r="E24" s="798" t="str">
        <f t="shared" si="0"/>
        <v>&lt; sélectionner &gt;_</v>
      </c>
      <c r="F24" s="12" t="str">
        <f>'3b. Calculateur - MEÉ 1'!G60</f>
        <v>&lt; sélectionner &gt;</v>
      </c>
      <c r="G24" s="12" t="str">
        <f t="shared" si="5"/>
        <v/>
      </c>
      <c r="H24" s="12">
        <f>'3b. Calculateur - MEÉ 1'!I60</f>
        <v>0</v>
      </c>
      <c r="I24" s="811">
        <f>'3b. Calculateur - MEÉ 1'!H60</f>
        <v>0</v>
      </c>
      <c r="J24" s="810">
        <f>IF(C24=0,0,VLOOKUP(C24,Hypothèses!$C$265:$E$285,3))</f>
        <v>0</v>
      </c>
      <c r="K24" s="799">
        <f>IF(C24=0,0,VLOOKUP(C24,Hypothèses!$C$265:$E$285,2))</f>
        <v>0</v>
      </c>
      <c r="L24" s="799">
        <f>IF(C24=0,0,C24^4*Hypothèses!$G$249+C24^3*Hypothèses!$H$249+C24^2*Hypothèses!$I$249+C24*Hypothèses!$J$249+Hypothèses!$K$249)</f>
        <v>0</v>
      </c>
      <c r="M24" s="812">
        <f t="shared" si="1"/>
        <v>0</v>
      </c>
      <c r="N24" s="810">
        <f t="shared" si="6"/>
        <v>0</v>
      </c>
      <c r="O24" s="799">
        <f>N24*'Facteurs conversion'!C$6/1000/'Facteurs conversion'!$C$23*M24</f>
        <v>0</v>
      </c>
      <c r="P24" s="713">
        <f t="shared" si="2"/>
        <v>0</v>
      </c>
      <c r="Q24" s="713">
        <f>P24/'Facteurs conversion'!$C$11</f>
        <v>0</v>
      </c>
      <c r="R24" s="800">
        <f>Q24/Hypothèses!$D$217</f>
        <v>0</v>
      </c>
      <c r="S24" s="823" t="str">
        <f>'3b. Calculateur - MEÉ 1'!D60</f>
        <v>&lt; sélectionner &gt;</v>
      </c>
      <c r="T24" s="823" t="e">
        <f>VLOOKUP(S24,Subvention!$E$55:$F$60,2,FALSE)</f>
        <v>#N/A</v>
      </c>
      <c r="U24" s="823">
        <f t="shared" si="3"/>
        <v>1</v>
      </c>
      <c r="V24" s="823" t="e">
        <f t="shared" si="4"/>
        <v>#N/A</v>
      </c>
      <c r="W24" s="823">
        <f>IFERROR(VLOOKUP(V24,Subvention!$B$54:$C$83,2,FALSE),0)*H24</f>
        <v>0</v>
      </c>
      <c r="X24" s="898">
        <v>17</v>
      </c>
      <c r="Y24" s="260"/>
      <c r="Z24"/>
      <c r="AA24"/>
      <c r="AB24" s="794"/>
      <c r="AC24"/>
      <c r="AD24" s="764"/>
    </row>
    <row r="25" spans="2:30">
      <c r="B25" s="11">
        <v>19</v>
      </c>
      <c r="C25" s="797">
        <f>'3b. Calculateur - MEÉ 1'!E61</f>
        <v>0</v>
      </c>
      <c r="D25" s="12">
        <f>'3b. Calculateur - MEÉ 1'!F61</f>
        <v>0</v>
      </c>
      <c r="E25" s="798" t="str">
        <f t="shared" si="0"/>
        <v>&lt; sélectionner &gt;_</v>
      </c>
      <c r="F25" s="12" t="str">
        <f>'3b. Calculateur - MEÉ 1'!G61</f>
        <v>&lt; sélectionner &gt;</v>
      </c>
      <c r="G25" s="12" t="str">
        <f t="shared" si="5"/>
        <v/>
      </c>
      <c r="H25" s="12">
        <f>'3b. Calculateur - MEÉ 1'!I61</f>
        <v>0</v>
      </c>
      <c r="I25" s="811">
        <f>'3b. Calculateur - MEÉ 1'!H61</f>
        <v>0</v>
      </c>
      <c r="J25" s="810">
        <f>IF(C25=0,0,VLOOKUP(C25,Hypothèses!$C$265:$E$285,3))</f>
        <v>0</v>
      </c>
      <c r="K25" s="799">
        <f>IF(C25=0,0,VLOOKUP(C25,Hypothèses!$C$265:$E$285,2))</f>
        <v>0</v>
      </c>
      <c r="L25" s="799">
        <f>IF(C25=0,0,C25^4*Hypothèses!$G$249+C25^3*Hypothèses!$H$249+C25^2*Hypothèses!$I$249+C25*Hypothèses!$J$249+Hypothèses!$K$249)</f>
        <v>0</v>
      </c>
      <c r="M25" s="812">
        <f t="shared" si="1"/>
        <v>0</v>
      </c>
      <c r="N25" s="810">
        <f t="shared" si="6"/>
        <v>0</v>
      </c>
      <c r="O25" s="799">
        <f>N25*'Facteurs conversion'!C$6/1000/'Facteurs conversion'!$C$23*M25</f>
        <v>0</v>
      </c>
      <c r="P25" s="713">
        <f t="shared" si="2"/>
        <v>0</v>
      </c>
      <c r="Q25" s="713">
        <f>P25/'Facteurs conversion'!$C$11</f>
        <v>0</v>
      </c>
      <c r="R25" s="800">
        <f>Q25/Hypothèses!$D$217</f>
        <v>0</v>
      </c>
      <c r="S25" s="823" t="str">
        <f>'3b. Calculateur - MEÉ 1'!D61</f>
        <v>&lt; sélectionner &gt;</v>
      </c>
      <c r="T25" s="823" t="e">
        <f>VLOOKUP(S25,Subvention!$E$55:$F$60,2,FALSE)</f>
        <v>#N/A</v>
      </c>
      <c r="U25" s="823">
        <f t="shared" si="3"/>
        <v>1</v>
      </c>
      <c r="V25" s="823" t="e">
        <f t="shared" si="4"/>
        <v>#N/A</v>
      </c>
      <c r="W25" s="823">
        <f>IFERROR(VLOOKUP(V25,Subvention!$B$54:$C$83,2,FALSE),0)*H25</f>
        <v>0</v>
      </c>
      <c r="X25" s="898">
        <v>18</v>
      </c>
      <c r="Y25" s="260"/>
      <c r="Z25"/>
      <c r="AA25"/>
      <c r="AB25" s="794"/>
      <c r="AC25"/>
      <c r="AD25" s="764"/>
    </row>
    <row r="26" spans="2:30">
      <c r="B26" s="11">
        <v>20</v>
      </c>
      <c r="C26" s="797">
        <f>'3b. Calculateur - MEÉ 1'!E62</f>
        <v>0</v>
      </c>
      <c r="D26" s="12">
        <f>'3b. Calculateur - MEÉ 1'!F62</f>
        <v>0</v>
      </c>
      <c r="E26" s="798" t="str">
        <f t="shared" si="0"/>
        <v>&lt; sélectionner &gt;_</v>
      </c>
      <c r="F26" s="12" t="str">
        <f>'3b. Calculateur - MEÉ 1'!G62</f>
        <v>&lt; sélectionner &gt;</v>
      </c>
      <c r="G26" s="12" t="str">
        <f t="shared" si="5"/>
        <v/>
      </c>
      <c r="H26" s="12">
        <f>'3b. Calculateur - MEÉ 1'!I62</f>
        <v>0</v>
      </c>
      <c r="I26" s="811">
        <f>'3b. Calculateur - MEÉ 1'!H62</f>
        <v>0</v>
      </c>
      <c r="J26" s="810">
        <f>IF(C26=0,0,VLOOKUP(C26,Hypothèses!$C$265:$E$285,3))</f>
        <v>0</v>
      </c>
      <c r="K26" s="799">
        <f>IF(C26=0,0,VLOOKUP(C26,Hypothèses!$C$265:$E$285,2))</f>
        <v>0</v>
      </c>
      <c r="L26" s="799">
        <f>IF(C26=0,0,C26^4*Hypothèses!$G$249+C26^3*Hypothèses!$H$249+C26^2*Hypothèses!$I$249+C26*Hypothèses!$J$249+Hypothèses!$K$249)</f>
        <v>0</v>
      </c>
      <c r="M26" s="812">
        <f t="shared" si="1"/>
        <v>0</v>
      </c>
      <c r="N26" s="810">
        <f>_xlfn.XLOOKUP(B26,$Y$8:$Y$67,$AD$8:$AD$67,0,0)</f>
        <v>0</v>
      </c>
      <c r="O26" s="799">
        <f>N26*'Facteurs conversion'!C$6/1000/'Facteurs conversion'!$C$23*M26</f>
        <v>0</v>
      </c>
      <c r="P26" s="713">
        <f t="shared" si="2"/>
        <v>0</v>
      </c>
      <c r="Q26" s="713">
        <f>P26/'Facteurs conversion'!$C$11</f>
        <v>0</v>
      </c>
      <c r="R26" s="800">
        <f>Q26/Hypothèses!$D$217</f>
        <v>0</v>
      </c>
      <c r="S26" s="823" t="str">
        <f>'3b. Calculateur - MEÉ 1'!D62</f>
        <v>&lt; sélectionner &gt;</v>
      </c>
      <c r="T26" s="823" t="e">
        <f>VLOOKUP(S26,Subvention!$E$55:$F$60,2,FALSE)</f>
        <v>#N/A</v>
      </c>
      <c r="U26" s="823">
        <f t="shared" si="3"/>
        <v>1</v>
      </c>
      <c r="V26" s="823" t="e">
        <f t="shared" si="4"/>
        <v>#N/A</v>
      </c>
      <c r="W26" s="823">
        <f>IFERROR(VLOOKUP(V26,Subvention!$B$54:$C$83,2,FALSE),0)*H26</f>
        <v>0</v>
      </c>
      <c r="X26" s="898">
        <v>19</v>
      </c>
      <c r="Y26" s="260"/>
      <c r="Z26"/>
      <c r="AA26"/>
      <c r="AB26" s="794"/>
      <c r="AC26"/>
      <c r="AD26" s="764"/>
    </row>
    <row r="27" spans="2:30" s="7" customFormat="1">
      <c r="E27" s="896"/>
      <c r="X27" s="898">
        <v>20</v>
      </c>
      <c r="Y27" s="260"/>
      <c r="Z27"/>
      <c r="AA27"/>
      <c r="AB27" s="794"/>
      <c r="AC27"/>
      <c r="AD27" s="764"/>
    </row>
    <row r="28" spans="2:30">
      <c r="B28" s="809" t="s">
        <v>32</v>
      </c>
      <c r="C28" s="801"/>
      <c r="D28" s="802"/>
      <c r="E28" s="803"/>
      <c r="F28" s="802"/>
      <c r="G28" s="802"/>
      <c r="H28" s="802"/>
      <c r="I28" s="802"/>
      <c r="J28" s="802"/>
      <c r="K28" s="802"/>
      <c r="L28" s="802"/>
      <c r="M28" s="802"/>
      <c r="N28" s="802"/>
      <c r="O28" s="802"/>
      <c r="P28" s="802"/>
      <c r="Q28" s="802"/>
      <c r="R28" s="804"/>
      <c r="S28" s="804"/>
      <c r="T28" s="804"/>
      <c r="U28" s="804"/>
      <c r="V28" s="804"/>
      <c r="W28" s="804"/>
      <c r="X28" s="898">
        <v>1</v>
      </c>
      <c r="Y28" s="260" t="e" cm="1" vm="1">
        <f t="array" ref="Y28">_xlfn._xlws.FILTER('Isolation - CAS 2'!N12:S31,'Isolation - CAS 2'!N12:N31&lt;&gt;"")</f>
        <v>#VALUE!</v>
      </c>
      <c r="Z28"/>
      <c r="AA28"/>
      <c r="AB28" s="794"/>
      <c r="AC28"/>
      <c r="AD28" s="764"/>
    </row>
    <row r="29" spans="2:30" s="7" customFormat="1">
      <c r="E29" s="896"/>
      <c r="X29" s="898">
        <v>2</v>
      </c>
      <c r="Y29" s="260"/>
      <c r="Z29"/>
      <c r="AA29"/>
      <c r="AB29" s="794"/>
      <c r="AC29"/>
      <c r="AD29" s="764"/>
    </row>
    <row r="30" spans="2:30" ht="51">
      <c r="B30" s="2286" t="s">
        <v>1136</v>
      </c>
      <c r="C30" s="931" t="s">
        <v>1205</v>
      </c>
      <c r="D30" s="931" t="s">
        <v>1180</v>
      </c>
      <c r="E30" s="2287" t="s">
        <v>1148</v>
      </c>
      <c r="F30" s="2286" t="s">
        <v>998</v>
      </c>
      <c r="G30" s="2286" t="s">
        <v>562</v>
      </c>
      <c r="H30" s="2286" t="s">
        <v>986</v>
      </c>
      <c r="I30" s="934" t="s">
        <v>21</v>
      </c>
      <c r="J30" s="2288" t="s">
        <v>1203</v>
      </c>
      <c r="K30" s="2288"/>
      <c r="L30" s="2288"/>
      <c r="M30" s="2289"/>
      <c r="N30" s="2293" t="s">
        <v>1177</v>
      </c>
      <c r="O30" s="2285"/>
      <c r="P30" s="931" t="s">
        <v>1185</v>
      </c>
      <c r="Q30" s="931" t="s">
        <v>1185</v>
      </c>
      <c r="R30" s="931" t="s">
        <v>1186</v>
      </c>
      <c r="W30" s="899"/>
      <c r="X30" s="898">
        <v>3</v>
      </c>
      <c r="Y30" s="260"/>
      <c r="Z30"/>
      <c r="AA30"/>
      <c r="AB30" s="794"/>
      <c r="AC30"/>
      <c r="AD30" s="764"/>
    </row>
    <row r="31" spans="2:30">
      <c r="B31" s="2286"/>
      <c r="C31" s="930" t="s">
        <v>1206</v>
      </c>
      <c r="D31" s="930" t="s">
        <v>1178</v>
      </c>
      <c r="E31" s="2287"/>
      <c r="F31" s="2286"/>
      <c r="G31" s="2286"/>
      <c r="H31" s="2286"/>
      <c r="I31" s="932" t="s">
        <v>1181</v>
      </c>
      <c r="J31" s="2290" t="s">
        <v>1158</v>
      </c>
      <c r="K31" s="2291"/>
      <c r="L31" s="2291" t="s">
        <v>1141</v>
      </c>
      <c r="M31" s="2292"/>
      <c r="N31" s="933" t="s">
        <v>1207</v>
      </c>
      <c r="O31" s="930" t="s">
        <v>1011</v>
      </c>
      <c r="P31" s="930" t="s">
        <v>1183</v>
      </c>
      <c r="Q31" s="930" t="s">
        <v>1190</v>
      </c>
      <c r="R31" s="930" t="s">
        <v>1190</v>
      </c>
      <c r="X31" s="898">
        <v>4</v>
      </c>
      <c r="Y31" s="260"/>
      <c r="Z31"/>
      <c r="AA31"/>
      <c r="AB31" s="794"/>
      <c r="AC31"/>
      <c r="AD31" s="764"/>
    </row>
    <row r="32" spans="2:30">
      <c r="B32" s="11">
        <v>1</v>
      </c>
      <c r="C32" s="797">
        <f>'3b. Calculateur - MEÉ 1'!E81</f>
        <v>0</v>
      </c>
      <c r="D32" s="797">
        <f>'3b. Calculateur - MEÉ 1'!F81</f>
        <v>0</v>
      </c>
      <c r="E32" s="798" t="str">
        <f>IF(F32="Intérieur",F32,F32&amp;"_"&amp;G32)</f>
        <v>&lt; sélectionner &gt;_</v>
      </c>
      <c r="F32" s="12" t="str">
        <f>'3b. Calculateur - MEÉ 1'!G81</f>
        <v>&lt; sélectionner &gt;</v>
      </c>
      <c r="G32" s="12" t="str">
        <f>$G$7</f>
        <v/>
      </c>
      <c r="H32" s="12">
        <f>'3b. Calculateur - MEÉ 1'!I81</f>
        <v>0</v>
      </c>
      <c r="I32" s="811">
        <f>'3b. Calculateur - MEÉ 1'!H81</f>
        <v>0</v>
      </c>
      <c r="J32" s="832">
        <f t="shared" ref="J32:J41" si="7">CONVERT(L32,"in","mm")</f>
        <v>0</v>
      </c>
      <c r="K32" s="833"/>
      <c r="L32" s="834">
        <f>SQRT(Hypothèses!$D$299*Isolation!C32/PI())*12</f>
        <v>0</v>
      </c>
      <c r="M32" s="835"/>
      <c r="N32" s="810">
        <f>_xlfn.XLOOKUP(B32,$Y$73:$Y$102,$AD$73:$AD$102,0,0)</f>
        <v>0</v>
      </c>
      <c r="O32" s="799">
        <f>N32*'Facteurs conversion'!$C$6/1000/'Facteurs conversion'!$C$23^2*C32</f>
        <v>0</v>
      </c>
      <c r="P32" s="713">
        <f>O32*I32*H32</f>
        <v>0</v>
      </c>
      <c r="Q32" s="713">
        <f>P32/'Facteurs conversion'!$C$11</f>
        <v>0</v>
      </c>
      <c r="R32" s="800">
        <f>Q32/Hypothèses!$D$217</f>
        <v>0</v>
      </c>
      <c r="S32" s="899"/>
      <c r="T32" s="899"/>
      <c r="U32" s="899"/>
      <c r="V32" s="899"/>
      <c r="W32" s="899"/>
      <c r="X32" s="898">
        <v>5</v>
      </c>
      <c r="Y32" s="260"/>
      <c r="Z32"/>
      <c r="AA32"/>
      <c r="AB32" s="794"/>
      <c r="AC32"/>
      <c r="AD32" s="764"/>
    </row>
    <row r="33" spans="2:30">
      <c r="B33" s="11">
        <v>2</v>
      </c>
      <c r="C33" s="797">
        <f>'3b. Calculateur - MEÉ 1'!E82</f>
        <v>0</v>
      </c>
      <c r="D33" s="797">
        <f>'3b. Calculateur - MEÉ 1'!F82</f>
        <v>0</v>
      </c>
      <c r="E33" s="798" t="str">
        <f t="shared" ref="E33:E41" si="8">IF(F33="Intérieur",F33,F33&amp;"_"&amp;G33)</f>
        <v>&lt; sélectionner &gt;_</v>
      </c>
      <c r="F33" s="12" t="str">
        <f>'3b. Calculateur - MEÉ 1'!G82</f>
        <v>&lt; sélectionner &gt;</v>
      </c>
      <c r="G33" s="12" t="str">
        <f t="shared" ref="G33:G41" si="9">$G$7</f>
        <v/>
      </c>
      <c r="H33" s="12">
        <f>'3b. Calculateur - MEÉ 1'!I82</f>
        <v>0</v>
      </c>
      <c r="I33" s="811">
        <f>'3b. Calculateur - MEÉ 1'!H82</f>
        <v>0</v>
      </c>
      <c r="J33" s="832">
        <f t="shared" si="7"/>
        <v>0</v>
      </c>
      <c r="K33" s="833"/>
      <c r="L33" s="834">
        <f>SQRT(Hypothèses!$D$299*Isolation!C33/PI())*12</f>
        <v>0</v>
      </c>
      <c r="M33" s="835"/>
      <c r="N33" s="810">
        <f>_xlfn.XLOOKUP(B33,$Y$73:$Y$102,$AD$73:$AD$102,0,0)</f>
        <v>0</v>
      </c>
      <c r="O33" s="799">
        <f>N33*'Facteurs conversion'!$C$6/1000/'Facteurs conversion'!$C$23^2*C33</f>
        <v>0</v>
      </c>
      <c r="P33" s="713">
        <f t="shared" ref="P33:P41" si="10">O33*I33*H33</f>
        <v>0</v>
      </c>
      <c r="Q33" s="713">
        <f>P33/'Facteurs conversion'!$C$11</f>
        <v>0</v>
      </c>
      <c r="R33" s="800">
        <f>Q33/Hypothèses!$D$217</f>
        <v>0</v>
      </c>
      <c r="S33" s="899"/>
      <c r="T33" s="899"/>
      <c r="U33" s="899"/>
      <c r="V33" s="899"/>
      <c r="W33" s="899"/>
      <c r="X33" s="898">
        <v>6</v>
      </c>
      <c r="Y33" s="260"/>
      <c r="Z33"/>
      <c r="AA33"/>
      <c r="AB33" s="794"/>
      <c r="AC33"/>
      <c r="AD33" s="764"/>
    </row>
    <row r="34" spans="2:30">
      <c r="B34" s="11">
        <v>3</v>
      </c>
      <c r="C34" s="797">
        <f>'3b. Calculateur - MEÉ 1'!E83</f>
        <v>0</v>
      </c>
      <c r="D34" s="797">
        <f>'3b. Calculateur - MEÉ 1'!F83</f>
        <v>0</v>
      </c>
      <c r="E34" s="798" t="str">
        <f t="shared" si="8"/>
        <v>&lt; sélectionner &gt;_</v>
      </c>
      <c r="F34" s="12" t="str">
        <f>'3b. Calculateur - MEÉ 1'!G83</f>
        <v>&lt; sélectionner &gt;</v>
      </c>
      <c r="G34" s="12" t="str">
        <f t="shared" si="9"/>
        <v/>
      </c>
      <c r="H34" s="12">
        <f>'3b. Calculateur - MEÉ 1'!I83</f>
        <v>0</v>
      </c>
      <c r="I34" s="811">
        <f>'3b. Calculateur - MEÉ 1'!H83</f>
        <v>0</v>
      </c>
      <c r="J34" s="832">
        <f t="shared" si="7"/>
        <v>0</v>
      </c>
      <c r="K34" s="833"/>
      <c r="L34" s="834">
        <f>SQRT(Hypothèses!$D$299*Isolation!C34/PI())*12</f>
        <v>0</v>
      </c>
      <c r="M34" s="835"/>
      <c r="N34" s="810">
        <f t="shared" ref="N34:N41" si="11">_xlfn.XLOOKUP(B34,$Y$73:$Y$102,$AD$73:$AD$102,0,0)</f>
        <v>0</v>
      </c>
      <c r="O34" s="799">
        <f>N34*'Facteurs conversion'!$C$6/1000/'Facteurs conversion'!$C$23^2*C34</f>
        <v>0</v>
      </c>
      <c r="P34" s="713">
        <f t="shared" si="10"/>
        <v>0</v>
      </c>
      <c r="Q34" s="713">
        <f>P34/'Facteurs conversion'!$C$11</f>
        <v>0</v>
      </c>
      <c r="R34" s="800">
        <f>Q34/Hypothèses!$D$217</f>
        <v>0</v>
      </c>
      <c r="S34" s="899"/>
      <c r="T34" s="899"/>
      <c r="U34" s="899"/>
      <c r="V34" s="899"/>
      <c r="W34" s="899"/>
      <c r="X34" s="898">
        <v>7</v>
      </c>
      <c r="Y34" s="260"/>
      <c r="Z34"/>
      <c r="AA34"/>
      <c r="AB34" s="794"/>
      <c r="AC34"/>
      <c r="AD34" s="764"/>
    </row>
    <row r="35" spans="2:30">
      <c r="B35" s="11">
        <v>4</v>
      </c>
      <c r="C35" s="797">
        <f>'3b. Calculateur - MEÉ 1'!E84</f>
        <v>0</v>
      </c>
      <c r="D35" s="797">
        <f>'3b. Calculateur - MEÉ 1'!F84</f>
        <v>0</v>
      </c>
      <c r="E35" s="798" t="str">
        <f t="shared" si="8"/>
        <v>&lt; sélectionner &gt;_</v>
      </c>
      <c r="F35" s="12" t="str">
        <f>'3b. Calculateur - MEÉ 1'!G84</f>
        <v>&lt; sélectionner &gt;</v>
      </c>
      <c r="G35" s="12" t="str">
        <f t="shared" si="9"/>
        <v/>
      </c>
      <c r="H35" s="12">
        <f>'3b. Calculateur - MEÉ 1'!I84</f>
        <v>0</v>
      </c>
      <c r="I35" s="811">
        <f>'3b. Calculateur - MEÉ 1'!H84</f>
        <v>0</v>
      </c>
      <c r="J35" s="832">
        <f t="shared" si="7"/>
        <v>0</v>
      </c>
      <c r="K35" s="833"/>
      <c r="L35" s="834">
        <f>SQRT(Hypothèses!$D$299*Isolation!C35/PI())*12</f>
        <v>0</v>
      </c>
      <c r="M35" s="835"/>
      <c r="N35" s="810">
        <f t="shared" si="11"/>
        <v>0</v>
      </c>
      <c r="O35" s="799">
        <f>N35*'Facteurs conversion'!$C$6/1000/'Facteurs conversion'!$C$23^2*C35</f>
        <v>0</v>
      </c>
      <c r="P35" s="713">
        <f t="shared" si="10"/>
        <v>0</v>
      </c>
      <c r="Q35" s="713">
        <f>P35/'Facteurs conversion'!$C$11</f>
        <v>0</v>
      </c>
      <c r="R35" s="800">
        <f>Q35/Hypothèses!$D$217</f>
        <v>0</v>
      </c>
      <c r="S35" s="899"/>
      <c r="T35" s="899"/>
      <c r="U35" s="899"/>
      <c r="V35" s="899"/>
      <c r="W35" s="899"/>
      <c r="X35" s="898">
        <v>8</v>
      </c>
      <c r="Y35" s="260"/>
      <c r="Z35"/>
      <c r="AA35"/>
      <c r="AB35" s="794"/>
      <c r="AC35"/>
      <c r="AD35" s="764"/>
    </row>
    <row r="36" spans="2:30">
      <c r="B36" s="11">
        <v>5</v>
      </c>
      <c r="C36" s="797">
        <f>'3b. Calculateur - MEÉ 1'!E85</f>
        <v>0</v>
      </c>
      <c r="D36" s="797">
        <f>'3b. Calculateur - MEÉ 1'!F85</f>
        <v>0</v>
      </c>
      <c r="E36" s="798" t="str">
        <f t="shared" si="8"/>
        <v>&lt; sélectionner &gt;_</v>
      </c>
      <c r="F36" s="12" t="str">
        <f>'3b. Calculateur - MEÉ 1'!G85</f>
        <v>&lt; sélectionner &gt;</v>
      </c>
      <c r="G36" s="12" t="str">
        <f t="shared" si="9"/>
        <v/>
      </c>
      <c r="H36" s="12">
        <f>'3b. Calculateur - MEÉ 1'!I85</f>
        <v>0</v>
      </c>
      <c r="I36" s="811">
        <f>'3b. Calculateur - MEÉ 1'!H85</f>
        <v>0</v>
      </c>
      <c r="J36" s="832">
        <f t="shared" si="7"/>
        <v>0</v>
      </c>
      <c r="K36" s="833"/>
      <c r="L36" s="834">
        <f>SQRT(Hypothèses!$D$299*Isolation!C36/PI())*12</f>
        <v>0</v>
      </c>
      <c r="M36" s="835"/>
      <c r="N36" s="810">
        <f t="shared" si="11"/>
        <v>0</v>
      </c>
      <c r="O36" s="799">
        <f>N36*'Facteurs conversion'!$C$6/1000/'Facteurs conversion'!$C$23^2*C36</f>
        <v>0</v>
      </c>
      <c r="P36" s="713">
        <f t="shared" si="10"/>
        <v>0</v>
      </c>
      <c r="Q36" s="713">
        <f>P36/'Facteurs conversion'!$C$11</f>
        <v>0</v>
      </c>
      <c r="R36" s="800">
        <f>Q36/Hypothèses!$D$217</f>
        <v>0</v>
      </c>
      <c r="S36" s="899"/>
      <c r="T36" s="899"/>
      <c r="U36" s="899"/>
      <c r="V36" s="899"/>
      <c r="W36" s="899"/>
      <c r="X36" s="898">
        <v>9</v>
      </c>
      <c r="Y36" s="260"/>
      <c r="Z36"/>
      <c r="AA36"/>
      <c r="AB36" s="794"/>
      <c r="AC36"/>
      <c r="AD36" s="764"/>
    </row>
    <row r="37" spans="2:30">
      <c r="B37" s="11">
        <v>6</v>
      </c>
      <c r="C37" s="797">
        <f>'3b. Calculateur - MEÉ 1'!E86</f>
        <v>0</v>
      </c>
      <c r="D37" s="797">
        <f>'3b. Calculateur - MEÉ 1'!F86</f>
        <v>0</v>
      </c>
      <c r="E37" s="798" t="str">
        <f t="shared" si="8"/>
        <v>&lt; sélectionner &gt;_</v>
      </c>
      <c r="F37" s="12" t="str">
        <f>'3b. Calculateur - MEÉ 1'!G86</f>
        <v>&lt; sélectionner &gt;</v>
      </c>
      <c r="G37" s="12" t="str">
        <f t="shared" si="9"/>
        <v/>
      </c>
      <c r="H37" s="12">
        <f>'3b. Calculateur - MEÉ 1'!I86</f>
        <v>0</v>
      </c>
      <c r="I37" s="811">
        <f>'3b. Calculateur - MEÉ 1'!H86</f>
        <v>0</v>
      </c>
      <c r="J37" s="832">
        <f t="shared" si="7"/>
        <v>0</v>
      </c>
      <c r="K37" s="833"/>
      <c r="L37" s="834">
        <f>SQRT(Hypothèses!$D$299*Isolation!C37/PI())*12</f>
        <v>0</v>
      </c>
      <c r="M37" s="835"/>
      <c r="N37" s="810">
        <f t="shared" si="11"/>
        <v>0</v>
      </c>
      <c r="O37" s="799">
        <f>N37*'Facteurs conversion'!$C$6/1000/'Facteurs conversion'!$C$23^2*C37</f>
        <v>0</v>
      </c>
      <c r="P37" s="713">
        <f t="shared" si="10"/>
        <v>0</v>
      </c>
      <c r="Q37" s="713">
        <f>P37/'Facteurs conversion'!$C$11</f>
        <v>0</v>
      </c>
      <c r="R37" s="800">
        <f>Q37/Hypothèses!$D$217</f>
        <v>0</v>
      </c>
      <c r="X37" s="898">
        <v>10</v>
      </c>
      <c r="Y37" s="260"/>
      <c r="Z37"/>
      <c r="AA37"/>
      <c r="AB37" s="794"/>
      <c r="AC37"/>
      <c r="AD37" s="764"/>
    </row>
    <row r="38" spans="2:30">
      <c r="B38" s="11">
        <v>7</v>
      </c>
      <c r="C38" s="797">
        <f>'3b. Calculateur - MEÉ 1'!E87</f>
        <v>0</v>
      </c>
      <c r="D38" s="797">
        <f>'3b. Calculateur - MEÉ 1'!F87</f>
        <v>0</v>
      </c>
      <c r="E38" s="798" t="str">
        <f t="shared" si="8"/>
        <v>&lt; sélectionner &gt;_</v>
      </c>
      <c r="F38" s="12" t="str">
        <f>'3b. Calculateur - MEÉ 1'!G87</f>
        <v>&lt; sélectionner &gt;</v>
      </c>
      <c r="G38" s="12" t="str">
        <f t="shared" si="9"/>
        <v/>
      </c>
      <c r="H38" s="12">
        <f>'3b. Calculateur - MEÉ 1'!I87</f>
        <v>0</v>
      </c>
      <c r="I38" s="811">
        <f>'3b. Calculateur - MEÉ 1'!H87</f>
        <v>0</v>
      </c>
      <c r="J38" s="832">
        <f t="shared" si="7"/>
        <v>0</v>
      </c>
      <c r="K38" s="833"/>
      <c r="L38" s="834">
        <f>SQRT(Hypothèses!$D$299*Isolation!C38/PI())*12</f>
        <v>0</v>
      </c>
      <c r="M38" s="835"/>
      <c r="N38" s="810">
        <f t="shared" si="11"/>
        <v>0</v>
      </c>
      <c r="O38" s="799">
        <f>N38*'Facteurs conversion'!$C$6/1000/'Facteurs conversion'!$C$23^2*C38</f>
        <v>0</v>
      </c>
      <c r="P38" s="713">
        <f t="shared" si="10"/>
        <v>0</v>
      </c>
      <c r="Q38" s="713">
        <f>P38/'Facteurs conversion'!$C$11</f>
        <v>0</v>
      </c>
      <c r="R38" s="800">
        <f>Q38/Hypothèses!$D$217</f>
        <v>0</v>
      </c>
      <c r="X38" s="898">
        <v>11</v>
      </c>
      <c r="Y38" s="260"/>
      <c r="Z38"/>
      <c r="AA38"/>
      <c r="AB38" s="794"/>
      <c r="AC38"/>
      <c r="AD38" s="764"/>
    </row>
    <row r="39" spans="2:30">
      <c r="B39" s="11">
        <v>8</v>
      </c>
      <c r="C39" s="797">
        <f>'3b. Calculateur - MEÉ 1'!E88</f>
        <v>0</v>
      </c>
      <c r="D39" s="797">
        <f>'3b. Calculateur - MEÉ 1'!F88</f>
        <v>0</v>
      </c>
      <c r="E39" s="798" t="str">
        <f t="shared" si="8"/>
        <v>&lt; sélectionner &gt;_</v>
      </c>
      <c r="F39" s="12" t="str">
        <f>'3b. Calculateur - MEÉ 1'!G88</f>
        <v>&lt; sélectionner &gt;</v>
      </c>
      <c r="G39" s="12" t="str">
        <f t="shared" si="9"/>
        <v/>
      </c>
      <c r="H39" s="12">
        <f>'3b. Calculateur - MEÉ 1'!I88</f>
        <v>0</v>
      </c>
      <c r="I39" s="811">
        <f>'3b. Calculateur - MEÉ 1'!H88</f>
        <v>0</v>
      </c>
      <c r="J39" s="832">
        <f t="shared" si="7"/>
        <v>0</v>
      </c>
      <c r="K39" s="833"/>
      <c r="L39" s="834">
        <f>SQRT(Hypothèses!$D$299*Isolation!C39/PI())*12</f>
        <v>0</v>
      </c>
      <c r="M39" s="835"/>
      <c r="N39" s="810">
        <f t="shared" si="11"/>
        <v>0</v>
      </c>
      <c r="O39" s="799">
        <f>N39*'Facteurs conversion'!$C$6/1000/'Facteurs conversion'!$C$23^2*C39</f>
        <v>0</v>
      </c>
      <c r="P39" s="713">
        <f t="shared" si="10"/>
        <v>0</v>
      </c>
      <c r="Q39" s="713">
        <f>P39/'Facteurs conversion'!$C$11</f>
        <v>0</v>
      </c>
      <c r="R39" s="800">
        <f>Q39/Hypothèses!$D$217</f>
        <v>0</v>
      </c>
      <c r="X39" s="898">
        <v>12</v>
      </c>
      <c r="Y39" s="260"/>
      <c r="Z39"/>
      <c r="AA39"/>
      <c r="AB39" s="794"/>
      <c r="AC39"/>
      <c r="AD39" s="764"/>
    </row>
    <row r="40" spans="2:30">
      <c r="B40" s="11">
        <v>9</v>
      </c>
      <c r="C40" s="797">
        <f>'3b. Calculateur - MEÉ 1'!E89</f>
        <v>0</v>
      </c>
      <c r="D40" s="797">
        <f>'3b. Calculateur - MEÉ 1'!F89</f>
        <v>0</v>
      </c>
      <c r="E40" s="798" t="str">
        <f t="shared" si="8"/>
        <v>&lt; sélectionner &gt;_</v>
      </c>
      <c r="F40" s="12" t="str">
        <f>'3b. Calculateur - MEÉ 1'!G89</f>
        <v>&lt; sélectionner &gt;</v>
      </c>
      <c r="G40" s="12" t="str">
        <f t="shared" si="9"/>
        <v/>
      </c>
      <c r="H40" s="12">
        <f>'3b. Calculateur - MEÉ 1'!I89</f>
        <v>0</v>
      </c>
      <c r="I40" s="811">
        <f>'3b. Calculateur - MEÉ 1'!H89</f>
        <v>0</v>
      </c>
      <c r="J40" s="832">
        <f t="shared" si="7"/>
        <v>0</v>
      </c>
      <c r="K40" s="833"/>
      <c r="L40" s="834">
        <f>SQRT(Hypothèses!$D$299*Isolation!C40/PI())*12</f>
        <v>0</v>
      </c>
      <c r="M40" s="835"/>
      <c r="N40" s="810">
        <f t="shared" si="11"/>
        <v>0</v>
      </c>
      <c r="O40" s="799">
        <f>N40*'Facteurs conversion'!$C$6/1000/'Facteurs conversion'!$C$23^2*C40</f>
        <v>0</v>
      </c>
      <c r="P40" s="713">
        <f t="shared" si="10"/>
        <v>0</v>
      </c>
      <c r="Q40" s="713">
        <f>P40/'Facteurs conversion'!$C$11</f>
        <v>0</v>
      </c>
      <c r="R40" s="800">
        <f>Q40/Hypothèses!$D$217</f>
        <v>0</v>
      </c>
      <c r="X40" s="898">
        <v>13</v>
      </c>
      <c r="Y40" s="260"/>
      <c r="Z40"/>
      <c r="AA40"/>
      <c r="AB40" s="794"/>
      <c r="AC40"/>
      <c r="AD40" s="764"/>
    </row>
    <row r="41" spans="2:30">
      <c r="B41" s="11">
        <v>10</v>
      </c>
      <c r="C41" s="797">
        <f>'3b. Calculateur - MEÉ 1'!E90</f>
        <v>0</v>
      </c>
      <c r="D41" s="797">
        <f>'3b. Calculateur - MEÉ 1'!F90</f>
        <v>0</v>
      </c>
      <c r="E41" s="798" t="str">
        <f t="shared" si="8"/>
        <v>&lt; sélectionner &gt;_</v>
      </c>
      <c r="F41" s="12" t="str">
        <f>'3b. Calculateur - MEÉ 1'!G90</f>
        <v>&lt; sélectionner &gt;</v>
      </c>
      <c r="G41" s="12" t="str">
        <f t="shared" si="9"/>
        <v/>
      </c>
      <c r="H41" s="12">
        <f>'3b. Calculateur - MEÉ 1'!I90</f>
        <v>0</v>
      </c>
      <c r="I41" s="811">
        <f>'3b. Calculateur - MEÉ 1'!H90</f>
        <v>0</v>
      </c>
      <c r="J41" s="832">
        <f t="shared" si="7"/>
        <v>0</v>
      </c>
      <c r="K41" s="833"/>
      <c r="L41" s="834">
        <f>SQRT(Hypothèses!$D$299*Isolation!C41/PI())*12</f>
        <v>0</v>
      </c>
      <c r="M41" s="835"/>
      <c r="N41" s="810">
        <f t="shared" si="11"/>
        <v>0</v>
      </c>
      <c r="O41" s="799">
        <f>N41*'Facteurs conversion'!$C$6/1000/'Facteurs conversion'!$C$23^2*C41</f>
        <v>0</v>
      </c>
      <c r="P41" s="713">
        <f t="shared" si="10"/>
        <v>0</v>
      </c>
      <c r="Q41" s="713">
        <f>P41/'Facteurs conversion'!$C$11</f>
        <v>0</v>
      </c>
      <c r="R41" s="800">
        <f>Q41/Hypothèses!$D$217</f>
        <v>0</v>
      </c>
      <c r="X41" s="898">
        <v>14</v>
      </c>
      <c r="Y41" s="260"/>
      <c r="Z41"/>
      <c r="AA41"/>
      <c r="AB41" s="794"/>
      <c r="AC41"/>
      <c r="AD41" s="764"/>
    </row>
    <row r="42" spans="2:30" s="7" customFormat="1">
      <c r="E42" s="896"/>
      <c r="X42" s="898">
        <v>15</v>
      </c>
      <c r="Y42" s="260"/>
      <c r="Z42"/>
      <c r="AA42"/>
      <c r="AB42" s="794"/>
      <c r="AC42"/>
      <c r="AD42" s="764"/>
    </row>
    <row r="43" spans="2:30">
      <c r="B43" s="809" t="s">
        <v>33</v>
      </c>
      <c r="C43" s="801"/>
      <c r="D43" s="802"/>
      <c r="E43" s="803"/>
      <c r="F43" s="802"/>
      <c r="G43" s="802"/>
      <c r="H43" s="802"/>
      <c r="I43" s="802"/>
      <c r="J43" s="802"/>
      <c r="K43" s="802"/>
      <c r="L43" s="802"/>
      <c r="M43" s="802"/>
      <c r="N43" s="802"/>
      <c r="O43" s="802"/>
      <c r="P43" s="802"/>
      <c r="Q43" s="802"/>
      <c r="R43" s="804"/>
      <c r="S43" s="804"/>
      <c r="T43" s="804"/>
      <c r="U43" s="804"/>
      <c r="V43" s="804"/>
      <c r="W43" s="804"/>
      <c r="X43" s="898">
        <v>16</v>
      </c>
      <c r="Y43" s="260"/>
      <c r="Z43"/>
      <c r="AA43"/>
      <c r="AB43" s="794"/>
      <c r="AC43"/>
      <c r="AD43" s="764"/>
    </row>
    <row r="44" spans="2:30" s="7" customFormat="1">
      <c r="E44" s="896"/>
      <c r="X44" s="898">
        <v>17</v>
      </c>
      <c r="Y44" s="260"/>
      <c r="Z44"/>
      <c r="AA44"/>
      <c r="AB44" s="794"/>
      <c r="AC44"/>
      <c r="AD44" s="764"/>
    </row>
    <row r="45" spans="2:30" ht="51">
      <c r="B45" s="2286" t="s">
        <v>1136</v>
      </c>
      <c r="C45" s="931" t="s">
        <v>1205</v>
      </c>
      <c r="D45" s="931" t="s">
        <v>1180</v>
      </c>
      <c r="E45" s="2287" t="s">
        <v>1148</v>
      </c>
      <c r="F45" s="2286" t="s">
        <v>998</v>
      </c>
      <c r="G45" s="2286" t="s">
        <v>562</v>
      </c>
      <c r="H45" s="2286" t="s">
        <v>986</v>
      </c>
      <c r="I45" s="934" t="s">
        <v>21</v>
      </c>
      <c r="J45" s="2288" t="s">
        <v>1203</v>
      </c>
      <c r="K45" s="2288"/>
      <c r="L45" s="2288"/>
      <c r="M45" s="2289"/>
      <c r="N45" s="2284" t="s">
        <v>1177</v>
      </c>
      <c r="O45" s="2285"/>
      <c r="P45" s="931" t="s">
        <v>1185</v>
      </c>
      <c r="Q45" s="931" t="s">
        <v>1185</v>
      </c>
      <c r="R45" s="931" t="s">
        <v>1186</v>
      </c>
      <c r="S45" s="931" t="s">
        <v>1524</v>
      </c>
      <c r="T45" s="931" t="s">
        <v>1525</v>
      </c>
      <c r="U45" s="931" t="s">
        <v>1523</v>
      </c>
      <c r="X45" s="898">
        <v>18</v>
      </c>
      <c r="Y45" s="260"/>
      <c r="Z45"/>
      <c r="AA45"/>
      <c r="AB45" s="794"/>
      <c r="AC45"/>
      <c r="AD45" s="764"/>
    </row>
    <row r="46" spans="2:30">
      <c r="B46" s="2286"/>
      <c r="C46" s="930" t="s">
        <v>1206</v>
      </c>
      <c r="D46" s="930" t="s">
        <v>1178</v>
      </c>
      <c r="E46" s="2287"/>
      <c r="F46" s="2286"/>
      <c r="G46" s="2286"/>
      <c r="H46" s="2286"/>
      <c r="I46" s="932" t="s">
        <v>1181</v>
      </c>
      <c r="J46" s="2290" t="s">
        <v>1158</v>
      </c>
      <c r="K46" s="2291"/>
      <c r="L46" s="2291" t="s">
        <v>1141</v>
      </c>
      <c r="M46" s="2292"/>
      <c r="N46" s="933" t="s">
        <v>1207</v>
      </c>
      <c r="O46" s="930" t="s">
        <v>1011</v>
      </c>
      <c r="P46" s="930" t="s">
        <v>1183</v>
      </c>
      <c r="Q46" s="930" t="s">
        <v>1190</v>
      </c>
      <c r="R46" s="930" t="s">
        <v>1190</v>
      </c>
      <c r="S46" s="930" t="s">
        <v>1182</v>
      </c>
      <c r="T46" s="930" t="s">
        <v>1182</v>
      </c>
      <c r="U46" s="930" t="s">
        <v>1189</v>
      </c>
      <c r="X46" s="898">
        <v>19</v>
      </c>
      <c r="Y46" s="260"/>
      <c r="Z46"/>
      <c r="AA46"/>
      <c r="AB46" s="794"/>
      <c r="AC46"/>
      <c r="AD46" s="764"/>
    </row>
    <row r="47" spans="2:30">
      <c r="B47" s="11">
        <v>1</v>
      </c>
      <c r="C47" s="797">
        <f>'3b. Calculateur - MEÉ 1'!E95</f>
        <v>0</v>
      </c>
      <c r="D47" s="797">
        <f>'3b. Calculateur - MEÉ 1'!F95</f>
        <v>0</v>
      </c>
      <c r="E47" s="798" t="str">
        <f>IF(F47="Intérieur",F47,F47&amp;"_"&amp;G47)</f>
        <v>&lt; sélectionner &gt;_</v>
      </c>
      <c r="F47" s="12" t="str">
        <f>'3b. Calculateur - MEÉ 1'!G95</f>
        <v>&lt; sélectionner &gt;</v>
      </c>
      <c r="G47" s="12" t="str">
        <f>$G$7</f>
        <v/>
      </c>
      <c r="H47" s="12">
        <f>'3b. Calculateur - MEÉ 1'!I95</f>
        <v>0</v>
      </c>
      <c r="I47" s="811">
        <f>'3b. Calculateur - MEÉ 1'!H95</f>
        <v>0</v>
      </c>
      <c r="J47" s="832">
        <f t="shared" ref="J47:J56" si="12">CONVERT(L47,"in","mm")</f>
        <v>0</v>
      </c>
      <c r="K47" s="833"/>
      <c r="L47" s="834">
        <f>SQRT(Hypothèses!$D$313*Isolation!C47/PI())*12</f>
        <v>0</v>
      </c>
      <c r="M47" s="835"/>
      <c r="N47" s="810">
        <f>_xlfn.XLOOKUP(B47,$Y$108:$Y$137,$AD$108:$AD$137,0,0)</f>
        <v>0</v>
      </c>
      <c r="O47" s="799">
        <f>N47*'Facteurs conversion'!$C$6/1000/'Facteurs conversion'!$C$23^2*C47</f>
        <v>0</v>
      </c>
      <c r="P47" s="713">
        <f>O47*I47*H47</f>
        <v>0</v>
      </c>
      <c r="Q47" s="713">
        <f>P47/'Facteurs conversion'!$C$11</f>
        <v>0</v>
      </c>
      <c r="R47" s="800">
        <f>Q47/Hypothèses!$D$217</f>
        <v>0</v>
      </c>
      <c r="S47" s="971" t="e">
        <f>C47/(L47/12)/PI()</f>
        <v>#DIV/0!</v>
      </c>
      <c r="T47" s="971">
        <f>IF(F47="Intérieur",Hypothèses!$D$234/12,Hypothèses!$D$235/12)</f>
        <v>0.16666666666666666</v>
      </c>
      <c r="U47" s="972" t="e">
        <f>PI()*S47*(L47/12+2*T47)*H47</f>
        <v>#DIV/0!</v>
      </c>
      <c r="V47" s="973"/>
      <c r="X47" s="898">
        <v>20</v>
      </c>
      <c r="Y47" s="260"/>
      <c r="Z47"/>
      <c r="AA47"/>
      <c r="AB47" s="794"/>
      <c r="AC47"/>
      <c r="AD47" s="764"/>
    </row>
    <row r="48" spans="2:30">
      <c r="B48" s="11">
        <v>2</v>
      </c>
      <c r="C48" s="797">
        <f>'3b. Calculateur - MEÉ 1'!E96</f>
        <v>0</v>
      </c>
      <c r="D48" s="797">
        <f>'3b. Calculateur - MEÉ 1'!F96</f>
        <v>0</v>
      </c>
      <c r="E48" s="798" t="str">
        <f t="shared" ref="E48:E56" si="13">IF(F48="Intérieur",F48,F48&amp;"_"&amp;G48)</f>
        <v>&lt; sélectionner &gt;_</v>
      </c>
      <c r="F48" s="12" t="str">
        <f>'3b. Calculateur - MEÉ 1'!G96</f>
        <v>&lt; sélectionner &gt;</v>
      </c>
      <c r="G48" s="12" t="str">
        <f t="shared" ref="G48:G56" si="14">$G$7</f>
        <v/>
      </c>
      <c r="H48" s="12">
        <f>'3b. Calculateur - MEÉ 1'!I96</f>
        <v>0</v>
      </c>
      <c r="I48" s="811">
        <f>'3b. Calculateur - MEÉ 1'!H96</f>
        <v>0</v>
      </c>
      <c r="J48" s="832">
        <f t="shared" si="12"/>
        <v>0</v>
      </c>
      <c r="K48" s="833"/>
      <c r="L48" s="834">
        <f>SQRT(Hypothèses!$D$313*Isolation!C48/PI())*12</f>
        <v>0</v>
      </c>
      <c r="M48" s="835"/>
      <c r="N48" s="810">
        <f>_xlfn.XLOOKUP(B48,$Y$108:$Y$137,$AD$108:$AD$137,0,0)</f>
        <v>0</v>
      </c>
      <c r="O48" s="799">
        <f>N48*'Facteurs conversion'!$C$6/1000/'Facteurs conversion'!$C$23^2*C48</f>
        <v>0</v>
      </c>
      <c r="P48" s="713">
        <f t="shared" ref="P48:P56" si="15">O48*I48*H48</f>
        <v>0</v>
      </c>
      <c r="Q48" s="713">
        <f>P48/'Facteurs conversion'!$C$11</f>
        <v>0</v>
      </c>
      <c r="R48" s="800">
        <f>Q48/Hypothèses!$D$217</f>
        <v>0</v>
      </c>
      <c r="S48" s="971" t="e">
        <f>C48/(L48/12)/PI()</f>
        <v>#DIV/0!</v>
      </c>
      <c r="T48" s="971">
        <f>IF(F48="Intérieur",Hypothèses!$D$234/12,Hypothèses!$D$235/12)</f>
        <v>0.16666666666666666</v>
      </c>
      <c r="U48" s="972" t="e">
        <f>PI()*S48*(L48/12+2*T48)*H48</f>
        <v>#DIV/0!</v>
      </c>
      <c r="V48" s="973"/>
      <c r="X48" s="898">
        <v>1</v>
      </c>
      <c r="Y48" s="260" t="e" cm="1" vm="1">
        <f t="array" ref="Y48">_xlfn._xlws.FILTER('Isolation - CAS 3'!N12:S31,'Isolation - CAS 3'!N12:N31&lt;&gt;"")</f>
        <v>#VALUE!</v>
      </c>
      <c r="Z48"/>
      <c r="AA48"/>
      <c r="AB48" s="794"/>
      <c r="AC48"/>
      <c r="AD48" s="764"/>
    </row>
    <row r="49" spans="2:30">
      <c r="B49" s="11">
        <v>3</v>
      </c>
      <c r="C49" s="797">
        <f>'3b. Calculateur - MEÉ 1'!E97</f>
        <v>0</v>
      </c>
      <c r="D49" s="797">
        <f>'3b. Calculateur - MEÉ 1'!F97</f>
        <v>0</v>
      </c>
      <c r="E49" s="798" t="str">
        <f t="shared" si="13"/>
        <v>&lt; sélectionner &gt;_</v>
      </c>
      <c r="F49" s="12" t="str">
        <f>'3b. Calculateur - MEÉ 1'!G97</f>
        <v>&lt; sélectionner &gt;</v>
      </c>
      <c r="G49" s="12" t="str">
        <f t="shared" si="14"/>
        <v/>
      </c>
      <c r="H49" s="12">
        <f>'3b. Calculateur - MEÉ 1'!I97</f>
        <v>0</v>
      </c>
      <c r="I49" s="811">
        <f>'3b. Calculateur - MEÉ 1'!H97</f>
        <v>0</v>
      </c>
      <c r="J49" s="832">
        <f t="shared" si="12"/>
        <v>0</v>
      </c>
      <c r="K49" s="833"/>
      <c r="L49" s="834">
        <f>SQRT(Hypothèses!$D$313*Isolation!C49/PI())*12</f>
        <v>0</v>
      </c>
      <c r="M49" s="835"/>
      <c r="N49" s="810">
        <f t="shared" ref="N49:N56" si="16">_xlfn.XLOOKUP(B49,$Y$108:$Y$137,$AD$108:$AD$137,0,0)</f>
        <v>0</v>
      </c>
      <c r="O49" s="799">
        <f>N49*'Facteurs conversion'!$C$6/1000/'Facteurs conversion'!$C$23^2*C49</f>
        <v>0</v>
      </c>
      <c r="P49" s="713">
        <f t="shared" si="15"/>
        <v>0</v>
      </c>
      <c r="Q49" s="713">
        <f>P49/'Facteurs conversion'!$C$11</f>
        <v>0</v>
      </c>
      <c r="R49" s="800">
        <f>Q49/Hypothèses!$D$217</f>
        <v>0</v>
      </c>
      <c r="S49" s="971" t="e">
        <f t="shared" ref="S49:S56" si="17">C49/(L49/12)/PI()</f>
        <v>#DIV/0!</v>
      </c>
      <c r="T49" s="971">
        <f>IF(F49="Intérieur",Hypothèses!$D$234/12,Hypothèses!$D$235/12)</f>
        <v>0.16666666666666666</v>
      </c>
      <c r="U49" s="972" t="e">
        <f t="shared" ref="U49:U56" si="18">PI()*S49*(L49/12+2*T49)*H49</f>
        <v>#DIV/0!</v>
      </c>
      <c r="V49" s="973"/>
      <c r="X49" s="898">
        <v>2</v>
      </c>
      <c r="Y49" s="260"/>
      <c r="Z49"/>
      <c r="AA49"/>
      <c r="AB49" s="794"/>
      <c r="AC49"/>
      <c r="AD49" s="764"/>
    </row>
    <row r="50" spans="2:30">
      <c r="B50" s="11">
        <v>4</v>
      </c>
      <c r="C50" s="797">
        <f>'3b. Calculateur - MEÉ 1'!E98</f>
        <v>0</v>
      </c>
      <c r="D50" s="797">
        <f>'3b. Calculateur - MEÉ 1'!F98</f>
        <v>0</v>
      </c>
      <c r="E50" s="798" t="str">
        <f t="shared" si="13"/>
        <v>&lt; sélectionner &gt;_</v>
      </c>
      <c r="F50" s="12" t="str">
        <f>'3b. Calculateur - MEÉ 1'!G98</f>
        <v>&lt; sélectionner &gt;</v>
      </c>
      <c r="G50" s="12" t="str">
        <f t="shared" si="14"/>
        <v/>
      </c>
      <c r="H50" s="12">
        <f>'3b. Calculateur - MEÉ 1'!I98</f>
        <v>0</v>
      </c>
      <c r="I50" s="811">
        <f>'3b. Calculateur - MEÉ 1'!H98</f>
        <v>0</v>
      </c>
      <c r="J50" s="832">
        <f t="shared" si="12"/>
        <v>0</v>
      </c>
      <c r="K50" s="833"/>
      <c r="L50" s="834">
        <f>SQRT(Hypothèses!$D$313*Isolation!C50/PI())*12</f>
        <v>0</v>
      </c>
      <c r="M50" s="835"/>
      <c r="N50" s="810">
        <f t="shared" si="16"/>
        <v>0</v>
      </c>
      <c r="O50" s="799">
        <f>N50*'Facteurs conversion'!$C$6/1000/'Facteurs conversion'!$C$23^2*C50</f>
        <v>0</v>
      </c>
      <c r="P50" s="713">
        <f t="shared" si="15"/>
        <v>0</v>
      </c>
      <c r="Q50" s="713">
        <f>P50/'Facteurs conversion'!$C$11</f>
        <v>0</v>
      </c>
      <c r="R50" s="800">
        <f>Q50/Hypothèses!$D$217</f>
        <v>0</v>
      </c>
      <c r="S50" s="971" t="e">
        <f t="shared" si="17"/>
        <v>#DIV/0!</v>
      </c>
      <c r="T50" s="971">
        <f>IF(F50="Intérieur",Hypothèses!$D$234/12,Hypothèses!$D$235/12)</f>
        <v>0.16666666666666666</v>
      </c>
      <c r="U50" s="972" t="e">
        <f t="shared" si="18"/>
        <v>#DIV/0!</v>
      </c>
      <c r="V50" s="973"/>
      <c r="X50" s="898">
        <v>3</v>
      </c>
      <c r="Y50" s="260"/>
      <c r="Z50"/>
      <c r="AA50"/>
      <c r="AB50" s="794"/>
      <c r="AC50"/>
      <c r="AD50" s="764"/>
    </row>
    <row r="51" spans="2:30">
      <c r="B51" s="11">
        <v>5</v>
      </c>
      <c r="C51" s="797">
        <f>'3b. Calculateur - MEÉ 1'!E99</f>
        <v>0</v>
      </c>
      <c r="D51" s="797">
        <f>'3b. Calculateur - MEÉ 1'!F99</f>
        <v>0</v>
      </c>
      <c r="E51" s="798" t="str">
        <f t="shared" si="13"/>
        <v>&lt; sélectionner &gt;_</v>
      </c>
      <c r="F51" s="12" t="str">
        <f>'3b. Calculateur - MEÉ 1'!G99</f>
        <v>&lt; sélectionner &gt;</v>
      </c>
      <c r="G51" s="12" t="str">
        <f t="shared" si="14"/>
        <v/>
      </c>
      <c r="H51" s="12">
        <f>'3b. Calculateur - MEÉ 1'!I99</f>
        <v>0</v>
      </c>
      <c r="I51" s="811">
        <f>'3b. Calculateur - MEÉ 1'!H99</f>
        <v>0</v>
      </c>
      <c r="J51" s="832">
        <f t="shared" si="12"/>
        <v>0</v>
      </c>
      <c r="K51" s="833"/>
      <c r="L51" s="834">
        <f>SQRT(Hypothèses!$D$313*Isolation!C51/PI())*12</f>
        <v>0</v>
      </c>
      <c r="M51" s="835"/>
      <c r="N51" s="810">
        <f t="shared" si="16"/>
        <v>0</v>
      </c>
      <c r="O51" s="799">
        <f>N51*'Facteurs conversion'!$C$6/1000/'Facteurs conversion'!$C$23^2*C51</f>
        <v>0</v>
      </c>
      <c r="P51" s="713">
        <f t="shared" si="15"/>
        <v>0</v>
      </c>
      <c r="Q51" s="713">
        <f>P51/'Facteurs conversion'!$C$11</f>
        <v>0</v>
      </c>
      <c r="R51" s="800">
        <f>Q51/Hypothèses!$D$217</f>
        <v>0</v>
      </c>
      <c r="S51" s="971" t="e">
        <f t="shared" si="17"/>
        <v>#DIV/0!</v>
      </c>
      <c r="T51" s="971">
        <f>IF(F51="Intérieur",Hypothèses!$D$234/12,Hypothèses!$D$235/12)</f>
        <v>0.16666666666666666</v>
      </c>
      <c r="U51" s="972" t="e">
        <f t="shared" si="18"/>
        <v>#DIV/0!</v>
      </c>
      <c r="V51" s="973"/>
      <c r="X51" s="898">
        <v>4</v>
      </c>
      <c r="Y51" s="260"/>
      <c r="Z51"/>
      <c r="AA51"/>
      <c r="AB51" s="794"/>
      <c r="AC51"/>
      <c r="AD51" s="764"/>
    </row>
    <row r="52" spans="2:30">
      <c r="B52" s="11">
        <v>6</v>
      </c>
      <c r="C52" s="797">
        <f>'3b. Calculateur - MEÉ 1'!E100</f>
        <v>0</v>
      </c>
      <c r="D52" s="797">
        <f>'3b. Calculateur - MEÉ 1'!F100</f>
        <v>0</v>
      </c>
      <c r="E52" s="798" t="str">
        <f t="shared" si="13"/>
        <v>&lt; sélectionner &gt;_</v>
      </c>
      <c r="F52" s="12" t="str">
        <f>'3b. Calculateur - MEÉ 1'!G100</f>
        <v>&lt; sélectionner &gt;</v>
      </c>
      <c r="G52" s="12" t="str">
        <f t="shared" si="14"/>
        <v/>
      </c>
      <c r="H52" s="12">
        <f>'3b. Calculateur - MEÉ 1'!I100</f>
        <v>0</v>
      </c>
      <c r="I52" s="811">
        <f>'3b. Calculateur - MEÉ 1'!H100</f>
        <v>0</v>
      </c>
      <c r="J52" s="832">
        <f t="shared" si="12"/>
        <v>0</v>
      </c>
      <c r="K52" s="833"/>
      <c r="L52" s="834">
        <f>SQRT(Hypothèses!$D$313*Isolation!C52/PI())*12</f>
        <v>0</v>
      </c>
      <c r="M52" s="835"/>
      <c r="N52" s="810">
        <f>_xlfn.XLOOKUP(B52,$Y$108:$Y$137,$AD$108:$AD$137,0,0)</f>
        <v>0</v>
      </c>
      <c r="O52" s="799">
        <f>N52*'Facteurs conversion'!$C$6/1000/'Facteurs conversion'!$C$23^2*C52</f>
        <v>0</v>
      </c>
      <c r="P52" s="713">
        <f t="shared" si="15"/>
        <v>0</v>
      </c>
      <c r="Q52" s="713">
        <f>P52/'Facteurs conversion'!$C$11</f>
        <v>0</v>
      </c>
      <c r="R52" s="800">
        <f>Q52/Hypothèses!$D$217</f>
        <v>0</v>
      </c>
      <c r="S52" s="971" t="e">
        <f t="shared" si="17"/>
        <v>#DIV/0!</v>
      </c>
      <c r="T52" s="971">
        <f>IF(F52="Intérieur",Hypothèses!$D$234/12,Hypothèses!$D$235/12)</f>
        <v>0.16666666666666666</v>
      </c>
      <c r="U52" s="972" t="e">
        <f t="shared" si="18"/>
        <v>#DIV/0!</v>
      </c>
      <c r="V52" s="973"/>
      <c r="X52" s="898">
        <v>5</v>
      </c>
      <c r="Y52" s="260"/>
      <c r="Z52"/>
      <c r="AA52"/>
      <c r="AB52" s="794"/>
      <c r="AC52"/>
      <c r="AD52" s="764"/>
    </row>
    <row r="53" spans="2:30">
      <c r="B53" s="11">
        <v>7</v>
      </c>
      <c r="C53" s="797">
        <f>'3b. Calculateur - MEÉ 1'!E101</f>
        <v>0</v>
      </c>
      <c r="D53" s="797">
        <f>'3b. Calculateur - MEÉ 1'!F101</f>
        <v>0</v>
      </c>
      <c r="E53" s="798" t="str">
        <f t="shared" si="13"/>
        <v>&lt; sélectionner &gt;_</v>
      </c>
      <c r="F53" s="12" t="str">
        <f>'3b. Calculateur - MEÉ 1'!G101</f>
        <v>&lt; sélectionner &gt;</v>
      </c>
      <c r="G53" s="12" t="str">
        <f t="shared" si="14"/>
        <v/>
      </c>
      <c r="H53" s="12">
        <f>'3b. Calculateur - MEÉ 1'!I101</f>
        <v>0</v>
      </c>
      <c r="I53" s="811">
        <f>'3b. Calculateur - MEÉ 1'!H101</f>
        <v>0</v>
      </c>
      <c r="J53" s="832">
        <f t="shared" si="12"/>
        <v>0</v>
      </c>
      <c r="K53" s="833"/>
      <c r="L53" s="834">
        <f>SQRT(Hypothèses!$D$313*Isolation!C53/PI())*12</f>
        <v>0</v>
      </c>
      <c r="M53" s="835"/>
      <c r="N53" s="810">
        <f t="shared" si="16"/>
        <v>0</v>
      </c>
      <c r="O53" s="799">
        <f>N53*'Facteurs conversion'!$C$6/1000/'Facteurs conversion'!$C$23^2*C53</f>
        <v>0</v>
      </c>
      <c r="P53" s="713">
        <f t="shared" si="15"/>
        <v>0</v>
      </c>
      <c r="Q53" s="713">
        <f>P53/'Facteurs conversion'!$C$11</f>
        <v>0</v>
      </c>
      <c r="R53" s="800">
        <f>Q53/Hypothèses!$D$217</f>
        <v>0</v>
      </c>
      <c r="S53" s="971" t="e">
        <f t="shared" si="17"/>
        <v>#DIV/0!</v>
      </c>
      <c r="T53" s="971">
        <f>IF(F53="Intérieur",Hypothèses!$D$234/12,Hypothèses!$D$235/12)</f>
        <v>0.16666666666666666</v>
      </c>
      <c r="U53" s="972" t="e">
        <f t="shared" si="18"/>
        <v>#DIV/0!</v>
      </c>
      <c r="V53" s="973"/>
      <c r="X53" s="898">
        <v>6</v>
      </c>
      <c r="Y53" s="260"/>
      <c r="Z53"/>
      <c r="AA53"/>
      <c r="AB53" s="794"/>
      <c r="AC53"/>
      <c r="AD53" s="764"/>
    </row>
    <row r="54" spans="2:30">
      <c r="B54" s="11">
        <v>8</v>
      </c>
      <c r="C54" s="797">
        <f>'3b. Calculateur - MEÉ 1'!E102</f>
        <v>0</v>
      </c>
      <c r="D54" s="797">
        <f>'3b. Calculateur - MEÉ 1'!F102</f>
        <v>0</v>
      </c>
      <c r="E54" s="798" t="str">
        <f t="shared" si="13"/>
        <v>&lt; sélectionner &gt;_</v>
      </c>
      <c r="F54" s="12" t="str">
        <f>'3b. Calculateur - MEÉ 1'!G102</f>
        <v>&lt; sélectionner &gt;</v>
      </c>
      <c r="G54" s="12" t="str">
        <f t="shared" si="14"/>
        <v/>
      </c>
      <c r="H54" s="12">
        <f>'3b. Calculateur - MEÉ 1'!I102</f>
        <v>0</v>
      </c>
      <c r="I54" s="811">
        <f>'3b. Calculateur - MEÉ 1'!H102</f>
        <v>0</v>
      </c>
      <c r="J54" s="832">
        <f t="shared" si="12"/>
        <v>0</v>
      </c>
      <c r="K54" s="833"/>
      <c r="L54" s="834">
        <f>SQRT(Hypothèses!$D$313*Isolation!C54/PI())*12</f>
        <v>0</v>
      </c>
      <c r="M54" s="835"/>
      <c r="N54" s="810">
        <f t="shared" si="16"/>
        <v>0</v>
      </c>
      <c r="O54" s="799">
        <f>N54*'Facteurs conversion'!$C$6/1000/'Facteurs conversion'!$C$23^2*C54</f>
        <v>0</v>
      </c>
      <c r="P54" s="713">
        <f t="shared" si="15"/>
        <v>0</v>
      </c>
      <c r="Q54" s="713">
        <f>P54/'Facteurs conversion'!$C$11</f>
        <v>0</v>
      </c>
      <c r="R54" s="800">
        <f>Q54/Hypothèses!$D$217</f>
        <v>0</v>
      </c>
      <c r="S54" s="971" t="e">
        <f t="shared" si="17"/>
        <v>#DIV/0!</v>
      </c>
      <c r="T54" s="971">
        <f>IF(F54="Intérieur",Hypothèses!$D$234/12,Hypothèses!$D$235/12)</f>
        <v>0.16666666666666666</v>
      </c>
      <c r="U54" s="972" t="e">
        <f t="shared" si="18"/>
        <v>#DIV/0!</v>
      </c>
      <c r="V54" s="973"/>
      <c r="X54" s="898">
        <v>7</v>
      </c>
      <c r="Y54" s="260"/>
      <c r="Z54"/>
      <c r="AA54"/>
      <c r="AB54" s="794"/>
      <c r="AC54"/>
      <c r="AD54" s="764"/>
    </row>
    <row r="55" spans="2:30">
      <c r="B55" s="11">
        <v>9</v>
      </c>
      <c r="C55" s="797">
        <f>'3b. Calculateur - MEÉ 1'!E103</f>
        <v>0</v>
      </c>
      <c r="D55" s="797">
        <f>'3b. Calculateur - MEÉ 1'!F103</f>
        <v>0</v>
      </c>
      <c r="E55" s="798" t="str">
        <f t="shared" si="13"/>
        <v>&lt; sélectionner &gt;_</v>
      </c>
      <c r="F55" s="12" t="str">
        <f>'3b. Calculateur - MEÉ 1'!G103</f>
        <v>&lt; sélectionner &gt;</v>
      </c>
      <c r="G55" s="12" t="str">
        <f t="shared" si="14"/>
        <v/>
      </c>
      <c r="H55" s="12">
        <f>'3b. Calculateur - MEÉ 1'!I103</f>
        <v>0</v>
      </c>
      <c r="I55" s="811">
        <f>'3b. Calculateur - MEÉ 1'!H103</f>
        <v>0</v>
      </c>
      <c r="J55" s="832">
        <f t="shared" si="12"/>
        <v>0</v>
      </c>
      <c r="K55" s="833"/>
      <c r="L55" s="834">
        <f>SQRT(Hypothèses!$D$313*Isolation!C55/PI())*12</f>
        <v>0</v>
      </c>
      <c r="M55" s="835"/>
      <c r="N55" s="810">
        <f t="shared" si="16"/>
        <v>0</v>
      </c>
      <c r="O55" s="799">
        <f>N55*'Facteurs conversion'!$C$6/1000/'Facteurs conversion'!$C$23^2*C55</f>
        <v>0</v>
      </c>
      <c r="P55" s="713">
        <f t="shared" si="15"/>
        <v>0</v>
      </c>
      <c r="Q55" s="713">
        <f>P55/'Facteurs conversion'!$C$11</f>
        <v>0</v>
      </c>
      <c r="R55" s="800">
        <f>Q55/Hypothèses!$D$217</f>
        <v>0</v>
      </c>
      <c r="S55" s="971" t="e">
        <f t="shared" si="17"/>
        <v>#DIV/0!</v>
      </c>
      <c r="T55" s="971">
        <f>IF(F55="Intérieur",Hypothèses!$D$234/12,Hypothèses!$D$235/12)</f>
        <v>0.16666666666666666</v>
      </c>
      <c r="U55" s="972" t="e">
        <f t="shared" si="18"/>
        <v>#DIV/0!</v>
      </c>
      <c r="V55" s="973"/>
      <c r="X55" s="898">
        <v>8</v>
      </c>
      <c r="Y55" s="260"/>
      <c r="Z55"/>
      <c r="AA55"/>
      <c r="AB55" s="794"/>
      <c r="AC55"/>
      <c r="AD55" s="764"/>
    </row>
    <row r="56" spans="2:30">
      <c r="B56" s="11">
        <v>10</v>
      </c>
      <c r="C56" s="797">
        <f>'3b. Calculateur - MEÉ 1'!E104</f>
        <v>0</v>
      </c>
      <c r="D56" s="797">
        <f>'3b. Calculateur - MEÉ 1'!F104</f>
        <v>0</v>
      </c>
      <c r="E56" s="798" t="str">
        <f t="shared" si="13"/>
        <v>&lt; sélectionner &gt;_</v>
      </c>
      <c r="F56" s="12" t="str">
        <f>'3b. Calculateur - MEÉ 1'!G104</f>
        <v>&lt; sélectionner &gt;</v>
      </c>
      <c r="G56" s="12" t="str">
        <f t="shared" si="14"/>
        <v/>
      </c>
      <c r="H56" s="12">
        <f>'3b. Calculateur - MEÉ 1'!I104</f>
        <v>0</v>
      </c>
      <c r="I56" s="811">
        <f>'3b. Calculateur - MEÉ 1'!H104</f>
        <v>0</v>
      </c>
      <c r="J56" s="832">
        <f t="shared" si="12"/>
        <v>0</v>
      </c>
      <c r="K56" s="833"/>
      <c r="L56" s="834">
        <f>SQRT(Hypothèses!$D$313*Isolation!C56/PI())*12</f>
        <v>0</v>
      </c>
      <c r="M56" s="835"/>
      <c r="N56" s="810">
        <f t="shared" si="16"/>
        <v>0</v>
      </c>
      <c r="O56" s="799">
        <f>N56*'Facteurs conversion'!$C$6/1000/'Facteurs conversion'!$C$23^2*C56</f>
        <v>0</v>
      </c>
      <c r="P56" s="713">
        <f t="shared" si="15"/>
        <v>0</v>
      </c>
      <c r="Q56" s="713">
        <f>P56/'Facteurs conversion'!$C$11</f>
        <v>0</v>
      </c>
      <c r="R56" s="800">
        <f>Q56/Hypothèses!$D$217</f>
        <v>0</v>
      </c>
      <c r="S56" s="971" t="e">
        <f t="shared" si="17"/>
        <v>#DIV/0!</v>
      </c>
      <c r="T56" s="971">
        <f>IF(F56="Intérieur",Hypothèses!$D$234/12,Hypothèses!$D$235/12)</f>
        <v>0.16666666666666666</v>
      </c>
      <c r="U56" s="972" t="e">
        <f t="shared" si="18"/>
        <v>#DIV/0!</v>
      </c>
      <c r="V56" s="973"/>
      <c r="X56" s="898">
        <v>9</v>
      </c>
      <c r="Y56" s="260"/>
      <c r="Z56"/>
      <c r="AA56"/>
      <c r="AB56" s="794"/>
      <c r="AC56"/>
      <c r="AD56" s="764"/>
    </row>
    <row r="57" spans="2:30">
      <c r="X57" s="898">
        <v>10</v>
      </c>
      <c r="Y57" s="260"/>
      <c r="Z57"/>
      <c r="AA57"/>
      <c r="AB57" s="794"/>
      <c r="AC57"/>
      <c r="AD57" s="764"/>
    </row>
    <row r="58" spans="2:30">
      <c r="B58" s="809" t="s">
        <v>1511</v>
      </c>
      <c r="C58" s="801"/>
      <c r="D58" s="802"/>
      <c r="E58" s="803"/>
      <c r="F58" s="802"/>
      <c r="G58" s="802"/>
      <c r="H58" s="802"/>
      <c r="I58" s="802"/>
      <c r="J58" s="802"/>
      <c r="K58" s="802"/>
      <c r="L58" s="802"/>
      <c r="M58" s="802"/>
      <c r="N58" s="802"/>
      <c r="O58" s="802"/>
      <c r="P58" s="802"/>
      <c r="Q58" s="802"/>
      <c r="R58" s="804"/>
      <c r="S58" s="804"/>
      <c r="T58" s="804"/>
      <c r="U58" s="804"/>
      <c r="V58" s="804"/>
      <c r="W58" s="804"/>
      <c r="X58" s="898">
        <v>11</v>
      </c>
      <c r="Y58" s="260"/>
      <c r="Z58"/>
      <c r="AA58"/>
      <c r="AB58" s="794"/>
      <c r="AC58"/>
      <c r="AD58" s="764"/>
    </row>
    <row r="59" spans="2:30">
      <c r="X59" s="898">
        <v>12</v>
      </c>
      <c r="Y59" s="260"/>
      <c r="Z59"/>
      <c r="AA59"/>
      <c r="AB59" s="794"/>
      <c r="AC59"/>
      <c r="AD59" s="764"/>
    </row>
    <row r="60" spans="2:30" ht="51">
      <c r="B60" s="2286" t="s">
        <v>1136</v>
      </c>
      <c r="C60" s="931" t="s">
        <v>1205</v>
      </c>
      <c r="D60" s="931" t="s">
        <v>1180</v>
      </c>
      <c r="E60" s="2287" t="s">
        <v>1148</v>
      </c>
      <c r="F60" s="2286" t="s">
        <v>998</v>
      </c>
      <c r="G60" s="2286" t="s">
        <v>562</v>
      </c>
      <c r="H60" s="2286" t="s">
        <v>986</v>
      </c>
      <c r="I60" s="934" t="s">
        <v>21</v>
      </c>
      <c r="J60" s="2288" t="s">
        <v>1203</v>
      </c>
      <c r="K60" s="2288"/>
      <c r="L60" s="2288"/>
      <c r="M60" s="2289"/>
      <c r="N60" s="2284" t="s">
        <v>1177</v>
      </c>
      <c r="O60" s="2285"/>
      <c r="P60" s="931" t="s">
        <v>1185</v>
      </c>
      <c r="Q60" s="931" t="s">
        <v>1185</v>
      </c>
      <c r="R60" s="931" t="s">
        <v>1186</v>
      </c>
      <c r="X60" s="898">
        <v>13</v>
      </c>
      <c r="Y60" s="260"/>
      <c r="Z60"/>
      <c r="AA60"/>
      <c r="AB60" s="794"/>
      <c r="AC60"/>
      <c r="AD60" s="764"/>
    </row>
    <row r="61" spans="2:30">
      <c r="B61" s="2286"/>
      <c r="C61" s="930" t="s">
        <v>1206</v>
      </c>
      <c r="D61" s="930" t="s">
        <v>1178</v>
      </c>
      <c r="E61" s="2287"/>
      <c r="F61" s="2286"/>
      <c r="G61" s="2286"/>
      <c r="H61" s="2286"/>
      <c r="I61" s="932" t="s">
        <v>1181</v>
      </c>
      <c r="J61" s="2290" t="s">
        <v>1158</v>
      </c>
      <c r="K61" s="2291"/>
      <c r="L61" s="2291" t="s">
        <v>1141</v>
      </c>
      <c r="M61" s="2292"/>
      <c r="N61" s="933" t="s">
        <v>1207</v>
      </c>
      <c r="O61" s="930" t="s">
        <v>1011</v>
      </c>
      <c r="P61" s="930" t="s">
        <v>1183</v>
      </c>
      <c r="Q61" s="930" t="s">
        <v>1190</v>
      </c>
      <c r="R61" s="930" t="s">
        <v>1190</v>
      </c>
      <c r="X61" s="898">
        <v>14</v>
      </c>
      <c r="Y61" s="260"/>
      <c r="Z61"/>
      <c r="AA61"/>
      <c r="AB61" s="794"/>
      <c r="AC61"/>
      <c r="AD61" s="764"/>
    </row>
    <row r="62" spans="2:30">
      <c r="B62" s="11">
        <v>1</v>
      </c>
      <c r="C62" s="797">
        <f>'3b. Calculateur - MEÉ 1'!E67</f>
        <v>0</v>
      </c>
      <c r="D62" s="797">
        <f>'3b. Calculateur - MEÉ 1'!F67</f>
        <v>0</v>
      </c>
      <c r="E62" s="798" t="str">
        <f>IF(F62="Intérieur",F62,F62&amp;"_"&amp;G62)</f>
        <v>&lt; sélectionner &gt;_</v>
      </c>
      <c r="F62" s="12" t="str">
        <f>'3b. Calculateur - MEÉ 1'!G67</f>
        <v>&lt; sélectionner &gt;</v>
      </c>
      <c r="G62" s="12" t="str">
        <f>$G$7</f>
        <v/>
      </c>
      <c r="H62" s="12">
        <f>'3b. Calculateur - MEÉ 1'!I67</f>
        <v>0</v>
      </c>
      <c r="I62" s="811">
        <f>'3b. Calculateur - MEÉ 1'!H67</f>
        <v>0</v>
      </c>
      <c r="J62" s="832">
        <f t="shared" ref="J62:J71" si="19">CONVERT(L62,"in","mm")</f>
        <v>188.68571428571431</v>
      </c>
      <c r="K62" s="833"/>
      <c r="L62" s="834">
        <f>IF(F62="Intérieur",2*(1-Hypothèses!$D$316)*Hypothèses!$D$234/Hypothèses!$D$316,2*(1-Hypothèses!$D$316)*Hypothèses!$D$235/Hypothèses!$D$316)</f>
        <v>7.4285714285714297</v>
      </c>
      <c r="M62" s="835"/>
      <c r="N62" s="970">
        <f>_xlfn.XLOOKUP(B62,$Y$143:$Y$172,$AD$143:$AD$172,0,0)</f>
        <v>0</v>
      </c>
      <c r="O62" s="799">
        <f>N62*'Facteurs conversion'!$C$6/1000/'Facteurs conversion'!$C$23^2*C62</f>
        <v>0</v>
      </c>
      <c r="P62" s="713">
        <f>O62*I62*H62</f>
        <v>0</v>
      </c>
      <c r="Q62" s="713">
        <f>P62/'Facteurs conversion'!$C$11</f>
        <v>0</v>
      </c>
      <c r="R62" s="800">
        <f>Q62/Hypothèses!$D$217</f>
        <v>0</v>
      </c>
      <c r="X62" s="898">
        <v>15</v>
      </c>
      <c r="Y62" s="260"/>
      <c r="Z62"/>
      <c r="AA62"/>
      <c r="AB62" s="794"/>
      <c r="AC62"/>
      <c r="AD62" s="764"/>
    </row>
    <row r="63" spans="2:30">
      <c r="B63" s="11">
        <v>2</v>
      </c>
      <c r="C63" s="797">
        <f>'3b. Calculateur - MEÉ 1'!E68</f>
        <v>0</v>
      </c>
      <c r="D63" s="797">
        <f>'3b. Calculateur - MEÉ 1'!F68</f>
        <v>0</v>
      </c>
      <c r="E63" s="798" t="str">
        <f t="shared" ref="E63:E71" si="20">IF(F63="Intérieur",F63,F63&amp;"_"&amp;G63)</f>
        <v>&lt; sélectionner &gt;_</v>
      </c>
      <c r="F63" s="12" t="str">
        <f>'3b. Calculateur - MEÉ 1'!G68</f>
        <v>&lt; sélectionner &gt;</v>
      </c>
      <c r="G63" s="12" t="str">
        <f t="shared" ref="G63:G71" si="21">$G$7</f>
        <v/>
      </c>
      <c r="H63" s="12">
        <f>'3b. Calculateur - MEÉ 1'!I68</f>
        <v>0</v>
      </c>
      <c r="I63" s="811">
        <f>'3b. Calculateur - MEÉ 1'!H68</f>
        <v>0</v>
      </c>
      <c r="J63" s="832">
        <f t="shared" si="19"/>
        <v>188.68571428571431</v>
      </c>
      <c r="K63" s="833"/>
      <c r="L63" s="834">
        <f>IF(F63="Intérieur",2*(1-Hypothèses!$D$316)*Hypothèses!$D$234/Hypothèses!$D$316,2*(1-Hypothèses!$D$316)*Hypothèses!$D$235/Hypothèses!$D$316)</f>
        <v>7.4285714285714297</v>
      </c>
      <c r="M63" s="835"/>
      <c r="N63" s="970">
        <f t="shared" ref="N63:N71" si="22">_xlfn.XLOOKUP(B63,$Y$143:$Y$172,$AD$143:$AD$172,0,0)</f>
        <v>0</v>
      </c>
      <c r="O63" s="799">
        <f>N63*'Facteurs conversion'!$C$6/1000/'Facteurs conversion'!$C$23^2*C63</f>
        <v>0</v>
      </c>
      <c r="P63" s="713">
        <f t="shared" ref="P63:P71" si="23">O63*I63*H63</f>
        <v>0</v>
      </c>
      <c r="Q63" s="713">
        <f>P63/'Facteurs conversion'!$C$11</f>
        <v>0</v>
      </c>
      <c r="R63" s="800">
        <f>Q63/Hypothèses!$D$217</f>
        <v>0</v>
      </c>
      <c r="X63" s="898">
        <v>16</v>
      </c>
      <c r="Y63" s="260"/>
      <c r="Z63"/>
      <c r="AA63"/>
      <c r="AB63" s="794"/>
      <c r="AC63"/>
      <c r="AD63" s="764"/>
    </row>
    <row r="64" spans="2:30">
      <c r="B64" s="11">
        <v>3</v>
      </c>
      <c r="C64" s="797">
        <f>'3b. Calculateur - MEÉ 1'!E69</f>
        <v>0</v>
      </c>
      <c r="D64" s="797">
        <f>'3b. Calculateur - MEÉ 1'!F69</f>
        <v>0</v>
      </c>
      <c r="E64" s="798" t="str">
        <f t="shared" si="20"/>
        <v>&lt; sélectionner &gt;_</v>
      </c>
      <c r="F64" s="12" t="str">
        <f>'3b. Calculateur - MEÉ 1'!G69</f>
        <v>&lt; sélectionner &gt;</v>
      </c>
      <c r="G64" s="12" t="str">
        <f t="shared" si="21"/>
        <v/>
      </c>
      <c r="H64" s="12">
        <f>'3b. Calculateur - MEÉ 1'!I69</f>
        <v>0</v>
      </c>
      <c r="I64" s="811">
        <f>'3b. Calculateur - MEÉ 1'!H69</f>
        <v>0</v>
      </c>
      <c r="J64" s="832">
        <f t="shared" si="19"/>
        <v>188.68571428571431</v>
      </c>
      <c r="K64" s="833"/>
      <c r="L64" s="834">
        <f>IF(F64="Intérieur",2*(1-Hypothèses!$D$316)*Hypothèses!$D$234/Hypothèses!$D$316,2*(1-Hypothèses!$D$316)*Hypothèses!$D$235/Hypothèses!$D$316)</f>
        <v>7.4285714285714297</v>
      </c>
      <c r="M64" s="835"/>
      <c r="N64" s="970">
        <f t="shared" si="22"/>
        <v>0</v>
      </c>
      <c r="O64" s="799">
        <f>N64*'Facteurs conversion'!$C$6/1000/'Facteurs conversion'!$C$23^2*C64</f>
        <v>0</v>
      </c>
      <c r="P64" s="713">
        <f t="shared" si="23"/>
        <v>0</v>
      </c>
      <c r="Q64" s="713">
        <f>P64/'Facteurs conversion'!$C$11</f>
        <v>0</v>
      </c>
      <c r="R64" s="800">
        <f>Q64/Hypothèses!$D$217</f>
        <v>0</v>
      </c>
      <c r="X64" s="898">
        <v>17</v>
      </c>
      <c r="Y64" s="260"/>
      <c r="Z64"/>
      <c r="AA64"/>
      <c r="AB64" s="794"/>
      <c r="AC64"/>
      <c r="AD64" s="764"/>
    </row>
    <row r="65" spans="2:30">
      <c r="B65" s="11">
        <v>4</v>
      </c>
      <c r="C65" s="797">
        <f>'3b. Calculateur - MEÉ 1'!E70</f>
        <v>0</v>
      </c>
      <c r="D65" s="797">
        <f>'3b. Calculateur - MEÉ 1'!F70</f>
        <v>0</v>
      </c>
      <c r="E65" s="798" t="str">
        <f t="shared" si="20"/>
        <v>&lt; sélectionner &gt;_</v>
      </c>
      <c r="F65" s="12" t="str">
        <f>'3b. Calculateur - MEÉ 1'!G70</f>
        <v>&lt; sélectionner &gt;</v>
      </c>
      <c r="G65" s="12" t="str">
        <f t="shared" si="21"/>
        <v/>
      </c>
      <c r="H65" s="12">
        <f>'3b. Calculateur - MEÉ 1'!I70</f>
        <v>0</v>
      </c>
      <c r="I65" s="811">
        <f>'3b. Calculateur - MEÉ 1'!H70</f>
        <v>0</v>
      </c>
      <c r="J65" s="832">
        <f t="shared" si="19"/>
        <v>188.68571428571431</v>
      </c>
      <c r="K65" s="833"/>
      <c r="L65" s="834">
        <f>IF(F65="Intérieur",2*(1-Hypothèses!$D$316)*Hypothèses!$D$234/Hypothèses!$D$316,2*(1-Hypothèses!$D$316)*Hypothèses!$D$235/Hypothèses!$D$316)</f>
        <v>7.4285714285714297</v>
      </c>
      <c r="M65" s="835"/>
      <c r="N65" s="970">
        <f t="shared" si="22"/>
        <v>0</v>
      </c>
      <c r="O65" s="799">
        <f>N65*'Facteurs conversion'!$C$6/1000/'Facteurs conversion'!$C$23^2*C65</f>
        <v>0</v>
      </c>
      <c r="P65" s="713">
        <f t="shared" si="23"/>
        <v>0</v>
      </c>
      <c r="Q65" s="713">
        <f>P65/'Facteurs conversion'!$C$11</f>
        <v>0</v>
      </c>
      <c r="R65" s="800">
        <f>Q65/Hypothèses!$D$217</f>
        <v>0</v>
      </c>
      <c r="X65" s="898">
        <v>18</v>
      </c>
      <c r="Y65" s="260"/>
      <c r="Z65"/>
      <c r="AA65"/>
      <c r="AB65" s="794"/>
      <c r="AC65"/>
      <c r="AD65" s="764"/>
    </row>
    <row r="66" spans="2:30">
      <c r="B66" s="11">
        <v>5</v>
      </c>
      <c r="C66" s="797">
        <f>'3b. Calculateur - MEÉ 1'!E71</f>
        <v>0</v>
      </c>
      <c r="D66" s="797">
        <f>'3b. Calculateur - MEÉ 1'!F71</f>
        <v>0</v>
      </c>
      <c r="E66" s="798" t="str">
        <f t="shared" si="20"/>
        <v>&lt; sélectionner &gt;_</v>
      </c>
      <c r="F66" s="12" t="str">
        <f>'3b. Calculateur - MEÉ 1'!G71</f>
        <v>&lt; sélectionner &gt;</v>
      </c>
      <c r="G66" s="12" t="str">
        <f t="shared" si="21"/>
        <v/>
      </c>
      <c r="H66" s="12">
        <f>'3b. Calculateur - MEÉ 1'!I71</f>
        <v>0</v>
      </c>
      <c r="I66" s="811">
        <f>'3b. Calculateur - MEÉ 1'!H71</f>
        <v>0</v>
      </c>
      <c r="J66" s="832">
        <f t="shared" si="19"/>
        <v>188.68571428571431</v>
      </c>
      <c r="K66" s="833"/>
      <c r="L66" s="834">
        <f>IF(F66="Intérieur",2*(1-Hypothèses!$D$316)*Hypothèses!$D$234/Hypothèses!$D$316,2*(1-Hypothèses!$D$316)*Hypothèses!$D$235/Hypothèses!$D$316)</f>
        <v>7.4285714285714297</v>
      </c>
      <c r="M66" s="835"/>
      <c r="N66" s="970">
        <f t="shared" si="22"/>
        <v>0</v>
      </c>
      <c r="O66" s="799">
        <f>N66*'Facteurs conversion'!$C$6/1000/'Facteurs conversion'!$C$23^2*C66</f>
        <v>0</v>
      </c>
      <c r="P66" s="713">
        <f t="shared" si="23"/>
        <v>0</v>
      </c>
      <c r="Q66" s="713">
        <f>P66/'Facteurs conversion'!$C$11</f>
        <v>0</v>
      </c>
      <c r="R66" s="800">
        <f>Q66/Hypothèses!$D$217</f>
        <v>0</v>
      </c>
      <c r="X66" s="898">
        <v>19</v>
      </c>
      <c r="Y66" s="260"/>
      <c r="Z66"/>
      <c r="AA66"/>
      <c r="AB66" s="794"/>
      <c r="AC66"/>
      <c r="AD66" s="764"/>
    </row>
    <row r="67" spans="2:30">
      <c r="B67" s="11">
        <v>6</v>
      </c>
      <c r="C67" s="797">
        <f>'3b. Calculateur - MEÉ 1'!E72</f>
        <v>0</v>
      </c>
      <c r="D67" s="797">
        <f>'3b. Calculateur - MEÉ 1'!F72</f>
        <v>0</v>
      </c>
      <c r="E67" s="798" t="str">
        <f t="shared" si="20"/>
        <v>&lt; sélectionner &gt;_</v>
      </c>
      <c r="F67" s="12" t="str">
        <f>'3b. Calculateur - MEÉ 1'!G72</f>
        <v>&lt; sélectionner &gt;</v>
      </c>
      <c r="G67" s="12" t="str">
        <f t="shared" si="21"/>
        <v/>
      </c>
      <c r="H67" s="12">
        <f>'3b. Calculateur - MEÉ 1'!I72</f>
        <v>0</v>
      </c>
      <c r="I67" s="811">
        <f>'3b. Calculateur - MEÉ 1'!H72</f>
        <v>0</v>
      </c>
      <c r="J67" s="832">
        <f t="shared" si="19"/>
        <v>188.68571428571431</v>
      </c>
      <c r="K67" s="833"/>
      <c r="L67" s="834">
        <f>IF(F67="Intérieur",2*(1-Hypothèses!$D$316)*Hypothèses!$D$234/Hypothèses!$D$316,2*(1-Hypothèses!$D$316)*Hypothèses!$D$235/Hypothèses!$D$316)</f>
        <v>7.4285714285714297</v>
      </c>
      <c r="M67" s="835"/>
      <c r="N67" s="970">
        <f t="shared" si="22"/>
        <v>0</v>
      </c>
      <c r="O67" s="799">
        <f>N67*'Facteurs conversion'!$C$6/1000/'Facteurs conversion'!$C$23^2*C67</f>
        <v>0</v>
      </c>
      <c r="P67" s="713">
        <f t="shared" si="23"/>
        <v>0</v>
      </c>
      <c r="Q67" s="713">
        <f>P67/'Facteurs conversion'!$C$11</f>
        <v>0</v>
      </c>
      <c r="R67" s="800">
        <f>Q67/Hypothèses!$D$217</f>
        <v>0</v>
      </c>
      <c r="X67" s="898">
        <v>20</v>
      </c>
      <c r="Y67" s="795"/>
      <c r="Z67" s="490"/>
      <c r="AA67" s="490"/>
      <c r="AB67" s="796"/>
      <c r="AC67" s="490"/>
      <c r="AD67" s="765"/>
    </row>
    <row r="68" spans="2:30">
      <c r="B68" s="11">
        <v>7</v>
      </c>
      <c r="C68" s="797">
        <f>'3b. Calculateur - MEÉ 1'!E73</f>
        <v>0</v>
      </c>
      <c r="D68" s="797">
        <f>'3b. Calculateur - MEÉ 1'!F73</f>
        <v>0</v>
      </c>
      <c r="E68" s="798" t="str">
        <f t="shared" si="20"/>
        <v>&lt; sélectionner &gt;_</v>
      </c>
      <c r="F68" s="12" t="str">
        <f>'3b. Calculateur - MEÉ 1'!G73</f>
        <v>&lt; sélectionner &gt;</v>
      </c>
      <c r="G68" s="12" t="str">
        <f t="shared" si="21"/>
        <v/>
      </c>
      <c r="H68" s="12">
        <f>'3b. Calculateur - MEÉ 1'!I73</f>
        <v>0</v>
      </c>
      <c r="I68" s="811">
        <f>'3b. Calculateur - MEÉ 1'!H73</f>
        <v>0</v>
      </c>
      <c r="J68" s="832">
        <f t="shared" si="19"/>
        <v>188.68571428571431</v>
      </c>
      <c r="K68" s="833"/>
      <c r="L68" s="834">
        <f>IF(F68="Intérieur",2*(1-Hypothèses!$D$316)*Hypothèses!$D$234/Hypothèses!$D$316,2*(1-Hypothèses!$D$316)*Hypothèses!$D$235/Hypothèses!$D$316)</f>
        <v>7.4285714285714297</v>
      </c>
      <c r="M68" s="835"/>
      <c r="N68" s="970">
        <f t="shared" si="22"/>
        <v>0</v>
      </c>
      <c r="O68" s="799">
        <f>N68*'Facteurs conversion'!$C$6/1000/'Facteurs conversion'!$C$23^2*C68</f>
        <v>0</v>
      </c>
      <c r="P68" s="713">
        <f t="shared" si="23"/>
        <v>0</v>
      </c>
      <c r="Q68" s="713">
        <f>P68/'Facteurs conversion'!$C$11</f>
        <v>0</v>
      </c>
      <c r="R68" s="800">
        <f>Q68/Hypothèses!$D$217</f>
        <v>0</v>
      </c>
      <c r="AB68" s="896"/>
    </row>
    <row r="69" spans="2:30">
      <c r="B69" s="11">
        <v>8</v>
      </c>
      <c r="C69" s="797">
        <f>'3b. Calculateur - MEÉ 1'!E74</f>
        <v>0</v>
      </c>
      <c r="D69" s="797">
        <f>'3b. Calculateur - MEÉ 1'!F74</f>
        <v>0</v>
      </c>
      <c r="E69" s="798" t="str">
        <f t="shared" si="20"/>
        <v>&lt; sélectionner &gt;_</v>
      </c>
      <c r="F69" s="12" t="str">
        <f>'3b. Calculateur - MEÉ 1'!G74</f>
        <v>&lt; sélectionner &gt;</v>
      </c>
      <c r="G69" s="12" t="str">
        <f t="shared" si="21"/>
        <v/>
      </c>
      <c r="H69" s="12">
        <f>'3b. Calculateur - MEÉ 1'!I74</f>
        <v>0</v>
      </c>
      <c r="I69" s="811">
        <f>'3b. Calculateur - MEÉ 1'!H74</f>
        <v>0</v>
      </c>
      <c r="J69" s="832">
        <f t="shared" si="19"/>
        <v>188.68571428571431</v>
      </c>
      <c r="K69" s="833"/>
      <c r="L69" s="834">
        <f>IF(F69="Intérieur",2*(1-Hypothèses!$D$316)*Hypothèses!$D$234/Hypothèses!$D$316,2*(1-Hypothèses!$D$316)*Hypothèses!$D$235/Hypothèses!$D$316)</f>
        <v>7.4285714285714297</v>
      </c>
      <c r="M69" s="835"/>
      <c r="N69" s="970">
        <f t="shared" si="22"/>
        <v>0</v>
      </c>
      <c r="O69" s="799">
        <f>N69*'Facteurs conversion'!$C$6/1000/'Facteurs conversion'!$C$23^2*C69</f>
        <v>0</v>
      </c>
      <c r="P69" s="713">
        <f t="shared" si="23"/>
        <v>0</v>
      </c>
      <c r="Q69" s="713">
        <f>P69/'Facteurs conversion'!$C$11</f>
        <v>0</v>
      </c>
      <c r="R69" s="800">
        <f>Q69/Hypothèses!$D$217</f>
        <v>0</v>
      </c>
      <c r="Y69" s="7" t="s">
        <v>1514</v>
      </c>
    </row>
    <row r="70" spans="2:30">
      <c r="B70" s="11">
        <v>9</v>
      </c>
      <c r="C70" s="797">
        <f>'3b. Calculateur - MEÉ 1'!E75</f>
        <v>0</v>
      </c>
      <c r="D70" s="797">
        <f>'3b. Calculateur - MEÉ 1'!F75</f>
        <v>0</v>
      </c>
      <c r="E70" s="798" t="str">
        <f t="shared" si="20"/>
        <v>&lt; sélectionner &gt;_</v>
      </c>
      <c r="F70" s="12" t="str">
        <f>'3b. Calculateur - MEÉ 1'!G75</f>
        <v>&lt; sélectionner &gt;</v>
      </c>
      <c r="G70" s="12" t="str">
        <f t="shared" si="21"/>
        <v/>
      </c>
      <c r="H70" s="12">
        <f>'3b. Calculateur - MEÉ 1'!I75</f>
        <v>0</v>
      </c>
      <c r="I70" s="811">
        <f>'3b. Calculateur - MEÉ 1'!H75</f>
        <v>0</v>
      </c>
      <c r="J70" s="832">
        <f t="shared" si="19"/>
        <v>188.68571428571431</v>
      </c>
      <c r="K70" s="833"/>
      <c r="L70" s="834">
        <f>IF(F70="Intérieur",2*(1-Hypothèses!$D$316)*Hypothèses!$D$234/Hypothèses!$D$316,2*(1-Hypothèses!$D$316)*Hypothèses!$D$235/Hypothèses!$D$316)</f>
        <v>7.4285714285714297</v>
      </c>
      <c r="M70" s="835"/>
      <c r="N70" s="970">
        <f t="shared" si="22"/>
        <v>0</v>
      </c>
      <c r="O70" s="799">
        <f>N70*'Facteurs conversion'!$C$6/1000/'Facteurs conversion'!$C$23^2*C70</f>
        <v>0</v>
      </c>
      <c r="P70" s="713">
        <f t="shared" si="23"/>
        <v>0</v>
      </c>
      <c r="Q70" s="713">
        <f>P70/'Facteurs conversion'!$C$11</f>
        <v>0</v>
      </c>
      <c r="R70" s="800">
        <f>Q70/Hypothèses!$D$217</f>
        <v>0</v>
      </c>
      <c r="Y70" s="2280" t="s">
        <v>1136</v>
      </c>
      <c r="Z70" s="2280" t="s">
        <v>1205</v>
      </c>
      <c r="AA70" s="2280" t="s">
        <v>1138</v>
      </c>
      <c r="AB70" s="2280" t="s">
        <v>998</v>
      </c>
      <c r="AC70" s="2280" t="s">
        <v>1203</v>
      </c>
      <c r="AD70" s="2282" t="s">
        <v>1135</v>
      </c>
    </row>
    <row r="71" spans="2:30">
      <c r="B71" s="11">
        <v>10</v>
      </c>
      <c r="C71" s="797">
        <f>'3b. Calculateur - MEÉ 1'!E76</f>
        <v>0</v>
      </c>
      <c r="D71" s="797">
        <f>'3b. Calculateur - MEÉ 1'!F76</f>
        <v>0</v>
      </c>
      <c r="E71" s="798" t="str">
        <f t="shared" si="20"/>
        <v>&lt; sélectionner &gt;_</v>
      </c>
      <c r="F71" s="12" t="str">
        <f>'3b. Calculateur - MEÉ 1'!G76</f>
        <v>&lt; sélectionner &gt;</v>
      </c>
      <c r="G71" s="12" t="str">
        <f t="shared" si="21"/>
        <v/>
      </c>
      <c r="H71" s="12">
        <f>'3b. Calculateur - MEÉ 1'!I76</f>
        <v>0</v>
      </c>
      <c r="I71" s="811">
        <f>'3b. Calculateur - MEÉ 1'!H76</f>
        <v>0</v>
      </c>
      <c r="J71" s="832">
        <f t="shared" si="19"/>
        <v>188.68571428571431</v>
      </c>
      <c r="K71" s="833"/>
      <c r="L71" s="834">
        <f>IF(F71="Intérieur",2*(1-Hypothèses!$D$316)*Hypothèses!$D$234/Hypothèses!$D$316,2*(1-Hypothèses!$D$316)*Hypothèses!$D$235/Hypothèses!$D$316)</f>
        <v>7.4285714285714297</v>
      </c>
      <c r="M71" s="835"/>
      <c r="N71" s="970">
        <f t="shared" si="22"/>
        <v>0</v>
      </c>
      <c r="O71" s="799">
        <f>N71*'Facteurs conversion'!$C$6/1000/'Facteurs conversion'!$C$23^2*C71</f>
        <v>0</v>
      </c>
      <c r="P71" s="713">
        <f t="shared" si="23"/>
        <v>0</v>
      </c>
      <c r="Q71" s="713">
        <f>P71/'Facteurs conversion'!$C$11</f>
        <v>0</v>
      </c>
      <c r="R71" s="800">
        <f>Q71/Hypothèses!$D$217</f>
        <v>0</v>
      </c>
      <c r="Y71" s="2281"/>
      <c r="Z71" s="2281"/>
      <c r="AA71" s="2281"/>
      <c r="AB71" s="2281"/>
      <c r="AC71" s="2281"/>
      <c r="AD71" s="2283"/>
    </row>
    <row r="72" spans="2:30" ht="17.25">
      <c r="Y72" s="806"/>
      <c r="Z72" s="806" t="s">
        <v>1220</v>
      </c>
      <c r="AA72" s="806" t="s">
        <v>1142</v>
      </c>
      <c r="AB72" s="806"/>
      <c r="AC72" s="807" t="s">
        <v>1158</v>
      </c>
      <c r="AD72" s="808" t="s">
        <v>1213</v>
      </c>
    </row>
    <row r="73" spans="2:30">
      <c r="B73" s="809" t="s">
        <v>34</v>
      </c>
      <c r="C73" s="801"/>
      <c r="D73" s="802"/>
      <c r="E73" s="803"/>
      <c r="F73" s="802"/>
      <c r="G73" s="802"/>
      <c r="H73" s="802"/>
      <c r="I73" s="802"/>
      <c r="J73" s="802"/>
      <c r="K73" s="802"/>
      <c r="L73" s="802"/>
      <c r="M73" s="802"/>
      <c r="N73" s="802"/>
      <c r="O73" s="802"/>
      <c r="P73" s="802"/>
      <c r="Q73" s="802"/>
      <c r="R73" s="804"/>
      <c r="S73" s="804"/>
      <c r="T73" s="804"/>
      <c r="U73" s="804"/>
      <c r="V73" s="804"/>
      <c r="W73" s="804"/>
      <c r="X73" s="898">
        <v>1</v>
      </c>
      <c r="Y73" s="260" t="e" cm="1" vm="1">
        <f t="array" ref="Y73">_xlfn._xlws.FILTER('Isolation - CAS 1'!N37:S46,'Isolation - CAS 1'!N37:N46&lt;&gt;"")</f>
        <v>#VALUE!</v>
      </c>
      <c r="Z73"/>
      <c r="AA73"/>
      <c r="AB73"/>
      <c r="AC73" s="845"/>
      <c r="AD73" s="846"/>
    </row>
    <row r="74" spans="2:30">
      <c r="X74" s="898">
        <v>2</v>
      </c>
      <c r="Y74" s="260"/>
      <c r="Z74"/>
      <c r="AA74"/>
      <c r="AB74"/>
      <c r="AC74" s="845"/>
      <c r="AD74" s="846"/>
    </row>
    <row r="75" spans="2:30" ht="51">
      <c r="B75" s="2286" t="s">
        <v>1136</v>
      </c>
      <c r="C75" s="931" t="s">
        <v>1205</v>
      </c>
      <c r="D75" s="931" t="s">
        <v>1180</v>
      </c>
      <c r="E75" s="2287" t="s">
        <v>1148</v>
      </c>
      <c r="F75" s="2286" t="s">
        <v>998</v>
      </c>
      <c r="G75" s="2286" t="s">
        <v>562</v>
      </c>
      <c r="H75" s="2286" t="s">
        <v>986</v>
      </c>
      <c r="I75" s="934" t="s">
        <v>21</v>
      </c>
      <c r="J75" s="2288" t="s">
        <v>1203</v>
      </c>
      <c r="K75" s="2288"/>
      <c r="L75" s="2288"/>
      <c r="M75" s="2289"/>
      <c r="N75" s="2284" t="s">
        <v>1177</v>
      </c>
      <c r="O75" s="2285"/>
      <c r="P75" s="931" t="s">
        <v>1185</v>
      </c>
      <c r="Q75" s="931" t="s">
        <v>1185</v>
      </c>
      <c r="R75" s="931" t="s">
        <v>1186</v>
      </c>
      <c r="S75" s="931" t="s">
        <v>1526</v>
      </c>
      <c r="X75" s="898">
        <v>3</v>
      </c>
      <c r="Y75" s="260"/>
      <c r="Z75"/>
      <c r="AA75"/>
      <c r="AB75"/>
      <c r="AC75" s="845"/>
      <c r="AD75" s="846"/>
    </row>
    <row r="76" spans="2:30">
      <c r="B76" s="2286"/>
      <c r="C76" s="930" t="s">
        <v>1206</v>
      </c>
      <c r="D76" s="930" t="s">
        <v>1178</v>
      </c>
      <c r="E76" s="2287"/>
      <c r="F76" s="2286"/>
      <c r="G76" s="2286"/>
      <c r="H76" s="2286"/>
      <c r="I76" s="932" t="s">
        <v>1181</v>
      </c>
      <c r="J76" s="2290" t="s">
        <v>1158</v>
      </c>
      <c r="K76" s="2291"/>
      <c r="L76" s="2291" t="s">
        <v>1141</v>
      </c>
      <c r="M76" s="2292"/>
      <c r="N76" s="933" t="s">
        <v>1207</v>
      </c>
      <c r="O76" s="930" t="s">
        <v>1011</v>
      </c>
      <c r="P76" s="930" t="s">
        <v>1183</v>
      </c>
      <c r="Q76" s="930" t="s">
        <v>1190</v>
      </c>
      <c r="R76" s="930" t="s">
        <v>1190</v>
      </c>
      <c r="S76" s="930" t="s">
        <v>1189</v>
      </c>
      <c r="X76" s="898">
        <v>4</v>
      </c>
      <c r="Y76" s="260"/>
      <c r="Z76"/>
      <c r="AA76"/>
      <c r="AB76"/>
      <c r="AC76" s="845"/>
      <c r="AD76" s="846"/>
    </row>
    <row r="77" spans="2:30">
      <c r="B77" s="11">
        <v>1</v>
      </c>
      <c r="C77" s="797">
        <f>'3b. Calculateur - MEÉ 1'!E125</f>
        <v>0</v>
      </c>
      <c r="D77" s="797">
        <f>'3b. Calculateur - MEÉ 1'!F125</f>
        <v>0</v>
      </c>
      <c r="E77" s="798" t="str">
        <f>IF(F77="Intérieur",F77,F77&amp;"_"&amp;G77)</f>
        <v>&lt; sélectionner &gt;_</v>
      </c>
      <c r="F77" s="12" t="str">
        <f>'3b. Calculateur - MEÉ 1'!G125</f>
        <v>&lt; sélectionner &gt;</v>
      </c>
      <c r="G77" s="12" t="str">
        <f>$G$7</f>
        <v/>
      </c>
      <c r="H77" s="12">
        <f>'3b. Calculateur - MEÉ 1'!I125</f>
        <v>0</v>
      </c>
      <c r="I77" s="811">
        <f>'3b. Calculateur - MEÉ 1'!H125</f>
        <v>0</v>
      </c>
      <c r="J77" s="832">
        <f t="shared" ref="J77:J86" si="24">CONVERT(L77,"in","mm")</f>
        <v>188.68571428571431</v>
      </c>
      <c r="K77" s="833"/>
      <c r="L77" s="834">
        <f>IF(F77="Intérieur",2*(1-Hypothèses!$D$316)*Hypothèses!$D$234/Hypothèses!$D$316,2*(1-Hypothèses!$D$316)*Hypothèses!$D$235/Hypothèses!$D$316)</f>
        <v>7.4285714285714297</v>
      </c>
      <c r="M77" s="835"/>
      <c r="N77" s="810">
        <f>_xlfn.XLOOKUP(B77,$Y$178:$Y$207,$AD$178:$AD$207,0,0)</f>
        <v>0</v>
      </c>
      <c r="O77" s="799">
        <f>N77*'Facteurs conversion'!$C$6/1000/'Facteurs conversion'!$C$23^2*C77</f>
        <v>0</v>
      </c>
      <c r="P77" s="713">
        <f>O77*I77*H77</f>
        <v>0</v>
      </c>
      <c r="Q77" s="713">
        <f>P77/'Facteurs conversion'!$C$11</f>
        <v>0</v>
      </c>
      <c r="R77" s="800">
        <f>Q77/Hypothèses!$D$217</f>
        <v>0</v>
      </c>
      <c r="S77" s="972">
        <f>C77/(1-Hypothèses!$D$316)*H77</f>
        <v>0</v>
      </c>
      <c r="X77" s="898">
        <v>5</v>
      </c>
      <c r="Y77" s="260"/>
      <c r="Z77"/>
      <c r="AA77"/>
      <c r="AB77"/>
      <c r="AC77" s="845"/>
      <c r="AD77" s="846"/>
    </row>
    <row r="78" spans="2:30">
      <c r="B78" s="11">
        <v>2</v>
      </c>
      <c r="C78" s="797">
        <f>'3b. Calculateur - MEÉ 1'!E126</f>
        <v>0</v>
      </c>
      <c r="D78" s="797">
        <f>'3b. Calculateur - MEÉ 1'!F126</f>
        <v>0</v>
      </c>
      <c r="E78" s="798" t="str">
        <f t="shared" ref="E78:E86" si="25">IF(F78="Intérieur",F78,F78&amp;"_"&amp;G78)</f>
        <v>&lt; sélectionner &gt;_</v>
      </c>
      <c r="F78" s="12" t="str">
        <f>'3b. Calculateur - MEÉ 1'!G126</f>
        <v>&lt; sélectionner &gt;</v>
      </c>
      <c r="G78" s="12" t="str">
        <f t="shared" ref="G78:G86" si="26">$G$7</f>
        <v/>
      </c>
      <c r="H78" s="12">
        <f>'3b. Calculateur - MEÉ 1'!I126</f>
        <v>0</v>
      </c>
      <c r="I78" s="811">
        <f>'3b. Calculateur - MEÉ 1'!H126</f>
        <v>0</v>
      </c>
      <c r="J78" s="832">
        <f t="shared" si="24"/>
        <v>188.68571428571431</v>
      </c>
      <c r="K78" s="833"/>
      <c r="L78" s="834">
        <f>IF(F78="Intérieur",2*(1-Hypothèses!$D$316)*Hypothèses!$D$234/Hypothèses!$D$316,2*(1-Hypothèses!$D$316)*Hypothèses!$D$235/Hypothèses!$D$316)</f>
        <v>7.4285714285714297</v>
      </c>
      <c r="M78" s="835"/>
      <c r="N78" s="810">
        <f t="shared" ref="N78:N86" si="27">_xlfn.XLOOKUP(B78,$Y$178:$Y$207,$AD$178:$AD$207,0,0)</f>
        <v>0</v>
      </c>
      <c r="O78" s="799">
        <f>N78*'Facteurs conversion'!$C$6/1000/'Facteurs conversion'!$C$23^2*C78</f>
        <v>0</v>
      </c>
      <c r="P78" s="713">
        <f t="shared" ref="P78:P86" si="28">O78*I78*H78</f>
        <v>0</v>
      </c>
      <c r="Q78" s="713">
        <f>P78/'Facteurs conversion'!$C$11</f>
        <v>0</v>
      </c>
      <c r="R78" s="800">
        <f>Q78/Hypothèses!$D$217</f>
        <v>0</v>
      </c>
      <c r="S78" s="972">
        <f>C78/(1-Hypothèses!$D$316)*H78</f>
        <v>0</v>
      </c>
      <c r="X78" s="898">
        <v>6</v>
      </c>
      <c r="Y78" s="260"/>
      <c r="Z78"/>
      <c r="AA78"/>
      <c r="AB78"/>
      <c r="AC78" s="845"/>
      <c r="AD78" s="846"/>
    </row>
    <row r="79" spans="2:30">
      <c r="B79" s="11">
        <v>3</v>
      </c>
      <c r="C79" s="797">
        <f>'3b. Calculateur - MEÉ 1'!E127</f>
        <v>0</v>
      </c>
      <c r="D79" s="797">
        <f>'3b. Calculateur - MEÉ 1'!F127</f>
        <v>0</v>
      </c>
      <c r="E79" s="798" t="str">
        <f t="shared" si="25"/>
        <v>&lt; sélectionner &gt;_</v>
      </c>
      <c r="F79" s="12" t="str">
        <f>'3b. Calculateur - MEÉ 1'!G127</f>
        <v>&lt; sélectionner &gt;</v>
      </c>
      <c r="G79" s="12" t="str">
        <f t="shared" si="26"/>
        <v/>
      </c>
      <c r="H79" s="12">
        <f>'3b. Calculateur - MEÉ 1'!I127</f>
        <v>0</v>
      </c>
      <c r="I79" s="811">
        <f>'3b. Calculateur - MEÉ 1'!H127</f>
        <v>0</v>
      </c>
      <c r="J79" s="832">
        <f t="shared" si="24"/>
        <v>188.68571428571431</v>
      </c>
      <c r="K79" s="833"/>
      <c r="L79" s="834">
        <f>IF(F79="Intérieur",2*(1-Hypothèses!$D$316)*Hypothèses!$D$234/Hypothèses!$D$316,2*(1-Hypothèses!$D$316)*Hypothèses!$D$235/Hypothèses!$D$316)</f>
        <v>7.4285714285714297</v>
      </c>
      <c r="M79" s="835"/>
      <c r="N79" s="810">
        <f t="shared" si="27"/>
        <v>0</v>
      </c>
      <c r="O79" s="799">
        <f>N79*'Facteurs conversion'!$C$6/1000/'Facteurs conversion'!$C$23^2*C79</f>
        <v>0</v>
      </c>
      <c r="P79" s="713">
        <f t="shared" si="28"/>
        <v>0</v>
      </c>
      <c r="Q79" s="713">
        <f>P79/'Facteurs conversion'!$C$11</f>
        <v>0</v>
      </c>
      <c r="R79" s="800">
        <f>Q79/Hypothèses!$D$217</f>
        <v>0</v>
      </c>
      <c r="S79" s="972">
        <f>C79/(1-Hypothèses!$D$316)*H79</f>
        <v>0</v>
      </c>
      <c r="X79" s="898">
        <v>7</v>
      </c>
      <c r="Y79" s="260"/>
      <c r="Z79"/>
      <c r="AA79"/>
      <c r="AB79"/>
      <c r="AC79" s="845"/>
      <c r="AD79" s="846"/>
    </row>
    <row r="80" spans="2:30">
      <c r="B80" s="11">
        <v>4</v>
      </c>
      <c r="C80" s="797">
        <f>'3b. Calculateur - MEÉ 1'!E128</f>
        <v>0</v>
      </c>
      <c r="D80" s="797">
        <f>'3b. Calculateur - MEÉ 1'!F128</f>
        <v>0</v>
      </c>
      <c r="E80" s="798" t="str">
        <f t="shared" si="25"/>
        <v>&lt; sélectionner &gt;_</v>
      </c>
      <c r="F80" s="12" t="str">
        <f>'3b. Calculateur - MEÉ 1'!G128</f>
        <v>&lt; sélectionner &gt;</v>
      </c>
      <c r="G80" s="12" t="str">
        <f t="shared" si="26"/>
        <v/>
      </c>
      <c r="H80" s="12">
        <f>'3b. Calculateur - MEÉ 1'!I128</f>
        <v>0</v>
      </c>
      <c r="I80" s="811">
        <f>'3b. Calculateur - MEÉ 1'!H128</f>
        <v>0</v>
      </c>
      <c r="J80" s="832">
        <f t="shared" si="24"/>
        <v>188.68571428571431</v>
      </c>
      <c r="K80" s="833"/>
      <c r="L80" s="834">
        <f>IF(F80="Intérieur",2*(1-Hypothèses!$D$316)*Hypothèses!$D$234/Hypothèses!$D$316,2*(1-Hypothèses!$D$316)*Hypothèses!$D$235/Hypothèses!$D$316)</f>
        <v>7.4285714285714297</v>
      </c>
      <c r="M80" s="835"/>
      <c r="N80" s="810">
        <f t="shared" si="27"/>
        <v>0</v>
      </c>
      <c r="O80" s="799">
        <f>N80*'Facteurs conversion'!$C$6/1000/'Facteurs conversion'!$C$23^2*C80</f>
        <v>0</v>
      </c>
      <c r="P80" s="713">
        <f t="shared" si="28"/>
        <v>0</v>
      </c>
      <c r="Q80" s="713">
        <f>P80/'Facteurs conversion'!$C$11</f>
        <v>0</v>
      </c>
      <c r="R80" s="800">
        <f>Q80/Hypothèses!$D$217</f>
        <v>0</v>
      </c>
      <c r="S80" s="972">
        <f>C80/(1-Hypothèses!$D$316)*H80</f>
        <v>0</v>
      </c>
      <c r="X80" s="898">
        <v>8</v>
      </c>
      <c r="Y80" s="260"/>
      <c r="Z80"/>
      <c r="AA80"/>
      <c r="AB80"/>
      <c r="AC80" s="845"/>
      <c r="AD80" s="846"/>
    </row>
    <row r="81" spans="2:30">
      <c r="B81" s="11">
        <v>5</v>
      </c>
      <c r="C81" s="797">
        <f>'3b. Calculateur - MEÉ 1'!E129</f>
        <v>0</v>
      </c>
      <c r="D81" s="797">
        <f>'3b. Calculateur - MEÉ 1'!F129</f>
        <v>0</v>
      </c>
      <c r="E81" s="798" t="str">
        <f t="shared" si="25"/>
        <v>&lt; sélectionner &gt;_</v>
      </c>
      <c r="F81" s="12" t="str">
        <f>'3b. Calculateur - MEÉ 1'!G129</f>
        <v>&lt; sélectionner &gt;</v>
      </c>
      <c r="G81" s="12" t="str">
        <f t="shared" si="26"/>
        <v/>
      </c>
      <c r="H81" s="12">
        <f>'3b. Calculateur - MEÉ 1'!I129</f>
        <v>0</v>
      </c>
      <c r="I81" s="811">
        <f>'3b. Calculateur - MEÉ 1'!H129</f>
        <v>0</v>
      </c>
      <c r="J81" s="832">
        <f t="shared" si="24"/>
        <v>188.68571428571431</v>
      </c>
      <c r="K81" s="833"/>
      <c r="L81" s="834">
        <f>IF(F81="Intérieur",2*(1-Hypothèses!$D$316)*Hypothèses!$D$234/Hypothèses!$D$316,2*(1-Hypothèses!$D$316)*Hypothèses!$D$235/Hypothèses!$D$316)</f>
        <v>7.4285714285714297</v>
      </c>
      <c r="M81" s="835"/>
      <c r="N81" s="810">
        <f t="shared" si="27"/>
        <v>0</v>
      </c>
      <c r="O81" s="799">
        <f>N81*'Facteurs conversion'!$C$6/1000/'Facteurs conversion'!$C$23^2*C81</f>
        <v>0</v>
      </c>
      <c r="P81" s="713">
        <f t="shared" si="28"/>
        <v>0</v>
      </c>
      <c r="Q81" s="713">
        <f>P81/'Facteurs conversion'!$C$11</f>
        <v>0</v>
      </c>
      <c r="R81" s="800">
        <f>Q81/Hypothèses!$D$217</f>
        <v>0</v>
      </c>
      <c r="S81" s="972">
        <f>C81/(1-Hypothèses!$D$316)*H81</f>
        <v>0</v>
      </c>
      <c r="X81" s="898">
        <v>9</v>
      </c>
      <c r="Y81" s="260"/>
      <c r="Z81"/>
      <c r="AA81"/>
      <c r="AB81"/>
      <c r="AC81" s="845"/>
      <c r="AD81" s="846"/>
    </row>
    <row r="82" spans="2:30">
      <c r="B82" s="11">
        <v>6</v>
      </c>
      <c r="C82" s="797">
        <f>'3b. Calculateur - MEÉ 1'!E130</f>
        <v>0</v>
      </c>
      <c r="D82" s="797">
        <f>'3b. Calculateur - MEÉ 1'!F130</f>
        <v>0</v>
      </c>
      <c r="E82" s="798" t="str">
        <f t="shared" si="25"/>
        <v>&lt; sélectionner &gt;_</v>
      </c>
      <c r="F82" s="12" t="str">
        <f>'3b. Calculateur - MEÉ 1'!G130</f>
        <v>&lt; sélectionner &gt;</v>
      </c>
      <c r="G82" s="12" t="str">
        <f t="shared" si="26"/>
        <v/>
      </c>
      <c r="H82" s="12">
        <f>'3b. Calculateur - MEÉ 1'!I130</f>
        <v>0</v>
      </c>
      <c r="I82" s="811">
        <f>'3b. Calculateur - MEÉ 1'!H130</f>
        <v>0</v>
      </c>
      <c r="J82" s="832">
        <f t="shared" si="24"/>
        <v>188.68571428571431</v>
      </c>
      <c r="K82" s="833"/>
      <c r="L82" s="834">
        <f>IF(F82="Intérieur",2*(1-Hypothèses!$D$316)*Hypothèses!$D$234/Hypothèses!$D$316,2*(1-Hypothèses!$D$316)*Hypothèses!$D$235/Hypothèses!$D$316)</f>
        <v>7.4285714285714297</v>
      </c>
      <c r="M82" s="835"/>
      <c r="N82" s="810">
        <f t="shared" si="27"/>
        <v>0</v>
      </c>
      <c r="O82" s="799">
        <f>N82*'Facteurs conversion'!$C$6/1000/'Facteurs conversion'!$C$23^2*C82</f>
        <v>0</v>
      </c>
      <c r="P82" s="713">
        <f t="shared" si="28"/>
        <v>0</v>
      </c>
      <c r="Q82" s="713">
        <f>P82/'Facteurs conversion'!$C$11</f>
        <v>0</v>
      </c>
      <c r="R82" s="800">
        <f>Q82/Hypothèses!$D$217</f>
        <v>0</v>
      </c>
      <c r="S82" s="972">
        <f>C82/(1-Hypothèses!$D$316)*H82</f>
        <v>0</v>
      </c>
      <c r="X82" s="898">
        <v>10</v>
      </c>
      <c r="Y82" s="260"/>
      <c r="Z82"/>
      <c r="AA82"/>
      <c r="AB82"/>
      <c r="AC82" s="845"/>
      <c r="AD82" s="846"/>
    </row>
    <row r="83" spans="2:30">
      <c r="B83" s="11">
        <v>7</v>
      </c>
      <c r="C83" s="797">
        <f>'3b. Calculateur - MEÉ 1'!E131</f>
        <v>0</v>
      </c>
      <c r="D83" s="797">
        <f>'3b. Calculateur - MEÉ 1'!F131</f>
        <v>0</v>
      </c>
      <c r="E83" s="798" t="str">
        <f t="shared" si="25"/>
        <v>&lt; sélectionner &gt;_</v>
      </c>
      <c r="F83" s="12" t="str">
        <f>'3b. Calculateur - MEÉ 1'!G131</f>
        <v>&lt; sélectionner &gt;</v>
      </c>
      <c r="G83" s="12" t="str">
        <f t="shared" si="26"/>
        <v/>
      </c>
      <c r="H83" s="12">
        <f>'3b. Calculateur - MEÉ 1'!I131</f>
        <v>0</v>
      </c>
      <c r="I83" s="811">
        <f>'3b. Calculateur - MEÉ 1'!H131</f>
        <v>0</v>
      </c>
      <c r="J83" s="832">
        <f t="shared" si="24"/>
        <v>188.68571428571431</v>
      </c>
      <c r="K83" s="833"/>
      <c r="L83" s="834">
        <f>IF(F83="Intérieur",2*(1-Hypothèses!$D$316)*Hypothèses!$D$234/Hypothèses!$D$316,2*(1-Hypothèses!$D$316)*Hypothèses!$D$235/Hypothèses!$D$316)</f>
        <v>7.4285714285714297</v>
      </c>
      <c r="M83" s="835"/>
      <c r="N83" s="810">
        <f t="shared" si="27"/>
        <v>0</v>
      </c>
      <c r="O83" s="799">
        <f>N83*'Facteurs conversion'!$C$6/1000/'Facteurs conversion'!$C$23^2*C83</f>
        <v>0</v>
      </c>
      <c r="P83" s="713">
        <f t="shared" si="28"/>
        <v>0</v>
      </c>
      <c r="Q83" s="713">
        <f>P83/'Facteurs conversion'!$C$11</f>
        <v>0</v>
      </c>
      <c r="R83" s="800">
        <f>Q83/Hypothèses!$D$217</f>
        <v>0</v>
      </c>
      <c r="S83" s="972">
        <f>C83/(1-Hypothèses!$D$316)*H83</f>
        <v>0</v>
      </c>
      <c r="X83" s="898">
        <v>1</v>
      </c>
      <c r="Y83" s="260" t="e" cm="1" vm="1">
        <f t="array" ref="Y83">_xlfn._xlws.FILTER('Isolation - CAS 2'!N37:S46,'Isolation - CAS 2'!N37:N46&lt;&gt;"")</f>
        <v>#VALUE!</v>
      </c>
      <c r="Z83"/>
      <c r="AA83"/>
      <c r="AB83"/>
      <c r="AC83" s="845"/>
      <c r="AD83" s="846"/>
    </row>
    <row r="84" spans="2:30">
      <c r="B84" s="11">
        <v>8</v>
      </c>
      <c r="C84" s="797">
        <f>'3b. Calculateur - MEÉ 1'!E132</f>
        <v>0</v>
      </c>
      <c r="D84" s="797">
        <f>'3b. Calculateur - MEÉ 1'!F132</f>
        <v>0</v>
      </c>
      <c r="E84" s="798" t="str">
        <f t="shared" si="25"/>
        <v>&lt; sélectionner &gt;_</v>
      </c>
      <c r="F84" s="12" t="str">
        <f>'3b. Calculateur - MEÉ 1'!G132</f>
        <v>&lt; sélectionner &gt;</v>
      </c>
      <c r="G84" s="12" t="str">
        <f t="shared" si="26"/>
        <v/>
      </c>
      <c r="H84" s="12">
        <f>'3b. Calculateur - MEÉ 1'!I132</f>
        <v>0</v>
      </c>
      <c r="I84" s="811">
        <f>'3b. Calculateur - MEÉ 1'!H132</f>
        <v>0</v>
      </c>
      <c r="J84" s="832">
        <f t="shared" si="24"/>
        <v>188.68571428571431</v>
      </c>
      <c r="K84" s="833"/>
      <c r="L84" s="834">
        <f>IF(F84="Intérieur",2*(1-Hypothèses!$D$316)*Hypothèses!$D$234/Hypothèses!$D$316,2*(1-Hypothèses!$D$316)*Hypothèses!$D$235/Hypothèses!$D$316)</f>
        <v>7.4285714285714297</v>
      </c>
      <c r="M84" s="835"/>
      <c r="N84" s="810">
        <f t="shared" si="27"/>
        <v>0</v>
      </c>
      <c r="O84" s="799">
        <f>N84*'Facteurs conversion'!$C$6/1000/'Facteurs conversion'!$C$23^2*C84</f>
        <v>0</v>
      </c>
      <c r="P84" s="713">
        <f t="shared" si="28"/>
        <v>0</v>
      </c>
      <c r="Q84" s="713">
        <f>P84/'Facteurs conversion'!$C$11</f>
        <v>0</v>
      </c>
      <c r="R84" s="800">
        <f>Q84/Hypothèses!$D$217</f>
        <v>0</v>
      </c>
      <c r="S84" s="972">
        <f>C84/(1-Hypothèses!$D$316)*H84</f>
        <v>0</v>
      </c>
      <c r="X84" s="898">
        <v>2</v>
      </c>
      <c r="Y84" s="260"/>
      <c r="Z84"/>
      <c r="AA84"/>
      <c r="AB84"/>
      <c r="AC84" s="845"/>
      <c r="AD84" s="846"/>
    </row>
    <row r="85" spans="2:30">
      <c r="B85" s="11">
        <v>9</v>
      </c>
      <c r="C85" s="797">
        <f>'3b. Calculateur - MEÉ 1'!E133</f>
        <v>0</v>
      </c>
      <c r="D85" s="797">
        <f>'3b. Calculateur - MEÉ 1'!F133</f>
        <v>0</v>
      </c>
      <c r="E85" s="798" t="str">
        <f t="shared" si="25"/>
        <v>&lt; sélectionner &gt;_</v>
      </c>
      <c r="F85" s="12" t="str">
        <f>'3b. Calculateur - MEÉ 1'!G133</f>
        <v>&lt; sélectionner &gt;</v>
      </c>
      <c r="G85" s="12" t="str">
        <f t="shared" si="26"/>
        <v/>
      </c>
      <c r="H85" s="12">
        <f>'3b. Calculateur - MEÉ 1'!I133</f>
        <v>0</v>
      </c>
      <c r="I85" s="811">
        <f>'3b. Calculateur - MEÉ 1'!H133</f>
        <v>0</v>
      </c>
      <c r="J85" s="832">
        <f t="shared" si="24"/>
        <v>188.68571428571431</v>
      </c>
      <c r="K85" s="833"/>
      <c r="L85" s="834">
        <f>IF(F85="Intérieur",2*(1-Hypothèses!$D$316)*Hypothèses!$D$234/Hypothèses!$D$316,2*(1-Hypothèses!$D$316)*Hypothèses!$D$235/Hypothèses!$D$316)</f>
        <v>7.4285714285714297</v>
      </c>
      <c r="M85" s="835"/>
      <c r="N85" s="810">
        <f t="shared" si="27"/>
        <v>0</v>
      </c>
      <c r="O85" s="799">
        <f>N85*'Facteurs conversion'!$C$6/1000/'Facteurs conversion'!$C$23^2*C85</f>
        <v>0</v>
      </c>
      <c r="P85" s="713">
        <f t="shared" si="28"/>
        <v>0</v>
      </c>
      <c r="Q85" s="713">
        <f>P85/'Facteurs conversion'!$C$11</f>
        <v>0</v>
      </c>
      <c r="R85" s="800">
        <f>Q85/Hypothèses!$D$217</f>
        <v>0</v>
      </c>
      <c r="S85" s="972">
        <f>C85/(1-Hypothèses!$D$316)*H85</f>
        <v>0</v>
      </c>
      <c r="X85" s="898">
        <v>3</v>
      </c>
      <c r="Y85" s="260"/>
      <c r="Z85"/>
      <c r="AA85"/>
      <c r="AB85"/>
      <c r="AC85" s="845"/>
      <c r="AD85" s="846"/>
    </row>
    <row r="86" spans="2:30">
      <c r="B86" s="11">
        <v>10</v>
      </c>
      <c r="C86" s="797">
        <f>'3b. Calculateur - MEÉ 1'!E134</f>
        <v>0</v>
      </c>
      <c r="D86" s="797">
        <f>'3b. Calculateur - MEÉ 1'!F134</f>
        <v>0</v>
      </c>
      <c r="E86" s="798" t="str">
        <f t="shared" si="25"/>
        <v>&lt; sélectionner &gt;_</v>
      </c>
      <c r="F86" s="12" t="str">
        <f>'3b. Calculateur - MEÉ 1'!G134</f>
        <v>&lt; sélectionner &gt;</v>
      </c>
      <c r="G86" s="12" t="str">
        <f t="shared" si="26"/>
        <v/>
      </c>
      <c r="H86" s="12">
        <f>'3b. Calculateur - MEÉ 1'!I134</f>
        <v>0</v>
      </c>
      <c r="I86" s="811">
        <f>'3b. Calculateur - MEÉ 1'!H134</f>
        <v>0</v>
      </c>
      <c r="J86" s="832">
        <f t="shared" si="24"/>
        <v>188.68571428571431</v>
      </c>
      <c r="K86" s="833"/>
      <c r="L86" s="834">
        <f>IF(F86="Intérieur",2*(1-Hypothèses!$D$316)*Hypothèses!$D$234/Hypothèses!$D$316,2*(1-Hypothèses!$D$316)*Hypothèses!$D$235/Hypothèses!$D$316)</f>
        <v>7.4285714285714297</v>
      </c>
      <c r="M86" s="835"/>
      <c r="N86" s="810">
        <f t="shared" si="27"/>
        <v>0</v>
      </c>
      <c r="O86" s="799">
        <f>N86*'Facteurs conversion'!$C$6/1000/'Facteurs conversion'!$C$23^2*C86</f>
        <v>0</v>
      </c>
      <c r="P86" s="713">
        <f t="shared" si="28"/>
        <v>0</v>
      </c>
      <c r="Q86" s="713">
        <f>P86/'Facteurs conversion'!$C$11</f>
        <v>0</v>
      </c>
      <c r="R86" s="800">
        <f>Q86/Hypothèses!$D$217</f>
        <v>0</v>
      </c>
      <c r="S86" s="972">
        <f>C86/(1-Hypothèses!$D$316)*H86</f>
        <v>0</v>
      </c>
      <c r="X86" s="898">
        <v>4</v>
      </c>
      <c r="Y86" s="260"/>
      <c r="Z86"/>
      <c r="AA86"/>
      <c r="AB86"/>
      <c r="AC86" s="845"/>
      <c r="AD86" s="846"/>
    </row>
    <row r="87" spans="2:30">
      <c r="X87" s="898">
        <v>5</v>
      </c>
      <c r="Y87" s="260"/>
      <c r="Z87"/>
      <c r="AA87"/>
      <c r="AB87"/>
      <c r="AC87" s="845"/>
      <c r="AD87" s="846"/>
    </row>
    <row r="88" spans="2:30">
      <c r="B88" s="809" t="s">
        <v>1990</v>
      </c>
      <c r="C88" s="801"/>
      <c r="D88" s="802"/>
      <c r="E88" s="803"/>
      <c r="F88" s="802"/>
      <c r="G88" s="802"/>
      <c r="H88" s="802"/>
      <c r="I88" s="802"/>
      <c r="J88" s="802"/>
      <c r="K88" s="802"/>
      <c r="L88" s="802"/>
      <c r="M88" s="802"/>
      <c r="N88" s="802"/>
      <c r="O88" s="802"/>
      <c r="P88" s="802"/>
      <c r="Q88" s="802"/>
      <c r="R88" s="804"/>
      <c r="S88" s="804"/>
      <c r="T88" s="804"/>
      <c r="U88" s="804"/>
      <c r="V88" s="804"/>
      <c r="W88" s="804"/>
      <c r="X88" s="898">
        <v>6</v>
      </c>
      <c r="Y88" s="260"/>
      <c r="Z88"/>
      <c r="AA88"/>
      <c r="AB88"/>
      <c r="AC88" s="845"/>
      <c r="AD88" s="846"/>
    </row>
    <row r="89" spans="2:30">
      <c r="X89" s="898">
        <v>7</v>
      </c>
      <c r="Y89" s="260"/>
      <c r="Z89"/>
      <c r="AA89"/>
      <c r="AB89"/>
      <c r="AC89" s="845"/>
      <c r="AD89" s="846"/>
    </row>
    <row r="90" spans="2:30" ht="51">
      <c r="B90" s="2286" t="s">
        <v>1136</v>
      </c>
      <c r="C90" s="931" t="s">
        <v>2003</v>
      </c>
      <c r="D90" s="931" t="s">
        <v>1180</v>
      </c>
      <c r="E90" s="2287" t="s">
        <v>1148</v>
      </c>
      <c r="F90" s="2286" t="s">
        <v>998</v>
      </c>
      <c r="G90" s="2286" t="s">
        <v>562</v>
      </c>
      <c r="H90" s="2286" t="s">
        <v>1989</v>
      </c>
      <c r="I90" s="934" t="s">
        <v>21</v>
      </c>
      <c r="J90" s="2284" t="s">
        <v>1203</v>
      </c>
      <c r="K90" s="2285"/>
      <c r="L90" s="1755"/>
      <c r="M90" s="934" t="s">
        <v>1524</v>
      </c>
      <c r="N90" s="2284" t="s">
        <v>1177</v>
      </c>
      <c r="O90" s="2285"/>
      <c r="P90" s="931" t="s">
        <v>1185</v>
      </c>
      <c r="Q90" s="931" t="s">
        <v>1185</v>
      </c>
      <c r="R90" s="931" t="s">
        <v>1186</v>
      </c>
      <c r="S90" s="2286" t="s">
        <v>1390</v>
      </c>
      <c r="T90" s="2286"/>
      <c r="U90" s="2286"/>
      <c r="V90" s="2286"/>
      <c r="W90" s="805" t="s">
        <v>1391</v>
      </c>
      <c r="X90" s="898">
        <v>8</v>
      </c>
      <c r="Y90" s="260"/>
      <c r="Z90"/>
      <c r="AA90"/>
      <c r="AB90"/>
      <c r="AC90" s="845"/>
      <c r="AD90" s="846"/>
    </row>
    <row r="91" spans="2:30">
      <c r="B91" s="2286"/>
      <c r="C91" s="930" t="s">
        <v>1141</v>
      </c>
      <c r="D91" s="930" t="s">
        <v>1178</v>
      </c>
      <c r="E91" s="2287"/>
      <c r="F91" s="2286"/>
      <c r="G91" s="2286"/>
      <c r="H91" s="2286"/>
      <c r="I91" s="932" t="s">
        <v>1181</v>
      </c>
      <c r="J91" s="933" t="s">
        <v>1158</v>
      </c>
      <c r="K91" s="930" t="s">
        <v>1141</v>
      </c>
      <c r="L91" s="1756"/>
      <c r="M91" s="932" t="s">
        <v>1182</v>
      </c>
      <c r="N91" s="933" t="s">
        <v>1010</v>
      </c>
      <c r="O91" s="930" t="s">
        <v>1011</v>
      </c>
      <c r="P91" s="930" t="s">
        <v>1444</v>
      </c>
      <c r="Q91" s="930" t="s">
        <v>1190</v>
      </c>
      <c r="R91" s="930" t="s">
        <v>1190</v>
      </c>
      <c r="S91" s="805" t="s">
        <v>1389</v>
      </c>
      <c r="T91" s="805" t="s">
        <v>1345</v>
      </c>
      <c r="U91" s="805" t="s">
        <v>1383</v>
      </c>
      <c r="V91" s="805" t="s">
        <v>1148</v>
      </c>
      <c r="W91" s="805" t="s">
        <v>1392</v>
      </c>
      <c r="X91" s="898">
        <v>9</v>
      </c>
      <c r="Y91" s="260"/>
      <c r="Z91"/>
      <c r="AA91"/>
      <c r="AB91"/>
      <c r="AC91" s="845"/>
      <c r="AD91" s="846"/>
    </row>
    <row r="92" spans="2:30">
      <c r="B92" s="11">
        <v>1</v>
      </c>
      <c r="C92" s="797">
        <f>'3b. Calculateur - MEÉ 1'!E109</f>
        <v>0</v>
      </c>
      <c r="D92" s="797">
        <f>'3b. Calculateur - MEÉ 1'!F109</f>
        <v>0</v>
      </c>
      <c r="E92" s="798" t="str">
        <f>IF(F92="Intérieur",F92,F92&amp;"_"&amp;G92)</f>
        <v>&lt; sélectionner &gt;_</v>
      </c>
      <c r="F92" s="12" t="str">
        <f>'3b. Calculateur - MEÉ 1'!G109</f>
        <v>&lt; sélectionner &gt;</v>
      </c>
      <c r="G92" s="12" t="str">
        <f>$G$7</f>
        <v/>
      </c>
      <c r="H92" s="12">
        <f>CONVERT('3b. Calculateur - MEÉ 1'!I109,"ft","m")</f>
        <v>0</v>
      </c>
      <c r="I92" s="811">
        <f>'3b. Calculateur - MEÉ 1'!H109</f>
        <v>0</v>
      </c>
      <c r="J92" s="810">
        <f>IF(C92=0,0,VLOOKUP(C92,Hypothèses!$C$265:$E$285,3))</f>
        <v>0</v>
      </c>
      <c r="K92" s="799">
        <f>IF(C92=0,0,VLOOKUP(C92,Hypothèses!$C$265:$E$285,2))</f>
        <v>0</v>
      </c>
      <c r="L92" s="1757"/>
      <c r="M92" s="812">
        <f>CONVERT(H92,"m","ft")</f>
        <v>0</v>
      </c>
      <c r="N92" s="810">
        <f>_xlfn.XLOOKUP(B92,$Y$214:$Y$243,$AD$214:$AD$243,0,0)</f>
        <v>0</v>
      </c>
      <c r="O92" s="799">
        <f>N92*'Facteurs conversion'!C$6/1000*H92</f>
        <v>0</v>
      </c>
      <c r="P92" s="713">
        <f>O92*I92</f>
        <v>0</v>
      </c>
      <c r="Q92" s="713">
        <f>P92/'Facteurs conversion'!$C$11</f>
        <v>0</v>
      </c>
      <c r="R92" s="800">
        <f>Q92/Hypothèses!$D$217</f>
        <v>0</v>
      </c>
      <c r="S92" s="823" t="s">
        <v>2004</v>
      </c>
      <c r="T92" s="823" t="s">
        <v>1997</v>
      </c>
      <c r="U92" s="823">
        <f>IF(C92&lt;=1,1,IF(AND(C92&gt;1,C92&lt;=4),"1à4","4"))</f>
        <v>1</v>
      </c>
      <c r="V92" s="823" t="str">
        <f>T92&amp;"_"&amp;U92</f>
        <v>t_1</v>
      </c>
      <c r="W92" s="823">
        <f>IFERROR(VLOOKUP(V92,Subvention!$B$84:$C$86,2,FALSE),0)*M92</f>
        <v>0</v>
      </c>
      <c r="X92" s="898">
        <v>10</v>
      </c>
      <c r="Y92" s="260"/>
      <c r="Z92"/>
      <c r="AA92"/>
      <c r="AB92"/>
      <c r="AC92" s="845"/>
      <c r="AD92" s="846"/>
    </row>
    <row r="93" spans="2:30">
      <c r="B93" s="11">
        <v>2</v>
      </c>
      <c r="C93" s="797">
        <f>'3b. Calculateur - MEÉ 1'!E110</f>
        <v>0</v>
      </c>
      <c r="D93" s="797">
        <f>'3b. Calculateur - MEÉ 1'!F110</f>
        <v>0</v>
      </c>
      <c r="E93" s="798" t="str">
        <f t="shared" ref="E93:E101" si="29">IF(F93="Intérieur",F93,F93&amp;"_"&amp;G93)</f>
        <v>&lt; sélectionner &gt;_</v>
      </c>
      <c r="F93" s="12" t="str">
        <f>'3b. Calculateur - MEÉ 1'!G110</f>
        <v>&lt; sélectionner &gt;</v>
      </c>
      <c r="G93" s="12" t="str">
        <f>$G$7</f>
        <v/>
      </c>
      <c r="H93" s="12">
        <f>CONVERT('3b. Calculateur - MEÉ 1'!I110,"ft","m")</f>
        <v>0</v>
      </c>
      <c r="I93" s="811">
        <f>'3b. Calculateur - MEÉ 1'!H110</f>
        <v>0</v>
      </c>
      <c r="J93" s="810">
        <f>IF(C93=0,0,VLOOKUP(C93,Hypothèses!$C$265:$E$285,3))</f>
        <v>0</v>
      </c>
      <c r="K93" s="799">
        <f>IF(C93=0,0,VLOOKUP(C93,Hypothèses!$C$265:$E$285,2))</f>
        <v>0</v>
      </c>
      <c r="L93" s="1757"/>
      <c r="M93" s="812">
        <f t="shared" ref="M93:M101" si="30">CONVERT(H93,"m","ft")</f>
        <v>0</v>
      </c>
      <c r="N93" s="810">
        <f t="shared" ref="N93:N100" si="31">_xlfn.XLOOKUP(B93,$Y$214:$Y$243,$AD$214:$AD$243,0,0)</f>
        <v>0</v>
      </c>
      <c r="O93" s="799">
        <f>N93*'Facteurs conversion'!C$6/1000*H93</f>
        <v>0</v>
      </c>
      <c r="P93" s="713">
        <f t="shared" ref="P93:P101" si="32">O93*I93</f>
        <v>0</v>
      </c>
      <c r="Q93" s="713">
        <f>P93/'Facteurs conversion'!$C$11</f>
        <v>0</v>
      </c>
      <c r="R93" s="800">
        <f>Q93/Hypothèses!$D$217</f>
        <v>0</v>
      </c>
      <c r="S93" s="823" t="s">
        <v>2004</v>
      </c>
      <c r="T93" s="823" t="s">
        <v>1997</v>
      </c>
      <c r="U93" s="823">
        <f t="shared" ref="U93:U101" si="33">IF(C93&lt;=1,1,IF(AND(C93&gt;1,C93&lt;=4),"1à4","4"))</f>
        <v>1</v>
      </c>
      <c r="V93" s="823" t="str">
        <f t="shared" ref="V93:V101" si="34">T93&amp;"_"&amp;U93</f>
        <v>t_1</v>
      </c>
      <c r="W93" s="823">
        <f>IFERROR(VLOOKUP(V93,Subvention!$B$84:$C$86,2,FALSE),0)*M93</f>
        <v>0</v>
      </c>
      <c r="X93" s="898">
        <v>1</v>
      </c>
      <c r="Y93" s="260" t="e" cm="1" vm="1">
        <f t="array" ref="Y93">_xlfn._xlws.FILTER('Isolation - CAS 3'!N37:S46,'Isolation - CAS 3'!N37:N46&lt;&gt;"")</f>
        <v>#VALUE!</v>
      </c>
      <c r="Z93"/>
      <c r="AA93"/>
      <c r="AB93"/>
      <c r="AC93" s="845"/>
      <c r="AD93" s="846"/>
    </row>
    <row r="94" spans="2:30">
      <c r="B94" s="11">
        <v>3</v>
      </c>
      <c r="C94" s="797">
        <f>'3b. Calculateur - MEÉ 1'!E111</f>
        <v>0</v>
      </c>
      <c r="D94" s="797">
        <f>'3b. Calculateur - MEÉ 1'!F111</f>
        <v>0</v>
      </c>
      <c r="E94" s="798" t="str">
        <f t="shared" si="29"/>
        <v>&lt; sélectionner &gt;_</v>
      </c>
      <c r="F94" s="12" t="str">
        <f>'3b. Calculateur - MEÉ 1'!G111</f>
        <v>&lt; sélectionner &gt;</v>
      </c>
      <c r="G94" s="12" t="str">
        <f t="shared" ref="G94:G101" si="35">$G$7</f>
        <v/>
      </c>
      <c r="H94" s="12">
        <f>CONVERT('3b. Calculateur - MEÉ 1'!I111,"ft","m")</f>
        <v>0</v>
      </c>
      <c r="I94" s="811">
        <f>'3b. Calculateur - MEÉ 1'!H111</f>
        <v>0</v>
      </c>
      <c r="J94" s="810">
        <f>IF(C94=0,0,VLOOKUP(C94,Hypothèses!$C$265:$E$285,3))</f>
        <v>0</v>
      </c>
      <c r="K94" s="799">
        <f>IF(C94=0,0,VLOOKUP(C94,Hypothèses!$C$265:$E$285,2))</f>
        <v>0</v>
      </c>
      <c r="L94" s="1757"/>
      <c r="M94" s="812">
        <f t="shared" si="30"/>
        <v>0</v>
      </c>
      <c r="N94" s="810">
        <f t="shared" si="31"/>
        <v>0</v>
      </c>
      <c r="O94" s="799">
        <f>N94*'Facteurs conversion'!C$6/1000*H94</f>
        <v>0</v>
      </c>
      <c r="P94" s="713">
        <f t="shared" si="32"/>
        <v>0</v>
      </c>
      <c r="Q94" s="713">
        <f>P94/'Facteurs conversion'!$C$11</f>
        <v>0</v>
      </c>
      <c r="R94" s="800">
        <f>Q94/Hypothèses!$D$217</f>
        <v>0</v>
      </c>
      <c r="S94" s="823" t="s">
        <v>2004</v>
      </c>
      <c r="T94" s="823" t="s">
        <v>1997</v>
      </c>
      <c r="U94" s="823">
        <f t="shared" si="33"/>
        <v>1</v>
      </c>
      <c r="V94" s="823" t="str">
        <f t="shared" si="34"/>
        <v>t_1</v>
      </c>
      <c r="W94" s="823">
        <f>IFERROR(VLOOKUP(V94,Subvention!$B$84:$C$86,2,FALSE),0)*M94</f>
        <v>0</v>
      </c>
      <c r="X94" s="898">
        <v>2</v>
      </c>
      <c r="Y94" s="260"/>
      <c r="Z94"/>
      <c r="AA94"/>
      <c r="AB94"/>
      <c r="AC94" s="845"/>
      <c r="AD94" s="846"/>
    </row>
    <row r="95" spans="2:30">
      <c r="B95" s="11">
        <v>4</v>
      </c>
      <c r="C95" s="797">
        <f>'3b. Calculateur - MEÉ 1'!E112</f>
        <v>0</v>
      </c>
      <c r="D95" s="797">
        <f>'3b. Calculateur - MEÉ 1'!F112</f>
        <v>0</v>
      </c>
      <c r="E95" s="798" t="str">
        <f t="shared" si="29"/>
        <v>&lt; sélectionner &gt;_</v>
      </c>
      <c r="F95" s="12" t="str">
        <f>'3b. Calculateur - MEÉ 1'!G112</f>
        <v>&lt; sélectionner &gt;</v>
      </c>
      <c r="G95" s="12" t="str">
        <f t="shared" si="35"/>
        <v/>
      </c>
      <c r="H95" s="12">
        <f>CONVERT('3b. Calculateur - MEÉ 1'!I112,"ft","m")</f>
        <v>0</v>
      </c>
      <c r="I95" s="811">
        <f>'3b. Calculateur - MEÉ 1'!H112</f>
        <v>0</v>
      </c>
      <c r="J95" s="810">
        <f>IF(C95=0,0,VLOOKUP(C95,Hypothèses!$C$265:$E$285,3))</f>
        <v>0</v>
      </c>
      <c r="K95" s="799">
        <f>IF(C95=0,0,VLOOKUP(C95,Hypothèses!$C$265:$E$285,2))</f>
        <v>0</v>
      </c>
      <c r="L95" s="1757"/>
      <c r="M95" s="812">
        <f t="shared" si="30"/>
        <v>0</v>
      </c>
      <c r="N95" s="810">
        <f t="shared" si="31"/>
        <v>0</v>
      </c>
      <c r="O95" s="799">
        <f>N95*'Facteurs conversion'!C$6/1000*H95</f>
        <v>0</v>
      </c>
      <c r="P95" s="713">
        <f t="shared" si="32"/>
        <v>0</v>
      </c>
      <c r="Q95" s="713">
        <f>P95/'Facteurs conversion'!$C$11</f>
        <v>0</v>
      </c>
      <c r="R95" s="800">
        <f>Q95/Hypothèses!$D$217</f>
        <v>0</v>
      </c>
      <c r="S95" s="823" t="s">
        <v>2004</v>
      </c>
      <c r="T95" s="823" t="s">
        <v>1997</v>
      </c>
      <c r="U95" s="823">
        <f t="shared" si="33"/>
        <v>1</v>
      </c>
      <c r="V95" s="823" t="str">
        <f t="shared" si="34"/>
        <v>t_1</v>
      </c>
      <c r="W95" s="823">
        <f>IFERROR(VLOOKUP(V95,Subvention!$B$84:$C$86,2,FALSE),0)*M95</f>
        <v>0</v>
      </c>
      <c r="X95" s="898">
        <v>3</v>
      </c>
      <c r="Y95" s="260"/>
      <c r="Z95"/>
      <c r="AA95"/>
      <c r="AB95"/>
      <c r="AC95" s="845"/>
      <c r="AD95" s="846"/>
    </row>
    <row r="96" spans="2:30">
      <c r="B96" s="11">
        <v>5</v>
      </c>
      <c r="C96" s="797">
        <f>'3b. Calculateur - MEÉ 1'!E113</f>
        <v>0</v>
      </c>
      <c r="D96" s="797">
        <f>'3b. Calculateur - MEÉ 1'!F113</f>
        <v>0</v>
      </c>
      <c r="E96" s="798" t="str">
        <f t="shared" si="29"/>
        <v>&lt; sélectionner &gt;_</v>
      </c>
      <c r="F96" s="12" t="str">
        <f>'3b. Calculateur - MEÉ 1'!G113</f>
        <v>&lt; sélectionner &gt;</v>
      </c>
      <c r="G96" s="12" t="str">
        <f t="shared" si="35"/>
        <v/>
      </c>
      <c r="H96" s="12">
        <f>CONVERT('3b. Calculateur - MEÉ 1'!I113,"ft","m")</f>
        <v>0</v>
      </c>
      <c r="I96" s="811">
        <f>'3b. Calculateur - MEÉ 1'!H113</f>
        <v>0</v>
      </c>
      <c r="J96" s="810">
        <f>IF(C96=0,0,VLOOKUP(C96,Hypothèses!$C$265:$E$285,3))</f>
        <v>0</v>
      </c>
      <c r="K96" s="799">
        <f>IF(C96=0,0,VLOOKUP(C96,Hypothèses!$C$265:$E$285,2))</f>
        <v>0</v>
      </c>
      <c r="L96" s="1757"/>
      <c r="M96" s="812">
        <f t="shared" si="30"/>
        <v>0</v>
      </c>
      <c r="N96" s="810">
        <f t="shared" si="31"/>
        <v>0</v>
      </c>
      <c r="O96" s="799">
        <f>N96*'Facteurs conversion'!C$6/1000*H96</f>
        <v>0</v>
      </c>
      <c r="P96" s="713">
        <f t="shared" si="32"/>
        <v>0</v>
      </c>
      <c r="Q96" s="713">
        <f>P96/'Facteurs conversion'!$C$11</f>
        <v>0</v>
      </c>
      <c r="R96" s="800">
        <f>Q96/Hypothèses!$D$217</f>
        <v>0</v>
      </c>
      <c r="S96" s="823" t="s">
        <v>2004</v>
      </c>
      <c r="T96" s="823" t="s">
        <v>1997</v>
      </c>
      <c r="U96" s="823">
        <f t="shared" si="33"/>
        <v>1</v>
      </c>
      <c r="V96" s="823" t="str">
        <f t="shared" si="34"/>
        <v>t_1</v>
      </c>
      <c r="W96" s="823">
        <f>IFERROR(VLOOKUP(V96,Subvention!$B$84:$C$86,2,FALSE),0)*M96</f>
        <v>0</v>
      </c>
      <c r="X96" s="898">
        <v>4</v>
      </c>
      <c r="Y96" s="260"/>
      <c r="Z96"/>
      <c r="AA96"/>
      <c r="AB96"/>
      <c r="AC96" s="845"/>
      <c r="AD96" s="846"/>
    </row>
    <row r="97" spans="2:30">
      <c r="B97" s="11">
        <v>6</v>
      </c>
      <c r="C97" s="797">
        <f>'3b. Calculateur - MEÉ 1'!E114</f>
        <v>0</v>
      </c>
      <c r="D97" s="797">
        <f>'3b. Calculateur - MEÉ 1'!F114</f>
        <v>0</v>
      </c>
      <c r="E97" s="798" t="str">
        <f t="shared" si="29"/>
        <v>&lt; sélectionner &gt;_</v>
      </c>
      <c r="F97" s="12" t="str">
        <f>'3b. Calculateur - MEÉ 1'!G114</f>
        <v>&lt; sélectionner &gt;</v>
      </c>
      <c r="G97" s="12" t="str">
        <f t="shared" si="35"/>
        <v/>
      </c>
      <c r="H97" s="12">
        <f>CONVERT('3b. Calculateur - MEÉ 1'!I114,"ft","m")</f>
        <v>0</v>
      </c>
      <c r="I97" s="811">
        <f>'3b. Calculateur - MEÉ 1'!H114</f>
        <v>0</v>
      </c>
      <c r="J97" s="810">
        <f>IF(C97=0,0,VLOOKUP(C97,Hypothèses!$C$265:$E$285,3))</f>
        <v>0</v>
      </c>
      <c r="K97" s="799">
        <f>IF(C97=0,0,VLOOKUP(C97,Hypothèses!$C$265:$E$285,2))</f>
        <v>0</v>
      </c>
      <c r="L97" s="1757"/>
      <c r="M97" s="812">
        <f t="shared" si="30"/>
        <v>0</v>
      </c>
      <c r="N97" s="810">
        <f t="shared" si="31"/>
        <v>0</v>
      </c>
      <c r="O97" s="799">
        <f>N97*'Facteurs conversion'!C$6/1000*H97</f>
        <v>0</v>
      </c>
      <c r="P97" s="713">
        <f t="shared" si="32"/>
        <v>0</v>
      </c>
      <c r="Q97" s="713">
        <f>P97/'Facteurs conversion'!$C$11</f>
        <v>0</v>
      </c>
      <c r="R97" s="800">
        <f>Q97/Hypothèses!$D$217</f>
        <v>0</v>
      </c>
      <c r="S97" s="823" t="s">
        <v>2004</v>
      </c>
      <c r="T97" s="823" t="s">
        <v>1997</v>
      </c>
      <c r="U97" s="823">
        <f t="shared" si="33"/>
        <v>1</v>
      </c>
      <c r="V97" s="823" t="str">
        <f t="shared" si="34"/>
        <v>t_1</v>
      </c>
      <c r="W97" s="823">
        <f>IFERROR(VLOOKUP(V97,Subvention!$B$84:$C$86,2,FALSE),0)*M97</f>
        <v>0</v>
      </c>
      <c r="X97" s="898">
        <v>5</v>
      </c>
      <c r="Y97" s="260"/>
      <c r="Z97"/>
      <c r="AA97"/>
      <c r="AB97"/>
      <c r="AC97" s="845"/>
      <c r="AD97" s="846"/>
    </row>
    <row r="98" spans="2:30">
      <c r="B98" s="11">
        <v>7</v>
      </c>
      <c r="C98" s="797">
        <f>'3b. Calculateur - MEÉ 1'!E115</f>
        <v>0</v>
      </c>
      <c r="D98" s="797">
        <f>'3b. Calculateur - MEÉ 1'!F115</f>
        <v>0</v>
      </c>
      <c r="E98" s="798" t="str">
        <f t="shared" si="29"/>
        <v>&lt; sélectionner &gt;_</v>
      </c>
      <c r="F98" s="12" t="str">
        <f>'3b. Calculateur - MEÉ 1'!G115</f>
        <v>&lt; sélectionner &gt;</v>
      </c>
      <c r="G98" s="12" t="str">
        <f t="shared" si="35"/>
        <v/>
      </c>
      <c r="H98" s="12">
        <f>CONVERT('3b. Calculateur - MEÉ 1'!I115,"ft","m")</f>
        <v>0</v>
      </c>
      <c r="I98" s="811">
        <f>'3b. Calculateur - MEÉ 1'!H115</f>
        <v>0</v>
      </c>
      <c r="J98" s="810">
        <f>IF(C98=0,0,VLOOKUP(C98,Hypothèses!$C$265:$E$285,3))</f>
        <v>0</v>
      </c>
      <c r="K98" s="799">
        <f>IF(C98=0,0,VLOOKUP(C98,Hypothèses!$C$265:$E$285,2))</f>
        <v>0</v>
      </c>
      <c r="L98" s="1757"/>
      <c r="M98" s="812">
        <f t="shared" si="30"/>
        <v>0</v>
      </c>
      <c r="N98" s="810">
        <f t="shared" si="31"/>
        <v>0</v>
      </c>
      <c r="O98" s="799">
        <f>N98*'Facteurs conversion'!C$6/1000*H98</f>
        <v>0</v>
      </c>
      <c r="P98" s="713">
        <f t="shared" si="32"/>
        <v>0</v>
      </c>
      <c r="Q98" s="713">
        <f>P98/'Facteurs conversion'!$C$11</f>
        <v>0</v>
      </c>
      <c r="R98" s="800">
        <f>Q98/Hypothèses!$D$217</f>
        <v>0</v>
      </c>
      <c r="S98" s="823" t="s">
        <v>2004</v>
      </c>
      <c r="T98" s="823" t="s">
        <v>1997</v>
      </c>
      <c r="U98" s="823">
        <f t="shared" si="33"/>
        <v>1</v>
      </c>
      <c r="V98" s="823" t="str">
        <f t="shared" si="34"/>
        <v>t_1</v>
      </c>
      <c r="W98" s="823">
        <f>IFERROR(VLOOKUP(V98,Subvention!$B$84:$C$86,2,FALSE),0)*M98</f>
        <v>0</v>
      </c>
      <c r="X98" s="898">
        <v>6</v>
      </c>
      <c r="Y98" s="260"/>
      <c r="Z98"/>
      <c r="AA98"/>
      <c r="AB98"/>
      <c r="AC98" s="845"/>
      <c r="AD98" s="846"/>
    </row>
    <row r="99" spans="2:30">
      <c r="B99" s="11">
        <v>8</v>
      </c>
      <c r="C99" s="797">
        <f>'3b. Calculateur - MEÉ 1'!E116</f>
        <v>0</v>
      </c>
      <c r="D99" s="797">
        <f>'3b. Calculateur - MEÉ 1'!F116</f>
        <v>0</v>
      </c>
      <c r="E99" s="798" t="str">
        <f t="shared" si="29"/>
        <v>&lt; sélectionner &gt;_</v>
      </c>
      <c r="F99" s="12" t="str">
        <f>'3b. Calculateur - MEÉ 1'!G116</f>
        <v>&lt; sélectionner &gt;</v>
      </c>
      <c r="G99" s="12" t="str">
        <f t="shared" si="35"/>
        <v/>
      </c>
      <c r="H99" s="12">
        <f>CONVERT('3b. Calculateur - MEÉ 1'!I116,"ft","m")</f>
        <v>0</v>
      </c>
      <c r="I99" s="811">
        <f>'3b. Calculateur - MEÉ 1'!H116</f>
        <v>0</v>
      </c>
      <c r="J99" s="810">
        <f>IF(C99=0,0,VLOOKUP(C99,Hypothèses!$C$265:$E$285,3))</f>
        <v>0</v>
      </c>
      <c r="K99" s="799">
        <f>IF(C99=0,0,VLOOKUP(C99,Hypothèses!$C$265:$E$285,2))</f>
        <v>0</v>
      </c>
      <c r="L99" s="1757"/>
      <c r="M99" s="812">
        <f t="shared" si="30"/>
        <v>0</v>
      </c>
      <c r="N99" s="810">
        <f t="shared" si="31"/>
        <v>0</v>
      </c>
      <c r="O99" s="799">
        <f>N99*'Facteurs conversion'!C$6/1000*H99</f>
        <v>0</v>
      </c>
      <c r="P99" s="713">
        <f t="shared" si="32"/>
        <v>0</v>
      </c>
      <c r="Q99" s="713">
        <f>P99/'Facteurs conversion'!$C$11</f>
        <v>0</v>
      </c>
      <c r="R99" s="800">
        <f>Q99/Hypothèses!$D$217</f>
        <v>0</v>
      </c>
      <c r="S99" s="823" t="s">
        <v>2004</v>
      </c>
      <c r="T99" s="823" t="s">
        <v>1997</v>
      </c>
      <c r="U99" s="823">
        <f t="shared" si="33"/>
        <v>1</v>
      </c>
      <c r="V99" s="823" t="str">
        <f t="shared" si="34"/>
        <v>t_1</v>
      </c>
      <c r="W99" s="823">
        <f>IFERROR(VLOOKUP(V99,Subvention!$B$84:$C$86,2,FALSE),0)*M99</f>
        <v>0</v>
      </c>
      <c r="X99" s="898">
        <v>7</v>
      </c>
      <c r="Y99" s="260"/>
      <c r="Z99"/>
      <c r="AA99"/>
      <c r="AB99"/>
      <c r="AC99" s="845"/>
      <c r="AD99" s="846"/>
    </row>
    <row r="100" spans="2:30">
      <c r="B100" s="11">
        <v>9</v>
      </c>
      <c r="C100" s="797">
        <f>'3b. Calculateur - MEÉ 1'!E117</f>
        <v>0</v>
      </c>
      <c r="D100" s="797">
        <f>'3b. Calculateur - MEÉ 1'!F117</f>
        <v>0</v>
      </c>
      <c r="E100" s="798" t="str">
        <f t="shared" si="29"/>
        <v>&lt; sélectionner &gt;_</v>
      </c>
      <c r="F100" s="12" t="str">
        <f>'3b. Calculateur - MEÉ 1'!G117</f>
        <v>&lt; sélectionner &gt;</v>
      </c>
      <c r="G100" s="12" t="str">
        <f t="shared" si="35"/>
        <v/>
      </c>
      <c r="H100" s="12">
        <f>CONVERT('3b. Calculateur - MEÉ 1'!I117,"ft","m")</f>
        <v>0</v>
      </c>
      <c r="I100" s="811">
        <f>'3b. Calculateur - MEÉ 1'!H117</f>
        <v>0</v>
      </c>
      <c r="J100" s="810">
        <f>IF(C100=0,0,VLOOKUP(C100,Hypothèses!$C$265:$E$285,3))</f>
        <v>0</v>
      </c>
      <c r="K100" s="799">
        <f>IF(C100=0,0,VLOOKUP(C100,Hypothèses!$C$265:$E$285,2))</f>
        <v>0</v>
      </c>
      <c r="L100" s="1757"/>
      <c r="M100" s="812">
        <f t="shared" si="30"/>
        <v>0</v>
      </c>
      <c r="N100" s="810">
        <f t="shared" si="31"/>
        <v>0</v>
      </c>
      <c r="O100" s="799">
        <f>N100*'Facteurs conversion'!C$6/1000*H100</f>
        <v>0</v>
      </c>
      <c r="P100" s="713">
        <f t="shared" si="32"/>
        <v>0</v>
      </c>
      <c r="Q100" s="713">
        <f>P100/'Facteurs conversion'!$C$11</f>
        <v>0</v>
      </c>
      <c r="R100" s="800">
        <f>Q100/Hypothèses!$D$217</f>
        <v>0</v>
      </c>
      <c r="S100" s="823" t="s">
        <v>2004</v>
      </c>
      <c r="T100" s="823" t="s">
        <v>1997</v>
      </c>
      <c r="U100" s="823">
        <f t="shared" si="33"/>
        <v>1</v>
      </c>
      <c r="V100" s="823" t="str">
        <f t="shared" si="34"/>
        <v>t_1</v>
      </c>
      <c r="W100" s="823">
        <f>IFERROR(VLOOKUP(V100,Subvention!$B$84:$C$86,2,FALSE),0)*M100</f>
        <v>0</v>
      </c>
      <c r="X100" s="898">
        <v>8</v>
      </c>
      <c r="Y100" s="260"/>
      <c r="Z100"/>
      <c r="AA100"/>
      <c r="AB100"/>
      <c r="AC100" s="845"/>
      <c r="AD100" s="846"/>
    </row>
    <row r="101" spans="2:30">
      <c r="B101" s="11">
        <v>10</v>
      </c>
      <c r="C101" s="797">
        <f>'3b. Calculateur - MEÉ 1'!E118</f>
        <v>0</v>
      </c>
      <c r="D101" s="797">
        <f>'3b. Calculateur - MEÉ 1'!F118</f>
        <v>0</v>
      </c>
      <c r="E101" s="798" t="str">
        <f t="shared" si="29"/>
        <v>&lt; sélectionner &gt;_</v>
      </c>
      <c r="F101" s="12" t="str">
        <f>'3b. Calculateur - MEÉ 1'!G118</f>
        <v>&lt; sélectionner &gt;</v>
      </c>
      <c r="G101" s="12" t="str">
        <f t="shared" si="35"/>
        <v/>
      </c>
      <c r="H101" s="12">
        <f>CONVERT('3b. Calculateur - MEÉ 1'!I118,"ft","m")</f>
        <v>0</v>
      </c>
      <c r="I101" s="811">
        <f>'3b. Calculateur - MEÉ 1'!H118</f>
        <v>0</v>
      </c>
      <c r="J101" s="810">
        <f>IF(C101=0,0,VLOOKUP(C101,Hypothèses!$C$265:$E$285,3))</f>
        <v>0</v>
      </c>
      <c r="K101" s="799">
        <f>IF(C101=0,0,VLOOKUP(C101,Hypothèses!$C$265:$E$285,2))</f>
        <v>0</v>
      </c>
      <c r="L101" s="1757"/>
      <c r="M101" s="812">
        <f t="shared" si="30"/>
        <v>0</v>
      </c>
      <c r="N101" s="810">
        <f>_xlfn.XLOOKUP(B101,$Y$214:$Y$243,$AD$214:$AD$243,0,0)</f>
        <v>0</v>
      </c>
      <c r="O101" s="799">
        <f>N101*'Facteurs conversion'!C$6/1000*H101</f>
        <v>0</v>
      </c>
      <c r="P101" s="713">
        <f t="shared" si="32"/>
        <v>0</v>
      </c>
      <c r="Q101" s="713">
        <f>P101/'Facteurs conversion'!$C$11</f>
        <v>0</v>
      </c>
      <c r="R101" s="800">
        <f>Q101/Hypothèses!$D$217</f>
        <v>0</v>
      </c>
      <c r="S101" s="823" t="s">
        <v>2004</v>
      </c>
      <c r="T101" s="823" t="s">
        <v>1997</v>
      </c>
      <c r="U101" s="823">
        <f t="shared" si="33"/>
        <v>1</v>
      </c>
      <c r="V101" s="823" t="str">
        <f t="shared" si="34"/>
        <v>t_1</v>
      </c>
      <c r="W101" s="823">
        <f>IFERROR(VLOOKUP(V101,Subvention!$B$84:$C$86,2,FALSE),0)*M101</f>
        <v>0</v>
      </c>
      <c r="X101" s="898">
        <v>9</v>
      </c>
      <c r="Y101" s="260"/>
      <c r="Z101"/>
      <c r="AA101"/>
      <c r="AB101"/>
      <c r="AC101" s="845"/>
      <c r="AD101" s="846"/>
    </row>
    <row r="102" spans="2:30">
      <c r="X102" s="898">
        <v>10</v>
      </c>
      <c r="Y102" s="795"/>
      <c r="Z102" s="490"/>
      <c r="AA102" s="490"/>
      <c r="AB102" s="490"/>
      <c r="AC102" s="490"/>
      <c r="AD102" s="765"/>
    </row>
    <row r="104" spans="2:30">
      <c r="Y104" s="7" t="s">
        <v>1515</v>
      </c>
    </row>
    <row r="105" spans="2:30">
      <c r="Y105" s="2280" t="s">
        <v>1136</v>
      </c>
      <c r="Z105" s="2280" t="s">
        <v>1205</v>
      </c>
      <c r="AA105" s="2280" t="s">
        <v>1138</v>
      </c>
      <c r="AB105" s="2280" t="s">
        <v>998</v>
      </c>
      <c r="AC105" s="2280" t="s">
        <v>1203</v>
      </c>
      <c r="AD105" s="2282" t="s">
        <v>1135</v>
      </c>
    </row>
    <row r="106" spans="2:30">
      <c r="Y106" s="2281"/>
      <c r="Z106" s="2281"/>
      <c r="AA106" s="2281"/>
      <c r="AB106" s="2281"/>
      <c r="AC106" s="2281"/>
      <c r="AD106" s="2283"/>
    </row>
    <row r="107" spans="2:30" ht="17.25">
      <c r="Y107" s="806"/>
      <c r="Z107" s="806" t="s">
        <v>1220</v>
      </c>
      <c r="AA107" s="806" t="s">
        <v>1142</v>
      </c>
      <c r="AB107" s="806"/>
      <c r="AC107" s="807" t="s">
        <v>1158</v>
      </c>
      <c r="AD107" s="808" t="s">
        <v>1213</v>
      </c>
    </row>
    <row r="108" spans="2:30">
      <c r="X108" s="898">
        <v>1</v>
      </c>
      <c r="Y108" s="260" t="e" cm="1" vm="1">
        <f t="array" ref="Y108">_xlfn._xlws.FILTER('Isolation - CAS 1'!N52:S61,'Isolation - CAS 1'!N52:N61&lt;&gt;"")</f>
        <v>#VALUE!</v>
      </c>
      <c r="Z108"/>
      <c r="AA108"/>
      <c r="AB108"/>
      <c r="AC108" s="845"/>
      <c r="AD108" s="846"/>
    </row>
    <row r="109" spans="2:30">
      <c r="X109" s="898">
        <v>2</v>
      </c>
      <c r="Y109" s="260"/>
      <c r="Z109"/>
      <c r="AA109"/>
      <c r="AB109"/>
      <c r="AC109" s="845"/>
      <c r="AD109" s="846"/>
    </row>
    <row r="110" spans="2:30">
      <c r="X110" s="898">
        <v>3</v>
      </c>
      <c r="Y110" s="260"/>
      <c r="Z110"/>
      <c r="AA110"/>
      <c r="AB110"/>
      <c r="AC110" s="845"/>
      <c r="AD110" s="846"/>
    </row>
    <row r="111" spans="2:30">
      <c r="X111" s="898">
        <v>4</v>
      </c>
      <c r="Y111" s="260"/>
      <c r="Z111"/>
      <c r="AA111"/>
      <c r="AB111"/>
      <c r="AC111" s="845"/>
      <c r="AD111" s="846"/>
    </row>
    <row r="112" spans="2:30">
      <c r="X112" s="898">
        <v>5</v>
      </c>
      <c r="Y112" s="260"/>
      <c r="Z112"/>
      <c r="AA112"/>
      <c r="AB112"/>
      <c r="AC112" s="845"/>
      <c r="AD112" s="846"/>
    </row>
    <row r="113" spans="24:30">
      <c r="X113" s="898">
        <v>6</v>
      </c>
      <c r="Y113" s="260"/>
      <c r="Z113"/>
      <c r="AA113"/>
      <c r="AB113"/>
      <c r="AC113" s="845"/>
      <c r="AD113" s="846"/>
    </row>
    <row r="114" spans="24:30">
      <c r="X114" s="898">
        <v>7</v>
      </c>
      <c r="Y114" s="260"/>
      <c r="Z114"/>
      <c r="AA114"/>
      <c r="AB114"/>
      <c r="AC114" s="845"/>
      <c r="AD114" s="846"/>
    </row>
    <row r="115" spans="24:30">
      <c r="X115" s="898">
        <v>8</v>
      </c>
      <c r="Y115" s="260"/>
      <c r="Z115"/>
      <c r="AA115"/>
      <c r="AB115"/>
      <c r="AC115" s="845"/>
      <c r="AD115" s="846"/>
    </row>
    <row r="116" spans="24:30">
      <c r="X116" s="898">
        <v>9</v>
      </c>
      <c r="Y116" s="260"/>
      <c r="Z116"/>
      <c r="AA116"/>
      <c r="AB116"/>
      <c r="AC116" s="845"/>
      <c r="AD116" s="846"/>
    </row>
    <row r="117" spans="24:30">
      <c r="X117" s="898">
        <v>10</v>
      </c>
      <c r="Y117" s="260"/>
      <c r="Z117"/>
      <c r="AA117"/>
      <c r="AB117"/>
      <c r="AC117" s="845"/>
      <c r="AD117" s="846"/>
    </row>
    <row r="118" spans="24:30">
      <c r="X118" s="898">
        <v>1</v>
      </c>
      <c r="Y118" s="260" t="e" cm="1" vm="1">
        <f t="array" ref="Y118">_xlfn._xlws.FILTER('Isolation - CAS 2'!N52:S61,'Isolation - CAS 2'!N52:N61&lt;&gt;"")</f>
        <v>#VALUE!</v>
      </c>
      <c r="Z118"/>
      <c r="AA118"/>
      <c r="AB118"/>
      <c r="AC118" s="845"/>
      <c r="AD118" s="846"/>
    </row>
    <row r="119" spans="24:30">
      <c r="X119" s="898">
        <v>2</v>
      </c>
      <c r="Y119" s="260"/>
      <c r="Z119"/>
      <c r="AA119"/>
      <c r="AB119"/>
      <c r="AC119" s="845"/>
      <c r="AD119" s="846"/>
    </row>
    <row r="120" spans="24:30">
      <c r="X120" s="898">
        <v>3</v>
      </c>
      <c r="Y120" s="260"/>
      <c r="Z120"/>
      <c r="AA120"/>
      <c r="AB120"/>
      <c r="AC120" s="845"/>
      <c r="AD120" s="846"/>
    </row>
    <row r="121" spans="24:30">
      <c r="X121" s="898">
        <v>4</v>
      </c>
      <c r="Y121" s="260"/>
      <c r="Z121"/>
      <c r="AA121"/>
      <c r="AB121"/>
      <c r="AC121" s="845"/>
      <c r="AD121" s="846"/>
    </row>
    <row r="122" spans="24:30">
      <c r="X122" s="898">
        <v>5</v>
      </c>
      <c r="Y122" s="260"/>
      <c r="Z122"/>
      <c r="AA122"/>
      <c r="AB122"/>
      <c r="AC122" s="845"/>
      <c r="AD122" s="846"/>
    </row>
    <row r="123" spans="24:30">
      <c r="X123" s="898">
        <v>6</v>
      </c>
      <c r="Y123" s="260"/>
      <c r="Z123"/>
      <c r="AA123"/>
      <c r="AB123"/>
      <c r="AC123" s="845"/>
      <c r="AD123" s="846"/>
    </row>
    <row r="124" spans="24:30">
      <c r="X124" s="898">
        <v>7</v>
      </c>
      <c r="Y124" s="260"/>
      <c r="Z124"/>
      <c r="AA124"/>
      <c r="AB124"/>
      <c r="AC124" s="845"/>
      <c r="AD124" s="846"/>
    </row>
    <row r="125" spans="24:30">
      <c r="X125" s="898">
        <v>8</v>
      </c>
      <c r="Y125" s="260"/>
      <c r="Z125"/>
      <c r="AA125"/>
      <c r="AB125"/>
      <c r="AC125" s="845"/>
      <c r="AD125" s="846"/>
    </row>
    <row r="126" spans="24:30">
      <c r="X126" s="898">
        <v>9</v>
      </c>
      <c r="Y126" s="260"/>
      <c r="Z126"/>
      <c r="AA126"/>
      <c r="AB126"/>
      <c r="AC126" s="845"/>
      <c r="AD126" s="846"/>
    </row>
    <row r="127" spans="24:30">
      <c r="X127" s="898">
        <v>10</v>
      </c>
      <c r="Y127" s="260"/>
      <c r="Z127"/>
      <c r="AA127"/>
      <c r="AB127"/>
      <c r="AC127" s="845"/>
      <c r="AD127" s="846"/>
    </row>
    <row r="128" spans="24:30">
      <c r="X128" s="898">
        <v>1</v>
      </c>
      <c r="Y128" s="260" t="e" cm="1" vm="1">
        <f t="array" ref="Y128">_xlfn._xlws.FILTER('Isolation - CAS 3'!N52:S61,'Isolation - CAS 3'!N52:N61&lt;&gt;"")</f>
        <v>#VALUE!</v>
      </c>
      <c r="Z128"/>
      <c r="AA128"/>
      <c r="AB128"/>
      <c r="AC128" s="845"/>
      <c r="AD128" s="846"/>
    </row>
    <row r="129" spans="24:30">
      <c r="X129" s="898">
        <v>2</v>
      </c>
      <c r="Y129" s="260"/>
      <c r="Z129"/>
      <c r="AA129"/>
      <c r="AB129"/>
      <c r="AC129" s="845"/>
      <c r="AD129" s="846"/>
    </row>
    <row r="130" spans="24:30">
      <c r="X130" s="898">
        <v>3</v>
      </c>
      <c r="Y130" s="260"/>
      <c r="Z130"/>
      <c r="AA130"/>
      <c r="AB130"/>
      <c r="AC130" s="845"/>
      <c r="AD130" s="846"/>
    </row>
    <row r="131" spans="24:30">
      <c r="X131" s="898">
        <v>4</v>
      </c>
      <c r="Y131" s="260"/>
      <c r="Z131"/>
      <c r="AA131"/>
      <c r="AB131"/>
      <c r="AC131" s="845"/>
      <c r="AD131" s="846"/>
    </row>
    <row r="132" spans="24:30">
      <c r="X132" s="898">
        <v>5</v>
      </c>
      <c r="Y132" s="260"/>
      <c r="Z132"/>
      <c r="AA132"/>
      <c r="AB132"/>
      <c r="AC132" s="845"/>
      <c r="AD132" s="846"/>
    </row>
    <row r="133" spans="24:30">
      <c r="X133" s="898">
        <v>6</v>
      </c>
      <c r="Y133" s="260"/>
      <c r="Z133"/>
      <c r="AA133"/>
      <c r="AB133"/>
      <c r="AC133" s="845"/>
      <c r="AD133" s="846"/>
    </row>
    <row r="134" spans="24:30">
      <c r="X134" s="898">
        <v>7</v>
      </c>
      <c r="Y134" s="260"/>
      <c r="Z134"/>
      <c r="AA134"/>
      <c r="AB134"/>
      <c r="AC134" s="845"/>
      <c r="AD134" s="846"/>
    </row>
    <row r="135" spans="24:30">
      <c r="X135" s="898">
        <v>8</v>
      </c>
      <c r="Y135" s="260"/>
      <c r="Z135"/>
      <c r="AA135"/>
      <c r="AB135"/>
      <c r="AC135" s="845"/>
      <c r="AD135" s="846"/>
    </row>
    <row r="136" spans="24:30">
      <c r="X136" s="898">
        <v>9</v>
      </c>
      <c r="Y136" s="260"/>
      <c r="Z136"/>
      <c r="AA136"/>
      <c r="AB136"/>
      <c r="AC136" s="845"/>
      <c r="AD136" s="846"/>
    </row>
    <row r="137" spans="24:30">
      <c r="X137" s="898">
        <v>10</v>
      </c>
      <c r="Y137" s="795"/>
      <c r="Z137" s="490"/>
      <c r="AA137" s="490"/>
      <c r="AB137" s="490"/>
      <c r="AC137" s="490"/>
      <c r="AD137" s="765"/>
    </row>
    <row r="139" spans="24:30">
      <c r="Y139" s="7" t="s">
        <v>1516</v>
      </c>
    </row>
    <row r="140" spans="24:30">
      <c r="Y140" s="2280" t="s">
        <v>1136</v>
      </c>
      <c r="Z140" s="2280" t="s">
        <v>1205</v>
      </c>
      <c r="AA140" s="2280" t="s">
        <v>1138</v>
      </c>
      <c r="AB140" s="2280" t="s">
        <v>998</v>
      </c>
      <c r="AC140" s="2280" t="s">
        <v>1203</v>
      </c>
      <c r="AD140" s="2282" t="s">
        <v>1135</v>
      </c>
    </row>
    <row r="141" spans="24:30">
      <c r="Y141" s="2281"/>
      <c r="Z141" s="2281"/>
      <c r="AA141" s="2281"/>
      <c r="AB141" s="2281"/>
      <c r="AC141" s="2281"/>
      <c r="AD141" s="2283"/>
    </row>
    <row r="142" spans="24:30" ht="17.25">
      <c r="Y142" s="806"/>
      <c r="Z142" s="806" t="s">
        <v>1220</v>
      </c>
      <c r="AA142" s="806" t="s">
        <v>1142</v>
      </c>
      <c r="AB142" s="806"/>
      <c r="AC142" s="807" t="s">
        <v>1158</v>
      </c>
      <c r="AD142" s="808" t="s">
        <v>1213</v>
      </c>
    </row>
    <row r="143" spans="24:30">
      <c r="X143" s="898">
        <v>1</v>
      </c>
      <c r="Y143" s="260" t="e" cm="1" vm="1">
        <f t="array" ref="Y143">_xlfn._xlws.FILTER('Isolation - CAS 1'!N67:S76,'Isolation - CAS 1'!N67:N76&lt;&gt;"")</f>
        <v>#VALUE!</v>
      </c>
      <c r="Z143"/>
      <c r="AA143"/>
      <c r="AB143"/>
      <c r="AC143" s="845"/>
      <c r="AD143" s="846"/>
    </row>
    <row r="144" spans="24:30">
      <c r="X144" s="898">
        <v>2</v>
      </c>
      <c r="Y144" s="260"/>
      <c r="Z144"/>
      <c r="AA144"/>
      <c r="AB144"/>
      <c r="AC144" s="845"/>
      <c r="AD144" s="846"/>
    </row>
    <row r="145" spans="24:30">
      <c r="X145" s="898">
        <v>3</v>
      </c>
      <c r="Y145" s="260"/>
      <c r="Z145"/>
      <c r="AA145"/>
      <c r="AB145"/>
      <c r="AC145" s="845"/>
      <c r="AD145" s="846"/>
    </row>
    <row r="146" spans="24:30">
      <c r="X146" s="898">
        <v>4</v>
      </c>
      <c r="Y146" s="260"/>
      <c r="Z146"/>
      <c r="AA146"/>
      <c r="AB146"/>
      <c r="AC146" s="845"/>
      <c r="AD146" s="846"/>
    </row>
    <row r="147" spans="24:30">
      <c r="X147" s="898">
        <v>5</v>
      </c>
      <c r="Y147" s="260"/>
      <c r="Z147"/>
      <c r="AA147"/>
      <c r="AB147"/>
      <c r="AC147" s="845"/>
      <c r="AD147" s="846"/>
    </row>
    <row r="148" spans="24:30">
      <c r="X148" s="898">
        <v>6</v>
      </c>
      <c r="Y148" s="260"/>
      <c r="Z148"/>
      <c r="AA148"/>
      <c r="AB148"/>
      <c r="AC148" s="845"/>
      <c r="AD148" s="846"/>
    </row>
    <row r="149" spans="24:30">
      <c r="X149" s="898">
        <v>7</v>
      </c>
      <c r="Y149" s="260"/>
      <c r="Z149"/>
      <c r="AA149"/>
      <c r="AB149"/>
      <c r="AC149" s="845"/>
      <c r="AD149" s="846"/>
    </row>
    <row r="150" spans="24:30">
      <c r="X150" s="898">
        <v>8</v>
      </c>
      <c r="Y150" s="260"/>
      <c r="Z150"/>
      <c r="AA150"/>
      <c r="AB150"/>
      <c r="AC150" s="845"/>
      <c r="AD150" s="846"/>
    </row>
    <row r="151" spans="24:30">
      <c r="X151" s="898">
        <v>9</v>
      </c>
      <c r="Y151" s="260"/>
      <c r="Z151"/>
      <c r="AA151"/>
      <c r="AB151"/>
      <c r="AC151" s="845"/>
      <c r="AD151" s="846"/>
    </row>
    <row r="152" spans="24:30">
      <c r="X152" s="898">
        <v>10</v>
      </c>
      <c r="Y152" s="260"/>
      <c r="Z152"/>
      <c r="AA152"/>
      <c r="AB152"/>
      <c r="AC152" s="845"/>
      <c r="AD152" s="846"/>
    </row>
    <row r="153" spans="24:30">
      <c r="X153" s="898">
        <v>1</v>
      </c>
      <c r="Y153" s="260" t="e" cm="1" vm="1">
        <f t="array" ref="Y153">_xlfn._xlws.FILTER('Isolation - CAS 2'!N67:S76,'Isolation - CAS 2'!N67:N76&lt;&gt;"")</f>
        <v>#VALUE!</v>
      </c>
      <c r="Z153"/>
      <c r="AA153"/>
      <c r="AB153"/>
      <c r="AC153" s="845"/>
      <c r="AD153" s="846"/>
    </row>
    <row r="154" spans="24:30">
      <c r="X154" s="898">
        <v>2</v>
      </c>
      <c r="Y154" s="260"/>
      <c r="Z154"/>
      <c r="AA154"/>
      <c r="AB154"/>
      <c r="AC154" s="845"/>
      <c r="AD154" s="846"/>
    </row>
    <row r="155" spans="24:30">
      <c r="X155" s="898">
        <v>3</v>
      </c>
      <c r="Y155" s="260"/>
      <c r="Z155"/>
      <c r="AA155"/>
      <c r="AB155"/>
      <c r="AC155" s="845"/>
      <c r="AD155" s="846"/>
    </row>
    <row r="156" spans="24:30">
      <c r="X156" s="898">
        <v>4</v>
      </c>
      <c r="Y156" s="260"/>
      <c r="Z156"/>
      <c r="AA156"/>
      <c r="AB156"/>
      <c r="AC156" s="845"/>
      <c r="AD156" s="846"/>
    </row>
    <row r="157" spans="24:30">
      <c r="X157" s="898">
        <v>5</v>
      </c>
      <c r="Y157" s="260"/>
      <c r="Z157"/>
      <c r="AA157"/>
      <c r="AB157"/>
      <c r="AC157" s="845"/>
      <c r="AD157" s="846"/>
    </row>
    <row r="158" spans="24:30">
      <c r="X158" s="898">
        <v>6</v>
      </c>
      <c r="Y158" s="260"/>
      <c r="Z158"/>
      <c r="AA158"/>
      <c r="AB158"/>
      <c r="AC158" s="845"/>
      <c r="AD158" s="846"/>
    </row>
    <row r="159" spans="24:30">
      <c r="X159" s="898">
        <v>7</v>
      </c>
      <c r="Y159" s="260"/>
      <c r="Z159"/>
      <c r="AA159"/>
      <c r="AB159"/>
      <c r="AC159" s="845"/>
      <c r="AD159" s="846"/>
    </row>
    <row r="160" spans="24:30">
      <c r="X160" s="898">
        <v>8</v>
      </c>
      <c r="Y160" s="260"/>
      <c r="Z160"/>
      <c r="AA160"/>
      <c r="AB160"/>
      <c r="AC160" s="845"/>
      <c r="AD160" s="846"/>
    </row>
    <row r="161" spans="24:30">
      <c r="X161" s="898">
        <v>9</v>
      </c>
      <c r="Y161" s="260"/>
      <c r="Z161"/>
      <c r="AA161"/>
      <c r="AB161"/>
      <c r="AC161" s="845"/>
      <c r="AD161" s="846"/>
    </row>
    <row r="162" spans="24:30">
      <c r="X162" s="898">
        <v>10</v>
      </c>
      <c r="Y162" s="260"/>
      <c r="Z162"/>
      <c r="AA162"/>
      <c r="AB162"/>
      <c r="AC162" s="845"/>
      <c r="AD162" s="846"/>
    </row>
    <row r="163" spans="24:30">
      <c r="X163" s="898">
        <v>1</v>
      </c>
      <c r="Y163" s="260" t="e" cm="1" vm="1">
        <f t="array" ref="Y163">_xlfn._xlws.FILTER('Isolation - CAS 3'!N67:S76,'Isolation - CAS 3'!S67:S76&lt;&gt;"")</f>
        <v>#VALUE!</v>
      </c>
      <c r="Z163"/>
      <c r="AA163"/>
      <c r="AB163"/>
      <c r="AC163" s="845"/>
      <c r="AD163" s="846"/>
    </row>
    <row r="164" spans="24:30">
      <c r="X164" s="898">
        <v>2</v>
      </c>
      <c r="Y164" s="260"/>
      <c r="Z164"/>
      <c r="AA164"/>
      <c r="AB164"/>
      <c r="AC164" s="845"/>
      <c r="AD164" s="846"/>
    </row>
    <row r="165" spans="24:30">
      <c r="X165" s="898">
        <v>3</v>
      </c>
      <c r="Y165" s="260"/>
      <c r="Z165"/>
      <c r="AA165"/>
      <c r="AB165"/>
      <c r="AC165" s="845"/>
      <c r="AD165" s="846"/>
    </row>
    <row r="166" spans="24:30">
      <c r="X166" s="898">
        <v>4</v>
      </c>
      <c r="Y166" s="260"/>
      <c r="Z166"/>
      <c r="AA166"/>
      <c r="AB166"/>
      <c r="AC166" s="845"/>
      <c r="AD166" s="846"/>
    </row>
    <row r="167" spans="24:30">
      <c r="X167" s="898">
        <v>5</v>
      </c>
      <c r="Y167" s="260"/>
      <c r="Z167"/>
      <c r="AA167"/>
      <c r="AB167"/>
      <c r="AC167" s="845"/>
      <c r="AD167" s="846"/>
    </row>
    <row r="168" spans="24:30">
      <c r="X168" s="898">
        <v>6</v>
      </c>
      <c r="Y168" s="260"/>
      <c r="Z168"/>
      <c r="AA168"/>
      <c r="AB168"/>
      <c r="AC168" s="845"/>
      <c r="AD168" s="846"/>
    </row>
    <row r="169" spans="24:30">
      <c r="X169" s="898">
        <v>7</v>
      </c>
      <c r="Y169" s="260"/>
      <c r="Z169"/>
      <c r="AA169"/>
      <c r="AB169"/>
      <c r="AC169" s="845"/>
      <c r="AD169" s="846"/>
    </row>
    <row r="170" spans="24:30">
      <c r="X170" s="898">
        <v>8</v>
      </c>
      <c r="Y170" s="260"/>
      <c r="Z170"/>
      <c r="AA170"/>
      <c r="AB170"/>
      <c r="AC170" s="845"/>
      <c r="AD170" s="846"/>
    </row>
    <row r="171" spans="24:30">
      <c r="X171" s="898">
        <v>9</v>
      </c>
      <c r="Y171" s="260"/>
      <c r="Z171"/>
      <c r="AA171"/>
      <c r="AB171"/>
      <c r="AC171" s="845"/>
      <c r="AD171" s="846"/>
    </row>
    <row r="172" spans="24:30">
      <c r="X172" s="898">
        <v>10</v>
      </c>
      <c r="Y172" s="795"/>
      <c r="Z172" s="490"/>
      <c r="AA172" s="490"/>
      <c r="AB172" s="490"/>
      <c r="AC172" s="490"/>
      <c r="AD172" s="765"/>
    </row>
    <row r="174" spans="24:30">
      <c r="Y174" s="7" t="s">
        <v>1521</v>
      </c>
    </row>
    <row r="175" spans="24:30">
      <c r="Y175" s="2280" t="s">
        <v>1136</v>
      </c>
      <c r="Z175" s="2280" t="s">
        <v>1205</v>
      </c>
      <c r="AA175" s="2280" t="s">
        <v>1138</v>
      </c>
      <c r="AB175" s="2280" t="s">
        <v>998</v>
      </c>
      <c r="AC175" s="2280" t="s">
        <v>1203</v>
      </c>
      <c r="AD175" s="2282" t="s">
        <v>1135</v>
      </c>
    </row>
    <row r="176" spans="24:30">
      <c r="Y176" s="2281"/>
      <c r="Z176" s="2281"/>
      <c r="AA176" s="2281"/>
      <c r="AB176" s="2281"/>
      <c r="AC176" s="2281"/>
      <c r="AD176" s="2283"/>
    </row>
    <row r="177" spans="24:30" ht="17.25">
      <c r="Y177" s="806"/>
      <c r="Z177" s="806" t="s">
        <v>1220</v>
      </c>
      <c r="AA177" s="806" t="s">
        <v>1142</v>
      </c>
      <c r="AB177" s="806"/>
      <c r="AC177" s="807" t="s">
        <v>1158</v>
      </c>
      <c r="AD177" s="808" t="s">
        <v>1213</v>
      </c>
    </row>
    <row r="178" spans="24:30">
      <c r="X178" s="898">
        <v>1</v>
      </c>
      <c r="Y178" s="260" t="e" cm="1" vm="1">
        <f t="array" ref="Y178">_xlfn._xlws.FILTER('Isolation - CAS 1'!N82:S91,'Isolation - CAS 1'!N82:N91&lt;&gt;"")</f>
        <v>#VALUE!</v>
      </c>
      <c r="Z178"/>
      <c r="AA178"/>
      <c r="AB178"/>
      <c r="AC178" s="845"/>
      <c r="AD178" s="846"/>
    </row>
    <row r="179" spans="24:30">
      <c r="X179" s="898">
        <v>2</v>
      </c>
      <c r="Y179" s="260"/>
      <c r="Z179"/>
      <c r="AA179"/>
      <c r="AB179"/>
      <c r="AC179" s="845"/>
      <c r="AD179" s="846"/>
    </row>
    <row r="180" spans="24:30">
      <c r="X180" s="898">
        <v>3</v>
      </c>
      <c r="Y180" s="260"/>
      <c r="Z180"/>
      <c r="AA180"/>
      <c r="AB180"/>
      <c r="AC180" s="845"/>
      <c r="AD180" s="846"/>
    </row>
    <row r="181" spans="24:30">
      <c r="X181" s="898">
        <v>4</v>
      </c>
      <c r="Y181" s="260"/>
      <c r="Z181"/>
      <c r="AA181"/>
      <c r="AB181"/>
      <c r="AC181" s="845"/>
      <c r="AD181" s="846"/>
    </row>
    <row r="182" spans="24:30">
      <c r="X182" s="898">
        <v>5</v>
      </c>
      <c r="Y182" s="260"/>
      <c r="Z182"/>
      <c r="AA182"/>
      <c r="AB182"/>
      <c r="AC182" s="845"/>
      <c r="AD182" s="846"/>
    </row>
    <row r="183" spans="24:30">
      <c r="X183" s="898">
        <v>6</v>
      </c>
      <c r="Y183" s="260"/>
      <c r="Z183"/>
      <c r="AA183"/>
      <c r="AB183"/>
      <c r="AC183" s="845"/>
      <c r="AD183" s="846"/>
    </row>
    <row r="184" spans="24:30">
      <c r="X184" s="898">
        <v>7</v>
      </c>
      <c r="Y184" s="260"/>
      <c r="Z184"/>
      <c r="AA184"/>
      <c r="AB184"/>
      <c r="AC184" s="845"/>
      <c r="AD184" s="846"/>
    </row>
    <row r="185" spans="24:30">
      <c r="X185" s="898">
        <v>8</v>
      </c>
      <c r="Y185" s="260"/>
      <c r="Z185"/>
      <c r="AA185"/>
      <c r="AB185"/>
      <c r="AC185" s="845"/>
      <c r="AD185" s="846"/>
    </row>
    <row r="186" spans="24:30">
      <c r="X186" s="898">
        <v>9</v>
      </c>
      <c r="Y186" s="260"/>
      <c r="Z186"/>
      <c r="AA186"/>
      <c r="AB186"/>
      <c r="AC186" s="845"/>
      <c r="AD186" s="846"/>
    </row>
    <row r="187" spans="24:30">
      <c r="X187" s="898">
        <v>10</v>
      </c>
      <c r="Y187" s="260"/>
      <c r="Z187"/>
      <c r="AA187"/>
      <c r="AB187"/>
      <c r="AC187" s="845"/>
      <c r="AD187" s="846"/>
    </row>
    <row r="188" spans="24:30">
      <c r="X188" s="898">
        <v>1</v>
      </c>
      <c r="Y188" s="260" t="e" cm="1" vm="1">
        <f t="array" ref="Y188">_xlfn._xlws.FILTER('Isolation - CAS 2'!N82:S91,'Isolation - CAS 2'!N82:N91&lt;&gt;"")</f>
        <v>#VALUE!</v>
      </c>
      <c r="Z188"/>
      <c r="AA188"/>
      <c r="AB188"/>
      <c r="AC188" s="845"/>
      <c r="AD188" s="846"/>
    </row>
    <row r="189" spans="24:30">
      <c r="X189" s="898">
        <v>2</v>
      </c>
      <c r="Y189" s="260"/>
      <c r="Z189"/>
      <c r="AA189"/>
      <c r="AB189"/>
      <c r="AC189" s="845"/>
      <c r="AD189" s="846"/>
    </row>
    <row r="190" spans="24:30">
      <c r="X190" s="898">
        <v>3</v>
      </c>
      <c r="Y190" s="260"/>
      <c r="Z190"/>
      <c r="AA190"/>
      <c r="AB190"/>
      <c r="AC190" s="845"/>
      <c r="AD190" s="846"/>
    </row>
    <row r="191" spans="24:30">
      <c r="X191" s="898">
        <v>4</v>
      </c>
      <c r="Y191" s="260"/>
      <c r="Z191"/>
      <c r="AA191"/>
      <c r="AB191"/>
      <c r="AC191" s="845"/>
      <c r="AD191" s="846"/>
    </row>
    <row r="192" spans="24:30">
      <c r="X192" s="898">
        <v>5</v>
      </c>
      <c r="Y192" s="260"/>
      <c r="Z192"/>
      <c r="AA192"/>
      <c r="AB192"/>
      <c r="AC192" s="845"/>
      <c r="AD192" s="846"/>
    </row>
    <row r="193" spans="24:30">
      <c r="X193" s="898">
        <v>6</v>
      </c>
      <c r="Y193" s="260"/>
      <c r="Z193"/>
      <c r="AA193"/>
      <c r="AB193"/>
      <c r="AC193" s="845"/>
      <c r="AD193" s="846"/>
    </row>
    <row r="194" spans="24:30">
      <c r="X194" s="898">
        <v>7</v>
      </c>
      <c r="Y194" s="260"/>
      <c r="Z194"/>
      <c r="AA194"/>
      <c r="AB194"/>
      <c r="AC194" s="845"/>
      <c r="AD194" s="846"/>
    </row>
    <row r="195" spans="24:30">
      <c r="X195" s="898">
        <v>8</v>
      </c>
      <c r="Y195" s="260"/>
      <c r="Z195"/>
      <c r="AA195"/>
      <c r="AB195"/>
      <c r="AC195" s="845"/>
      <c r="AD195" s="846"/>
    </row>
    <row r="196" spans="24:30">
      <c r="X196" s="898">
        <v>9</v>
      </c>
      <c r="Y196" s="260"/>
      <c r="Z196"/>
      <c r="AA196"/>
      <c r="AB196"/>
      <c r="AC196" s="845"/>
      <c r="AD196" s="846"/>
    </row>
    <row r="197" spans="24:30">
      <c r="X197" s="898">
        <v>10</v>
      </c>
      <c r="Y197" s="260"/>
      <c r="Z197"/>
      <c r="AA197"/>
      <c r="AB197"/>
      <c r="AC197" s="845"/>
      <c r="AD197" s="846"/>
    </row>
    <row r="198" spans="24:30">
      <c r="X198" s="898">
        <v>1</v>
      </c>
      <c r="Y198" s="260" t="e" cm="1" vm="1">
        <f t="array" ref="Y198">_xlfn._xlws.FILTER('Isolation - CAS 3'!N82:S91,'Isolation - CAS 3'!S82:S91&lt;&gt;"")</f>
        <v>#VALUE!</v>
      </c>
      <c r="Z198"/>
      <c r="AA198"/>
      <c r="AB198"/>
      <c r="AC198" s="845"/>
      <c r="AD198" s="846"/>
    </row>
    <row r="199" spans="24:30">
      <c r="X199" s="898">
        <v>2</v>
      </c>
      <c r="Y199" s="260"/>
      <c r="Z199"/>
      <c r="AA199"/>
      <c r="AB199"/>
      <c r="AC199" s="845"/>
      <c r="AD199" s="846"/>
    </row>
    <row r="200" spans="24:30">
      <c r="X200" s="898">
        <v>3</v>
      </c>
      <c r="Y200" s="260"/>
      <c r="Z200"/>
      <c r="AA200"/>
      <c r="AB200"/>
      <c r="AC200" s="845"/>
      <c r="AD200" s="846"/>
    </row>
    <row r="201" spans="24:30">
      <c r="X201" s="898">
        <v>4</v>
      </c>
      <c r="Y201" s="260"/>
      <c r="Z201"/>
      <c r="AA201"/>
      <c r="AB201"/>
      <c r="AC201" s="845"/>
      <c r="AD201" s="846"/>
    </row>
    <row r="202" spans="24:30">
      <c r="X202" s="898">
        <v>5</v>
      </c>
      <c r="Y202" s="260"/>
      <c r="Z202"/>
      <c r="AA202"/>
      <c r="AB202"/>
      <c r="AC202" s="845"/>
      <c r="AD202" s="846"/>
    </row>
    <row r="203" spans="24:30">
      <c r="X203" s="898">
        <v>6</v>
      </c>
      <c r="Y203" s="260"/>
      <c r="Z203"/>
      <c r="AA203"/>
      <c r="AB203"/>
      <c r="AC203" s="845"/>
      <c r="AD203" s="846"/>
    </row>
    <row r="204" spans="24:30">
      <c r="X204" s="898">
        <v>7</v>
      </c>
      <c r="Y204" s="260"/>
      <c r="Z204"/>
      <c r="AA204"/>
      <c r="AB204"/>
      <c r="AC204" s="845"/>
      <c r="AD204" s="846"/>
    </row>
    <row r="205" spans="24:30">
      <c r="X205" s="898">
        <v>8</v>
      </c>
      <c r="Y205" s="260"/>
      <c r="Z205"/>
      <c r="AA205"/>
      <c r="AB205"/>
      <c r="AC205" s="845"/>
      <c r="AD205" s="846"/>
    </row>
    <row r="206" spans="24:30">
      <c r="X206" s="898">
        <v>9</v>
      </c>
      <c r="Y206" s="260"/>
      <c r="Z206"/>
      <c r="AA206"/>
      <c r="AB206"/>
      <c r="AC206" s="845"/>
      <c r="AD206" s="846"/>
    </row>
    <row r="207" spans="24:30">
      <c r="X207" s="898">
        <v>10</v>
      </c>
      <c r="Y207" s="795"/>
      <c r="Z207" s="490"/>
      <c r="AA207" s="490"/>
      <c r="AB207" s="490"/>
      <c r="AC207" s="490"/>
      <c r="AD207" s="765"/>
    </row>
    <row r="210" spans="25:30">
      <c r="Y210" s="7" t="s">
        <v>2005</v>
      </c>
    </row>
    <row r="211" spans="25:30">
      <c r="Y211" s="2280" t="s">
        <v>1136</v>
      </c>
      <c r="Z211" s="2280" t="s">
        <v>1205</v>
      </c>
      <c r="AA211" s="2280" t="s">
        <v>1138</v>
      </c>
      <c r="AB211" s="2280" t="s">
        <v>998</v>
      </c>
      <c r="AC211" s="2280" t="s">
        <v>1203</v>
      </c>
      <c r="AD211" s="2282" t="s">
        <v>1135</v>
      </c>
    </row>
    <row r="212" spans="25:30">
      <c r="Y212" s="2281"/>
      <c r="Z212" s="2281"/>
      <c r="AA212" s="2281"/>
      <c r="AB212" s="2281"/>
      <c r="AC212" s="2281"/>
      <c r="AD212" s="2283"/>
    </row>
    <row r="213" spans="25:30" ht="17.25">
      <c r="Y213" s="806"/>
      <c r="Z213" s="806" t="s">
        <v>1220</v>
      </c>
      <c r="AA213" s="806" t="s">
        <v>1142</v>
      </c>
      <c r="AB213" s="806"/>
      <c r="AC213" s="807" t="s">
        <v>1158</v>
      </c>
      <c r="AD213" s="808" t="s">
        <v>1212</v>
      </c>
    </row>
    <row r="214" spans="25:30">
      <c r="Y214" s="260" t="e" cm="1" vm="1">
        <f t="array" ref="Y214">_xlfn._xlws.FILTER('Isolation - CAS 1'!N97:S106,'Isolation - CAS 1'!N97:N106&lt;&gt;"")</f>
        <v>#VALUE!</v>
      </c>
      <c r="Z214"/>
      <c r="AA214"/>
      <c r="AB214"/>
      <c r="AC214" s="845"/>
      <c r="AD214" s="1758"/>
    </row>
    <row r="215" spans="25:30">
      <c r="Y215" s="260"/>
      <c r="Z215"/>
      <c r="AA215"/>
      <c r="AB215"/>
      <c r="AC215" s="845"/>
      <c r="AD215" s="1758"/>
    </row>
    <row r="216" spans="25:30">
      <c r="Y216" s="260"/>
      <c r="Z216"/>
      <c r="AA216"/>
      <c r="AB216"/>
      <c r="AC216" s="845"/>
      <c r="AD216" s="1758"/>
    </row>
    <row r="217" spans="25:30">
      <c r="Y217" s="260"/>
      <c r="Z217"/>
      <c r="AA217"/>
      <c r="AB217"/>
      <c r="AC217" s="845"/>
      <c r="AD217" s="1758"/>
    </row>
    <row r="218" spans="25:30">
      <c r="Y218" s="260"/>
      <c r="Z218"/>
      <c r="AA218"/>
      <c r="AB218"/>
      <c r="AC218" s="845"/>
      <c r="AD218" s="1758"/>
    </row>
    <row r="219" spans="25:30">
      <c r="Y219" s="260"/>
      <c r="Z219"/>
      <c r="AA219"/>
      <c r="AB219"/>
      <c r="AC219" s="845"/>
      <c r="AD219" s="1758"/>
    </row>
    <row r="220" spans="25:30">
      <c r="Y220" s="260"/>
      <c r="Z220"/>
      <c r="AA220"/>
      <c r="AB220"/>
      <c r="AC220" s="845"/>
      <c r="AD220" s="1758"/>
    </row>
    <row r="221" spans="25:30">
      <c r="Y221" s="260"/>
      <c r="Z221"/>
      <c r="AA221"/>
      <c r="AB221"/>
      <c r="AC221" s="845"/>
      <c r="AD221" s="1758"/>
    </row>
    <row r="222" spans="25:30">
      <c r="Y222" s="260"/>
      <c r="Z222"/>
      <c r="AA222"/>
      <c r="AB222"/>
      <c r="AC222" s="845"/>
      <c r="AD222" s="1758"/>
    </row>
    <row r="223" spans="25:30">
      <c r="Y223" s="260"/>
      <c r="Z223"/>
      <c r="AA223"/>
      <c r="AB223"/>
      <c r="AC223" s="845"/>
      <c r="AD223" s="1758"/>
    </row>
    <row r="224" spans="25:30">
      <c r="Y224" s="260" t="e" cm="1" vm="1">
        <f t="array" ref="Y224">_xlfn._xlws.FILTER('Isolation - CAS 2'!N97:S106,'Isolation - CAS 2'!N97:N106&lt;&gt;"")</f>
        <v>#VALUE!</v>
      </c>
      <c r="Z224"/>
      <c r="AA224"/>
      <c r="AB224"/>
      <c r="AC224" s="845"/>
      <c r="AD224" s="1758"/>
    </row>
    <row r="225" spans="25:30">
      <c r="Y225" s="260"/>
      <c r="Z225"/>
      <c r="AA225"/>
      <c r="AB225"/>
      <c r="AC225" s="845"/>
      <c r="AD225" s="1758"/>
    </row>
    <row r="226" spans="25:30">
      <c r="Y226" s="260"/>
      <c r="Z226"/>
      <c r="AA226"/>
      <c r="AB226"/>
      <c r="AC226" s="845"/>
      <c r="AD226" s="1758"/>
    </row>
    <row r="227" spans="25:30">
      <c r="Y227" s="260"/>
      <c r="Z227"/>
      <c r="AA227"/>
      <c r="AB227"/>
      <c r="AC227" s="845"/>
      <c r="AD227" s="1758"/>
    </row>
    <row r="228" spans="25:30">
      <c r="Y228" s="260"/>
      <c r="Z228"/>
      <c r="AA228"/>
      <c r="AB228"/>
      <c r="AC228" s="845"/>
      <c r="AD228" s="1758"/>
    </row>
    <row r="229" spans="25:30">
      <c r="Y229" s="260"/>
      <c r="Z229"/>
      <c r="AA229"/>
      <c r="AB229"/>
      <c r="AC229" s="845"/>
      <c r="AD229" s="1758"/>
    </row>
    <row r="230" spans="25:30">
      <c r="Y230" s="260"/>
      <c r="Z230"/>
      <c r="AA230"/>
      <c r="AB230"/>
      <c r="AC230" s="845"/>
      <c r="AD230" s="1758"/>
    </row>
    <row r="231" spans="25:30">
      <c r="Y231" s="260"/>
      <c r="Z231"/>
      <c r="AA231"/>
      <c r="AB231"/>
      <c r="AC231" s="845"/>
      <c r="AD231" s="1758"/>
    </row>
    <row r="232" spans="25:30">
      <c r="Y232" s="260"/>
      <c r="Z232"/>
      <c r="AA232"/>
      <c r="AB232"/>
      <c r="AC232" s="845"/>
      <c r="AD232" s="1758"/>
    </row>
    <row r="233" spans="25:30">
      <c r="Y233" s="260"/>
      <c r="Z233"/>
      <c r="AA233"/>
      <c r="AB233"/>
      <c r="AC233" s="845"/>
      <c r="AD233" s="1758"/>
    </row>
    <row r="234" spans="25:30">
      <c r="Y234" s="260" t="e" cm="1" vm="1">
        <f t="array" ref="Y234">_xlfn._xlws.FILTER('Isolation - CAS 3'!N97:S106,'Isolation - CAS 3'!S97:S106&lt;&gt;"")</f>
        <v>#VALUE!</v>
      </c>
      <c r="Z234"/>
      <c r="AA234"/>
      <c r="AB234"/>
      <c r="AC234" s="845"/>
      <c r="AD234" s="1758"/>
    </row>
    <row r="235" spans="25:30">
      <c r="Y235" s="260"/>
      <c r="Z235"/>
      <c r="AA235"/>
      <c r="AB235"/>
      <c r="AC235" s="845"/>
      <c r="AD235" s="1758"/>
    </row>
    <row r="236" spans="25:30">
      <c r="Y236" s="260"/>
      <c r="Z236"/>
      <c r="AA236"/>
      <c r="AB236"/>
      <c r="AC236" s="845"/>
      <c r="AD236" s="1758"/>
    </row>
    <row r="237" spans="25:30">
      <c r="Y237" s="260"/>
      <c r="Z237"/>
      <c r="AA237"/>
      <c r="AB237"/>
      <c r="AC237" s="845"/>
      <c r="AD237" s="1758"/>
    </row>
    <row r="238" spans="25:30">
      <c r="Y238" s="260"/>
      <c r="Z238"/>
      <c r="AA238"/>
      <c r="AB238"/>
      <c r="AC238" s="845"/>
      <c r="AD238" s="1758"/>
    </row>
    <row r="239" spans="25:30">
      <c r="Y239" s="260"/>
      <c r="Z239"/>
      <c r="AA239"/>
      <c r="AB239"/>
      <c r="AC239" s="845"/>
      <c r="AD239" s="1758"/>
    </row>
    <row r="240" spans="25:30">
      <c r="Y240" s="260"/>
      <c r="Z240"/>
      <c r="AA240"/>
      <c r="AB240"/>
      <c r="AC240" s="845"/>
      <c r="AD240" s="1758"/>
    </row>
    <row r="241" spans="25:30">
      <c r="Y241" s="260"/>
      <c r="Z241"/>
      <c r="AA241"/>
      <c r="AB241"/>
      <c r="AC241" s="845"/>
      <c r="AD241" s="1758"/>
    </row>
    <row r="242" spans="25:30">
      <c r="Y242" s="260"/>
      <c r="Z242"/>
      <c r="AA242"/>
      <c r="AB242"/>
      <c r="AC242" s="845"/>
      <c r="AD242" s="1758"/>
    </row>
    <row r="243" spans="25:30">
      <c r="Y243" s="795"/>
      <c r="Z243" s="490"/>
      <c r="AA243" s="490"/>
      <c r="AB243" s="490"/>
      <c r="AC243" s="490"/>
      <c r="AD243" s="1753"/>
    </row>
  </sheetData>
  <mergeCells count="88">
    <mergeCell ref="Z70:Z71"/>
    <mergeCell ref="AA70:AA71"/>
    <mergeCell ref="AB70:AB71"/>
    <mergeCell ref="AC70:AC71"/>
    <mergeCell ref="AD70:AD71"/>
    <mergeCell ref="J30:M30"/>
    <mergeCell ref="N30:O30"/>
    <mergeCell ref="J31:K31"/>
    <mergeCell ref="L31:M31"/>
    <mergeCell ref="Y70:Y71"/>
    <mergeCell ref="N45:O45"/>
    <mergeCell ref="L46:M46"/>
    <mergeCell ref="J46:K46"/>
    <mergeCell ref="J45:M45"/>
    <mergeCell ref="J60:M60"/>
    <mergeCell ref="N60:O60"/>
    <mergeCell ref="J61:K61"/>
    <mergeCell ref="L61:M61"/>
    <mergeCell ref="B30:B31"/>
    <mergeCell ref="E30:E31"/>
    <mergeCell ref="F30:F31"/>
    <mergeCell ref="G30:G31"/>
    <mergeCell ref="H30:H31"/>
    <mergeCell ref="J5:K5"/>
    <mergeCell ref="N5:O5"/>
    <mergeCell ref="B5:B6"/>
    <mergeCell ref="E5:E6"/>
    <mergeCell ref="Y5:Y6"/>
    <mergeCell ref="F5:F6"/>
    <mergeCell ref="G5:G6"/>
    <mergeCell ref="H5:H6"/>
    <mergeCell ref="S5:V5"/>
    <mergeCell ref="Z5:Z6"/>
    <mergeCell ref="AA5:AA6"/>
    <mergeCell ref="AB5:AB6"/>
    <mergeCell ref="AC5:AC6"/>
    <mergeCell ref="AD5:AD6"/>
    <mergeCell ref="B45:B46"/>
    <mergeCell ref="E45:E46"/>
    <mergeCell ref="F45:F46"/>
    <mergeCell ref="G45:G46"/>
    <mergeCell ref="H45:H46"/>
    <mergeCell ref="B60:B61"/>
    <mergeCell ref="E60:E61"/>
    <mergeCell ref="F60:F61"/>
    <mergeCell ref="G60:G61"/>
    <mergeCell ref="H60:H61"/>
    <mergeCell ref="Z140:Z141"/>
    <mergeCell ref="AA140:AA141"/>
    <mergeCell ref="AB140:AB141"/>
    <mergeCell ref="AC140:AC141"/>
    <mergeCell ref="AD105:AD106"/>
    <mergeCell ref="Z105:Z106"/>
    <mergeCell ref="AA105:AA106"/>
    <mergeCell ref="AB105:AB106"/>
    <mergeCell ref="AC105:AC106"/>
    <mergeCell ref="J75:M75"/>
    <mergeCell ref="N75:O75"/>
    <mergeCell ref="J76:K76"/>
    <mergeCell ref="L76:M76"/>
    <mergeCell ref="Y140:Y141"/>
    <mergeCell ref="Y105:Y106"/>
    <mergeCell ref="B75:B76"/>
    <mergeCell ref="E75:E76"/>
    <mergeCell ref="F75:F76"/>
    <mergeCell ref="G75:G76"/>
    <mergeCell ref="H75:H76"/>
    <mergeCell ref="B90:B91"/>
    <mergeCell ref="E90:E91"/>
    <mergeCell ref="F90:F91"/>
    <mergeCell ref="G90:G91"/>
    <mergeCell ref="H90:H91"/>
    <mergeCell ref="AA211:AA212"/>
    <mergeCell ref="AB211:AB212"/>
    <mergeCell ref="AC211:AC212"/>
    <mergeCell ref="AD211:AD212"/>
    <mergeCell ref="J90:K90"/>
    <mergeCell ref="N90:O90"/>
    <mergeCell ref="S90:V90"/>
    <mergeCell ref="Y211:Y212"/>
    <mergeCell ref="Z211:Z212"/>
    <mergeCell ref="AD175:AD176"/>
    <mergeCell ref="Y175:Y176"/>
    <mergeCell ref="Z175:Z176"/>
    <mergeCell ref="AA175:AA176"/>
    <mergeCell ref="AB175:AB176"/>
    <mergeCell ref="AC175:AC176"/>
    <mergeCell ref="AD140:AD14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topLeftCell="A69" workbookViewId="0">
      <selection activeCell="N114" sqref="N114"/>
    </sheetView>
  </sheetViews>
  <sheetFormatPr baseColWidth="10" defaultColWidth="9.140625" defaultRowHeight="15"/>
  <cols>
    <col min="1" max="1" width="4.140625" style="732" customWidth="1"/>
    <col min="2" max="2" width="12.42578125" customWidth="1"/>
    <col min="3" max="4" width="10.5703125" customWidth="1"/>
    <col min="5" max="5" width="13.85546875" bestFit="1" customWidth="1"/>
    <col min="13" max="13" width="9.5703125" bestFit="1" customWidth="1"/>
    <col min="14" max="14" width="16.42578125" bestFit="1" customWidth="1"/>
    <col min="15" max="15" width="11.5703125" customWidth="1"/>
    <col min="16" max="16" width="10.85546875" customWidth="1"/>
    <col min="17" max="17" width="28.5703125" customWidth="1"/>
    <col min="18" max="18" width="11.5703125" customWidth="1"/>
    <col min="19" max="19" width="12.140625" customWidth="1"/>
    <col min="21" max="21" width="4.5703125" customWidth="1"/>
    <col min="22" max="22" width="8.5703125" customWidth="1"/>
    <col min="23" max="23" width="11" customWidth="1"/>
    <col min="24" max="24" width="10.5703125" bestFit="1" customWidth="1"/>
    <col min="33" max="33" width="12.85546875" customWidth="1"/>
    <col min="43" max="43" width="10.5703125" customWidth="1"/>
  </cols>
  <sheetData>
    <row r="1" spans="1:43" ht="36">
      <c r="A1" s="953"/>
      <c r="B1" s="900" t="s">
        <v>1395</v>
      </c>
      <c r="C1" s="724"/>
      <c r="D1" s="724"/>
      <c r="E1" s="724"/>
      <c r="F1" s="724"/>
      <c r="G1" s="724"/>
      <c r="H1" s="724"/>
      <c r="I1" s="214"/>
    </row>
    <row r="2" spans="1:43" ht="18.75">
      <c r="A2" s="723"/>
      <c r="B2" s="816"/>
      <c r="C2" s="724"/>
      <c r="D2" s="724"/>
      <c r="E2" s="724"/>
      <c r="F2" s="724"/>
      <c r="G2" s="724"/>
      <c r="H2" s="724"/>
      <c r="I2" s="214"/>
    </row>
    <row r="3" spans="1:43" ht="12.75" customHeight="1">
      <c r="A3" s="725"/>
      <c r="B3" s="2307" t="s">
        <v>1150</v>
      </c>
      <c r="C3" s="2307"/>
      <c r="D3" s="2307"/>
      <c r="E3" s="2307"/>
      <c r="F3" s="2307"/>
      <c r="G3" s="2307"/>
      <c r="H3" s="2307"/>
      <c r="I3" s="2307"/>
      <c r="J3" s="2307"/>
      <c r="K3" s="2307"/>
      <c r="L3" s="2307"/>
      <c r="M3" s="2307"/>
      <c r="N3" s="2307"/>
      <c r="O3" s="2307"/>
      <c r="P3" s="2307"/>
      <c r="Q3" s="2307"/>
      <c r="R3" s="2307"/>
      <c r="S3" s="2307"/>
      <c r="T3" s="2307"/>
      <c r="U3" s="2307"/>
      <c r="V3" s="2307"/>
      <c r="W3" s="2307"/>
      <c r="X3" s="2307"/>
      <c r="Y3" s="2307"/>
      <c r="Z3" s="2307"/>
    </row>
    <row r="4" spans="1:43" ht="12.75" customHeight="1">
      <c r="A4" s="725"/>
      <c r="B4" s="749"/>
      <c r="C4" s="749"/>
      <c r="D4" s="749"/>
      <c r="E4" s="749"/>
      <c r="F4" s="749"/>
      <c r="G4" s="749"/>
      <c r="H4" s="749"/>
      <c r="I4" s="749"/>
      <c r="J4" s="749"/>
      <c r="K4" s="749"/>
      <c r="L4" s="744"/>
    </row>
    <row r="5" spans="1:43" ht="27" customHeight="1" thickBot="1">
      <c r="A5" s="725"/>
      <c r="B5" s="771" t="s">
        <v>1134</v>
      </c>
      <c r="C5" s="770"/>
      <c r="D5" s="770"/>
      <c r="E5" s="770"/>
      <c r="F5" s="770"/>
      <c r="G5" s="770"/>
      <c r="H5" s="770"/>
      <c r="I5" s="770"/>
      <c r="J5" s="770"/>
      <c r="K5" s="770"/>
      <c r="L5" s="744"/>
      <c r="N5" s="771" t="s">
        <v>1144</v>
      </c>
      <c r="O5" s="815"/>
      <c r="P5" s="815"/>
      <c r="Q5" s="815"/>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c r="AQ5" s="658"/>
    </row>
    <row r="6" spans="1:43" ht="12.75" customHeight="1">
      <c r="A6" s="725"/>
      <c r="B6" s="749"/>
      <c r="C6" s="749"/>
      <c r="D6" s="749"/>
      <c r="E6" s="749"/>
      <c r="F6" s="749"/>
      <c r="G6" s="749"/>
      <c r="H6" s="749"/>
      <c r="I6" s="749"/>
      <c r="J6" s="749"/>
      <c r="K6" s="749"/>
      <c r="L6" s="744"/>
      <c r="N6" s="754" t="s">
        <v>1145</v>
      </c>
      <c r="O6" s="755" t="s">
        <v>1146</v>
      </c>
      <c r="P6" s="814" t="s">
        <v>996</v>
      </c>
      <c r="Q6" s="755"/>
      <c r="R6" s="755" t="s">
        <v>1140</v>
      </c>
      <c r="S6" s="756"/>
      <c r="T6" s="757">
        <v>0</v>
      </c>
      <c r="U6" s="758" t="s">
        <v>1007</v>
      </c>
    </row>
    <row r="7" spans="1:43" ht="15.75" thickBot="1">
      <c r="B7" s="2305" t="s">
        <v>1149</v>
      </c>
      <c r="C7" s="2305"/>
      <c r="D7" s="2305"/>
      <c r="E7" s="2305"/>
      <c r="F7" s="2305"/>
      <c r="G7" s="2305"/>
      <c r="H7" s="2305"/>
      <c r="I7" s="2305"/>
      <c r="J7" s="2305"/>
      <c r="K7" s="2305"/>
      <c r="N7" s="759"/>
      <c r="O7" s="760" t="s">
        <v>562</v>
      </c>
      <c r="P7" s="841" t="s">
        <v>603</v>
      </c>
      <c r="Q7" s="760"/>
      <c r="R7" s="761" t="s">
        <v>1147</v>
      </c>
      <c r="S7" s="761"/>
      <c r="T7" s="762">
        <f>Hypothèses!D223</f>
        <v>18.333333333333332</v>
      </c>
      <c r="U7" s="763" t="s">
        <v>16</v>
      </c>
    </row>
    <row r="8" spans="1:43">
      <c r="B8" t="s">
        <v>1063</v>
      </c>
      <c r="C8" t="s">
        <v>1064</v>
      </c>
      <c r="E8" s="733">
        <f>E9-2*CONVERT(Hypothèses!D231,"in","mm")</f>
        <v>98.551999999999992</v>
      </c>
      <c r="F8" t="s">
        <v>1006</v>
      </c>
      <c r="N8" s="741"/>
      <c r="O8" s="741"/>
      <c r="P8" s="741"/>
      <c r="Q8" s="741"/>
      <c r="T8" s="160"/>
    </row>
    <row r="9" spans="1:43">
      <c r="C9" t="s">
        <v>1209</v>
      </c>
      <c r="E9" s="767">
        <v>101.6</v>
      </c>
      <c r="F9" t="s">
        <v>1006</v>
      </c>
      <c r="N9" s="2295" t="s">
        <v>1211</v>
      </c>
      <c r="O9" s="2295"/>
      <c r="P9" s="2295"/>
      <c r="Q9" s="2295"/>
      <c r="R9" s="2295"/>
      <c r="S9" s="2295"/>
      <c r="T9" s="2295"/>
      <c r="U9" s="2295"/>
      <c r="V9" s="2295"/>
      <c r="W9" s="2295"/>
      <c r="X9" s="2295"/>
      <c r="Y9" s="2295"/>
      <c r="Z9" s="2295"/>
      <c r="AA9" s="2295"/>
      <c r="AB9" s="2295"/>
      <c r="AC9" s="2295"/>
      <c r="AD9" s="2295"/>
      <c r="AE9" s="2295"/>
      <c r="AF9" s="2295"/>
      <c r="AG9" s="2295"/>
      <c r="AH9" s="2295"/>
      <c r="AI9" s="2295"/>
      <c r="AJ9" s="2295"/>
      <c r="AK9" s="2295"/>
      <c r="AL9" s="2295"/>
      <c r="AM9" s="2295"/>
      <c r="AN9" s="2295"/>
      <c r="AO9" s="2295"/>
      <c r="AP9" s="2295"/>
      <c r="AQ9" s="2295"/>
    </row>
    <row r="10" spans="1:43">
      <c r="B10" t="s">
        <v>1066</v>
      </c>
      <c r="E10" s="767">
        <v>93.333333333333329</v>
      </c>
      <c r="F10" t="s">
        <v>1056</v>
      </c>
      <c r="N10" s="2297" t="s">
        <v>1136</v>
      </c>
      <c r="O10" s="842" t="s">
        <v>1157</v>
      </c>
      <c r="P10" s="842" t="s">
        <v>1138</v>
      </c>
      <c r="Q10" s="2297" t="s">
        <v>1148</v>
      </c>
      <c r="R10" s="842" t="s">
        <v>1203</v>
      </c>
      <c r="S10" s="842" t="s">
        <v>1135</v>
      </c>
      <c r="W10" s="2304" t="s">
        <v>1193</v>
      </c>
      <c r="X10" s="2304"/>
      <c r="Y10" s="2304"/>
      <c r="Z10" s="2304"/>
      <c r="AA10" s="2304"/>
      <c r="AB10" s="2304"/>
      <c r="AC10" s="2304"/>
      <c r="AD10" s="2304"/>
      <c r="AE10" s="2304"/>
      <c r="AF10" s="2304"/>
      <c r="AG10" s="2304"/>
      <c r="AH10" s="2304"/>
      <c r="AI10" s="2304"/>
      <c r="AJ10" s="2304"/>
      <c r="AK10" s="2304"/>
      <c r="AL10" s="2304"/>
      <c r="AM10" s="2304"/>
      <c r="AN10" s="2304"/>
      <c r="AO10" s="2304"/>
      <c r="AP10" s="2304"/>
      <c r="AQ10" s="2304"/>
    </row>
    <row r="11" spans="1:43">
      <c r="B11" t="s">
        <v>1067</v>
      </c>
      <c r="E11" s="738">
        <f>T7</f>
        <v>18.333333333333332</v>
      </c>
      <c r="F11" t="s">
        <v>1056</v>
      </c>
      <c r="N11" s="2298"/>
      <c r="O11" s="843" t="s">
        <v>1141</v>
      </c>
      <c r="P11" s="843" t="s">
        <v>1142</v>
      </c>
      <c r="Q11" s="2298"/>
      <c r="R11" s="844" t="s">
        <v>1158</v>
      </c>
      <c r="S11" s="843" t="s">
        <v>1212</v>
      </c>
      <c r="W11" s="2300" t="s">
        <v>985</v>
      </c>
      <c r="X11" s="2300"/>
      <c r="Y11" s="2300"/>
      <c r="Z11" s="2300"/>
      <c r="AA11" s="2300"/>
      <c r="AB11" s="2300"/>
      <c r="AC11" s="2300"/>
      <c r="AD11" s="2300"/>
      <c r="AE11" s="2300"/>
      <c r="AF11" s="2300"/>
      <c r="AG11" s="2300"/>
      <c r="AH11" s="2300"/>
      <c r="AI11" s="2300"/>
      <c r="AJ11" s="2300"/>
      <c r="AK11" s="2300"/>
      <c r="AL11" s="2300"/>
      <c r="AM11" s="2300"/>
      <c r="AN11" s="2300"/>
      <c r="AO11" s="2300"/>
      <c r="AP11" s="2300"/>
      <c r="AQ11" s="2301" t="s">
        <v>1479</v>
      </c>
    </row>
    <row r="12" spans="1:43" ht="15.75" thickBot="1">
      <c r="B12" t="s">
        <v>1068</v>
      </c>
      <c r="E12" s="738">
        <f>T6</f>
        <v>0</v>
      </c>
      <c r="F12" t="s">
        <v>1007</v>
      </c>
      <c r="N12" s="22" t="e" cm="1" vm="2">
        <f t="array" ref="N12">_xlfn._xlws.FILTER(Isolation!$B$7:$E$26,Isolation!$E$7:$E$26='Isolation - CAS 1'!P6)</f>
        <v>#VALUE!</v>
      </c>
      <c r="O12" s="22"/>
      <c r="P12" s="22"/>
      <c r="Q12" s="22"/>
      <c r="R12" s="837" t="e">
        <f>VLOOKUP(O12,Hypothèses!$C$265:$E$285,3)</f>
        <v>#N/A</v>
      </c>
      <c r="S12" s="823" t="e" vm="1">
        <f>IF(N12="","",AQ13)</f>
        <v>#VALUE!</v>
      </c>
      <c r="V12" s="733">
        <f>$E$30</f>
        <v>253.39403545941445</v>
      </c>
      <c r="W12" s="818" cm="1">
        <f t="array" ref="W12:AP12">TRANSPOSE(P12:P31)</f>
        <v>0</v>
      </c>
      <c r="X12" s="818">
        <v>0</v>
      </c>
      <c r="Y12" s="818">
        <v>0</v>
      </c>
      <c r="Z12" s="818">
        <v>0</v>
      </c>
      <c r="AA12" s="818">
        <v>0</v>
      </c>
      <c r="AB12" s="818">
        <v>0</v>
      </c>
      <c r="AC12" s="818">
        <v>0</v>
      </c>
      <c r="AD12" s="818">
        <v>0</v>
      </c>
      <c r="AE12" s="818">
        <v>0</v>
      </c>
      <c r="AF12" s="818">
        <v>0</v>
      </c>
      <c r="AG12" s="818">
        <v>0</v>
      </c>
      <c r="AH12" s="818">
        <v>0</v>
      </c>
      <c r="AI12" s="818">
        <v>0</v>
      </c>
      <c r="AJ12" s="818">
        <v>0</v>
      </c>
      <c r="AK12" s="818">
        <v>0</v>
      </c>
      <c r="AL12" s="818">
        <v>0</v>
      </c>
      <c r="AM12" s="818">
        <v>0</v>
      </c>
      <c r="AN12" s="818">
        <v>0</v>
      </c>
      <c r="AO12" s="818">
        <v>0</v>
      </c>
      <c r="AP12" s="818">
        <v>0</v>
      </c>
      <c r="AQ12" s="2301"/>
    </row>
    <row r="13" spans="1:43">
      <c r="N13" s="22"/>
      <c r="O13" s="22"/>
      <c r="P13" s="22"/>
      <c r="Q13" s="22"/>
      <c r="R13" s="837" t="e">
        <f>VLOOKUP(O13,Hypothèses!$C$265:$E$285,3)</f>
        <v>#N/A</v>
      </c>
      <c r="S13" s="823" t="str">
        <f t="shared" ref="S13:S31" si="0">IF(N13="","",AQ14)</f>
        <v/>
      </c>
      <c r="U13" s="2306" t="s">
        <v>1204</v>
      </c>
      <c r="V13" s="817" t="e">
        <f>R12</f>
        <v>#N/A</v>
      </c>
      <c r="W13" s="454"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838" t="e" cm="1">
        <f t="array" ref="AQ13">INDEX(W13:AP13,ROWS($1:1))</f>
        <v>#N/A</v>
      </c>
    </row>
    <row r="14" spans="1:43">
      <c r="B14" t="s">
        <v>404</v>
      </c>
      <c r="N14" s="22"/>
      <c r="O14" s="22"/>
      <c r="P14" s="22"/>
      <c r="Q14" s="22"/>
      <c r="R14" s="837" t="e">
        <f>VLOOKUP(O14,Hypothèses!$C$265:$E$285,3)</f>
        <v>#N/A</v>
      </c>
      <c r="S14" s="823" t="str">
        <f t="shared" si="0"/>
        <v/>
      </c>
      <c r="U14" s="2306"/>
      <c r="V14" s="817" t="e">
        <f t="shared" ref="V14:V32" si="1">R13</f>
        <v>#N/A</v>
      </c>
      <c r="W14" t="e">
        <v>#N/A</v>
      </c>
      <c r="X14" s="454"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69" t="e" cm="1">
        <f t="array" ref="AQ14">INDEX(W14:AP14,ROWS($1:2))</f>
        <v>#N/A</v>
      </c>
    </row>
    <row r="15" spans="1:43">
      <c r="B15" t="s">
        <v>1008</v>
      </c>
      <c r="E15" s="740" t="s">
        <v>1009</v>
      </c>
      <c r="M15" s="724"/>
      <c r="N15" s="824"/>
      <c r="O15" s="824"/>
      <c r="P15" s="824"/>
      <c r="Q15" s="824"/>
      <c r="R15" s="837" t="e">
        <f>VLOOKUP(O15,Hypothèses!$C$265:$E$285,3)</f>
        <v>#N/A</v>
      </c>
      <c r="S15" s="823" t="str">
        <f t="shared" si="0"/>
        <v/>
      </c>
      <c r="U15" s="2306"/>
      <c r="V15" s="817" t="e">
        <f t="shared" si="1"/>
        <v>#N/A</v>
      </c>
      <c r="W15" t="e">
        <v>#N/A</v>
      </c>
      <c r="X15" t="e">
        <v>#N/A</v>
      </c>
      <c r="Y15" s="454"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69" t="e" cm="1">
        <f t="array" ref="AQ15">INDEX(W15:AP15,ROWS($1:3))</f>
        <v>#N/A</v>
      </c>
    </row>
    <row r="16" spans="1:43">
      <c r="B16" t="s">
        <v>1069</v>
      </c>
      <c r="E16">
        <v>0.9</v>
      </c>
      <c r="M16" s="160"/>
      <c r="N16" s="825"/>
      <c r="O16" s="825"/>
      <c r="P16" s="825"/>
      <c r="Q16" s="825"/>
      <c r="R16" s="837" t="e">
        <f>VLOOKUP(O16,Hypothèses!$C$265:$E$285,3)</f>
        <v>#N/A</v>
      </c>
      <c r="S16" s="823" t="str">
        <f t="shared" si="0"/>
        <v/>
      </c>
      <c r="U16" s="2306"/>
      <c r="V16" s="817" t="e">
        <f t="shared" si="1"/>
        <v>#N/A</v>
      </c>
      <c r="W16" t="e">
        <v>#N/A</v>
      </c>
      <c r="X16" t="e">
        <v>#N/A</v>
      </c>
      <c r="Y16" t="e">
        <v>#N/A</v>
      </c>
      <c r="Z16" s="454"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69" t="e" cm="1">
        <f t="array" ref="AQ16">INDEX(W16:AP16,ROWS($1:4))</f>
        <v>#N/A</v>
      </c>
    </row>
    <row r="17" spans="2:43">
      <c r="B17" t="s">
        <v>1070</v>
      </c>
      <c r="E17" s="739">
        <f>CONVERT(Hypothèses!D234,"in","mm")</f>
        <v>25.4</v>
      </c>
      <c r="F17" t="s">
        <v>1006</v>
      </c>
      <c r="M17" s="160"/>
      <c r="N17" s="824"/>
      <c r="O17" s="824"/>
      <c r="P17" s="824"/>
      <c r="Q17" s="824"/>
      <c r="R17" s="837" t="e">
        <f>VLOOKUP(O17,Hypothèses!$C$265:$E$285,3)</f>
        <v>#N/A</v>
      </c>
      <c r="S17" s="823" t="str">
        <f t="shared" si="0"/>
        <v/>
      </c>
      <c r="U17" s="2306"/>
      <c r="V17" s="817" t="e">
        <f t="shared" si="1"/>
        <v>#N/A</v>
      </c>
      <c r="W17" t="e">
        <v>#N/A</v>
      </c>
      <c r="X17" t="e">
        <v>#N/A</v>
      </c>
      <c r="Y17" t="e">
        <v>#N/A</v>
      </c>
      <c r="Z17" t="e">
        <v>#N/A</v>
      </c>
      <c r="AA17" s="454"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69" t="e" cm="1">
        <f t="array" ref="AQ17">INDEX(W17:AP17,ROWS($1:5))</f>
        <v>#N/A</v>
      </c>
    </row>
    <row r="18" spans="2:43">
      <c r="B18" t="s">
        <v>1065</v>
      </c>
      <c r="D18" t="s">
        <v>1400</v>
      </c>
      <c r="E18">
        <f>E9+2*E17</f>
        <v>152.39999999999998</v>
      </c>
      <c r="F18" t="s">
        <v>1006</v>
      </c>
      <c r="M18" s="160"/>
      <c r="N18" s="826"/>
      <c r="O18" s="826"/>
      <c r="P18" s="826"/>
      <c r="Q18" s="826"/>
      <c r="R18" s="837" t="e">
        <f>VLOOKUP(O18,Hypothèses!$C$265:$E$285,3)</f>
        <v>#N/A</v>
      </c>
      <c r="S18" s="823" t="str">
        <f t="shared" si="0"/>
        <v/>
      </c>
      <c r="U18" s="2306"/>
      <c r="V18" s="817" t="e">
        <f t="shared" si="1"/>
        <v>#N/A</v>
      </c>
      <c r="W18" t="e">
        <v>#N/A</v>
      </c>
      <c r="X18" t="e">
        <v>#N/A</v>
      </c>
      <c r="Y18" t="e">
        <v>#N/A</v>
      </c>
      <c r="Z18" t="e">
        <v>#N/A</v>
      </c>
      <c r="AA18" t="e">
        <v>#N/A</v>
      </c>
      <c r="AB18" s="454" t="e">
        <v>#N/A</v>
      </c>
      <c r="AC18" t="e">
        <v>#N/A</v>
      </c>
      <c r="AD18" t="e">
        <v>#N/A</v>
      </c>
      <c r="AE18" t="e">
        <v>#N/A</v>
      </c>
      <c r="AF18" t="e">
        <v>#N/A</v>
      </c>
      <c r="AG18" t="e">
        <v>#N/A</v>
      </c>
      <c r="AH18" t="e">
        <v>#N/A</v>
      </c>
      <c r="AI18" t="e">
        <v>#N/A</v>
      </c>
      <c r="AJ18" t="e">
        <v>#N/A</v>
      </c>
      <c r="AK18" t="e">
        <v>#N/A</v>
      </c>
      <c r="AL18" t="e">
        <v>#N/A</v>
      </c>
      <c r="AM18" t="e">
        <v>#N/A</v>
      </c>
      <c r="AN18" t="e">
        <v>#N/A</v>
      </c>
      <c r="AO18" t="e">
        <v>#N/A</v>
      </c>
      <c r="AP18" t="e">
        <v>#N/A</v>
      </c>
      <c r="AQ18" s="769" t="e" cm="1">
        <f t="array" ref="AQ18">INDEX(W18:AP18,ROWS($1:6))</f>
        <v>#N/A</v>
      </c>
    </row>
    <row r="19" spans="2:43">
      <c r="N19" s="827"/>
      <c r="O19" s="827"/>
      <c r="P19" s="827"/>
      <c r="Q19" s="827"/>
      <c r="R19" s="837" t="e">
        <f>VLOOKUP(O19,Hypothèses!$C$265:$E$285,3)</f>
        <v>#N/A</v>
      </c>
      <c r="S19" s="823" t="str">
        <f t="shared" si="0"/>
        <v/>
      </c>
      <c r="U19" s="2306"/>
      <c r="V19" s="817" t="e">
        <f t="shared" si="1"/>
        <v>#N/A</v>
      </c>
      <c r="W19" t="e">
        <v>#N/A</v>
      </c>
      <c r="X19" t="e">
        <v>#N/A</v>
      </c>
      <c r="Y19" t="e">
        <v>#N/A</v>
      </c>
      <c r="Z19" t="e">
        <v>#N/A</v>
      </c>
      <c r="AA19" t="e">
        <v>#N/A</v>
      </c>
      <c r="AB19" t="e">
        <v>#N/A</v>
      </c>
      <c r="AC19" s="454" t="e">
        <v>#N/A</v>
      </c>
      <c r="AD19" t="e">
        <v>#N/A</v>
      </c>
      <c r="AE19" t="e">
        <v>#N/A</v>
      </c>
      <c r="AF19" t="e">
        <v>#N/A</v>
      </c>
      <c r="AG19" t="e">
        <v>#N/A</v>
      </c>
      <c r="AH19" t="e">
        <v>#N/A</v>
      </c>
      <c r="AI19" t="e">
        <v>#N/A</v>
      </c>
      <c r="AJ19" t="e">
        <v>#N/A</v>
      </c>
      <c r="AK19" t="e">
        <v>#N/A</v>
      </c>
      <c r="AL19" t="e">
        <v>#N/A</v>
      </c>
      <c r="AM19" t="e">
        <v>#N/A</v>
      </c>
      <c r="AN19" t="e">
        <v>#N/A</v>
      </c>
      <c r="AO19" t="e">
        <v>#N/A</v>
      </c>
      <c r="AP19" t="e">
        <v>#N/A</v>
      </c>
      <c r="AQ19" s="769" t="e" cm="1">
        <f t="array" ref="AQ19">INDEX(W19:AP19,ROWS($1:7))</f>
        <v>#N/A</v>
      </c>
    </row>
    <row r="20" spans="2:43">
      <c r="J20" s="733"/>
      <c r="N20" s="824"/>
      <c r="O20" s="824"/>
      <c r="P20" s="824"/>
      <c r="Q20" s="824"/>
      <c r="R20" s="837" t="e">
        <f>VLOOKUP(O20,Hypothèses!$C$265:$E$285,3)</f>
        <v>#N/A</v>
      </c>
      <c r="S20" s="823" t="str">
        <f t="shared" si="0"/>
        <v/>
      </c>
      <c r="U20" s="2306"/>
      <c r="V20" s="817" t="e">
        <f t="shared" si="1"/>
        <v>#N/A</v>
      </c>
      <c r="W20" t="e">
        <v>#N/A</v>
      </c>
      <c r="X20" t="e">
        <v>#N/A</v>
      </c>
      <c r="Y20" t="e">
        <v>#N/A</v>
      </c>
      <c r="Z20" t="e">
        <v>#N/A</v>
      </c>
      <c r="AA20" t="e">
        <v>#N/A</v>
      </c>
      <c r="AB20" t="e">
        <v>#N/A</v>
      </c>
      <c r="AC20" t="e">
        <v>#N/A</v>
      </c>
      <c r="AD20" s="454" t="e">
        <v>#N/A</v>
      </c>
      <c r="AE20" t="e">
        <v>#N/A</v>
      </c>
      <c r="AF20" t="e">
        <v>#N/A</v>
      </c>
      <c r="AG20" t="e">
        <v>#N/A</v>
      </c>
      <c r="AH20" t="e">
        <v>#N/A</v>
      </c>
      <c r="AI20" t="e">
        <v>#N/A</v>
      </c>
      <c r="AJ20" t="e">
        <v>#N/A</v>
      </c>
      <c r="AK20" t="e">
        <v>#N/A</v>
      </c>
      <c r="AL20" t="e">
        <v>#N/A</v>
      </c>
      <c r="AM20" t="e">
        <v>#N/A</v>
      </c>
      <c r="AN20" t="e">
        <v>#N/A</v>
      </c>
      <c r="AO20" t="e">
        <v>#N/A</v>
      </c>
      <c r="AP20" t="e">
        <v>#N/A</v>
      </c>
      <c r="AQ20" s="769" t="e" cm="1">
        <f t="array" ref="AQ20">INDEX(W20:AP20,ROWS($1:8))</f>
        <v>#N/A</v>
      </c>
    </row>
    <row r="21" spans="2:43">
      <c r="B21" s="2305" t="s">
        <v>228</v>
      </c>
      <c r="C21" s="2305"/>
      <c r="D21" s="2305"/>
      <c r="E21" s="2305"/>
      <c r="F21" s="2305"/>
      <c r="G21" s="2305"/>
      <c r="H21" s="2305"/>
      <c r="I21" s="2305"/>
      <c r="J21" s="2305"/>
      <c r="K21" s="2305"/>
      <c r="N21" s="825"/>
      <c r="O21" s="825"/>
      <c r="P21" s="825"/>
      <c r="Q21" s="825"/>
      <c r="R21" s="837" t="e">
        <f>VLOOKUP(O21,Hypothèses!$C$265:$E$285,3)</f>
        <v>#N/A</v>
      </c>
      <c r="S21" s="823" t="str">
        <f t="shared" si="0"/>
        <v/>
      </c>
      <c r="U21" s="2306"/>
      <c r="V21" s="817" t="e">
        <f t="shared" si="1"/>
        <v>#N/A</v>
      </c>
      <c r="W21" t="e">
        <v>#N/A</v>
      </c>
      <c r="X21" t="e">
        <v>#N/A</v>
      </c>
      <c r="Y21" t="e">
        <v>#N/A</v>
      </c>
      <c r="Z21" t="e">
        <v>#N/A</v>
      </c>
      <c r="AA21" t="e">
        <v>#N/A</v>
      </c>
      <c r="AB21" t="e">
        <v>#N/A</v>
      </c>
      <c r="AC21" t="e">
        <v>#N/A</v>
      </c>
      <c r="AD21" t="e">
        <v>#N/A</v>
      </c>
      <c r="AE21" s="454" t="e">
        <v>#N/A</v>
      </c>
      <c r="AF21" t="e">
        <v>#N/A</v>
      </c>
      <c r="AG21" t="e">
        <v>#N/A</v>
      </c>
      <c r="AH21" t="e">
        <v>#N/A</v>
      </c>
      <c r="AI21" t="e">
        <v>#N/A</v>
      </c>
      <c r="AJ21" t="e">
        <v>#N/A</v>
      </c>
      <c r="AK21" t="e">
        <v>#N/A</v>
      </c>
      <c r="AL21" t="e">
        <v>#N/A</v>
      </c>
      <c r="AM21" t="e">
        <v>#N/A</v>
      </c>
      <c r="AN21" t="e">
        <v>#N/A</v>
      </c>
      <c r="AO21" t="e">
        <v>#N/A</v>
      </c>
      <c r="AP21" t="e">
        <v>#N/A</v>
      </c>
      <c r="AQ21" s="769" t="e" cm="1">
        <f t="array" ref="AQ21">INDEX(W21:AP21,ROWS($1:9))</f>
        <v>#N/A</v>
      </c>
    </row>
    <row r="22" spans="2:43">
      <c r="B22" s="734" t="s">
        <v>1071</v>
      </c>
      <c r="J22" s="733"/>
      <c r="N22" s="22"/>
      <c r="O22" s="22"/>
      <c r="P22" s="22"/>
      <c r="Q22" s="22"/>
      <c r="R22" s="837" t="e">
        <f>VLOOKUP(O22,Hypothèses!$C$265:$E$285,3)</f>
        <v>#N/A</v>
      </c>
      <c r="S22" s="823" t="str">
        <f t="shared" si="0"/>
        <v/>
      </c>
      <c r="U22" s="2306"/>
      <c r="V22" s="817" t="e">
        <f t="shared" si="1"/>
        <v>#N/A</v>
      </c>
      <c r="W22" t="e">
        <v>#N/A</v>
      </c>
      <c r="X22" t="e">
        <v>#N/A</v>
      </c>
      <c r="Y22" t="e">
        <v>#N/A</v>
      </c>
      <c r="Z22" t="e">
        <v>#N/A</v>
      </c>
      <c r="AA22" t="e">
        <v>#N/A</v>
      </c>
      <c r="AB22" t="e">
        <v>#N/A</v>
      </c>
      <c r="AC22" t="e">
        <v>#N/A</v>
      </c>
      <c r="AD22" t="e">
        <v>#N/A</v>
      </c>
      <c r="AE22" t="e">
        <v>#N/A</v>
      </c>
      <c r="AF22" s="454" t="e">
        <v>#N/A</v>
      </c>
      <c r="AG22" t="e">
        <v>#N/A</v>
      </c>
      <c r="AH22" t="e">
        <v>#N/A</v>
      </c>
      <c r="AI22" t="e">
        <v>#N/A</v>
      </c>
      <c r="AJ22" t="e">
        <v>#N/A</v>
      </c>
      <c r="AK22" t="e">
        <v>#N/A</v>
      </c>
      <c r="AL22" t="e">
        <v>#N/A</v>
      </c>
      <c r="AM22" t="e">
        <v>#N/A</v>
      </c>
      <c r="AN22" t="e">
        <v>#N/A</v>
      </c>
      <c r="AO22" t="e">
        <v>#N/A</v>
      </c>
      <c r="AP22" t="e">
        <v>#N/A</v>
      </c>
      <c r="AQ22" s="769" t="e" cm="1">
        <f t="array" ref="AQ22">INDEX(W22:AP22,ROWS($1:10))</f>
        <v>#N/A</v>
      </c>
    </row>
    <row r="23" spans="2:43">
      <c r="B23" s="7" t="s">
        <v>1072</v>
      </c>
      <c r="E23" s="733">
        <f>K73</f>
        <v>30.855997740112066</v>
      </c>
      <c r="F23" t="s">
        <v>1056</v>
      </c>
      <c r="J23" s="733"/>
      <c r="N23" s="22"/>
      <c r="O23" s="22"/>
      <c r="P23" s="22"/>
      <c r="Q23" s="22"/>
      <c r="R23" s="837" t="e">
        <f>VLOOKUP(O23,Hypothèses!$C$265:$E$285,3)</f>
        <v>#N/A</v>
      </c>
      <c r="S23" s="823" t="str">
        <f t="shared" si="0"/>
        <v/>
      </c>
      <c r="U23" s="2306"/>
      <c r="V23" s="817" t="e">
        <f t="shared" si="1"/>
        <v>#N/A</v>
      </c>
      <c r="W23" t="e">
        <v>#N/A</v>
      </c>
      <c r="X23" t="e">
        <v>#N/A</v>
      </c>
      <c r="Y23" t="e">
        <v>#N/A</v>
      </c>
      <c r="Z23" t="e">
        <v>#N/A</v>
      </c>
      <c r="AA23" t="e">
        <v>#N/A</v>
      </c>
      <c r="AB23" t="e">
        <v>#N/A</v>
      </c>
      <c r="AC23" t="e">
        <v>#N/A</v>
      </c>
      <c r="AD23" t="e">
        <v>#N/A</v>
      </c>
      <c r="AE23" t="e">
        <v>#N/A</v>
      </c>
      <c r="AF23" t="e">
        <v>#N/A</v>
      </c>
      <c r="AG23" s="454" t="e">
        <v>#N/A</v>
      </c>
      <c r="AH23" t="e">
        <v>#N/A</v>
      </c>
      <c r="AI23" t="e">
        <v>#N/A</v>
      </c>
      <c r="AJ23" t="e">
        <v>#N/A</v>
      </c>
      <c r="AK23" t="e">
        <v>#N/A</v>
      </c>
      <c r="AL23" t="e">
        <v>#N/A</v>
      </c>
      <c r="AM23" t="e">
        <v>#N/A</v>
      </c>
      <c r="AN23" t="e">
        <v>#N/A</v>
      </c>
      <c r="AO23" t="e">
        <v>#N/A</v>
      </c>
      <c r="AP23" t="e">
        <v>#N/A</v>
      </c>
      <c r="AQ23" s="769" t="e" cm="1">
        <f t="array" ref="AQ23">INDEX(W23:AP23,ROWS($1:11))</f>
        <v>#N/A</v>
      </c>
    </row>
    <row r="24" spans="2:43">
      <c r="B24" t="s">
        <v>1073</v>
      </c>
      <c r="E24" s="733">
        <f>K74</f>
        <v>54.78535634837958</v>
      </c>
      <c r="F24" t="s">
        <v>1010</v>
      </c>
      <c r="J24" s="733"/>
      <c r="N24" s="22"/>
      <c r="O24" s="22"/>
      <c r="P24" s="22"/>
      <c r="Q24" s="22"/>
      <c r="R24" s="837" t="e">
        <f>VLOOKUP(O24,Hypothèses!$C$265:$E$285,3)</f>
        <v>#N/A</v>
      </c>
      <c r="S24" s="823" t="str">
        <f t="shared" si="0"/>
        <v/>
      </c>
      <c r="U24" s="2306"/>
      <c r="V24" s="817" t="e">
        <f t="shared" si="1"/>
        <v>#N/A</v>
      </c>
      <c r="W24" t="e">
        <v>#N/A</v>
      </c>
      <c r="X24" t="e">
        <v>#N/A</v>
      </c>
      <c r="Y24" t="e">
        <v>#N/A</v>
      </c>
      <c r="Z24" t="e">
        <v>#N/A</v>
      </c>
      <c r="AA24" t="e">
        <v>#N/A</v>
      </c>
      <c r="AB24" t="e">
        <v>#N/A</v>
      </c>
      <c r="AC24" t="e">
        <v>#N/A</v>
      </c>
      <c r="AD24" t="e">
        <v>#N/A</v>
      </c>
      <c r="AE24" t="e">
        <v>#N/A</v>
      </c>
      <c r="AF24" t="e">
        <v>#N/A</v>
      </c>
      <c r="AG24" t="e">
        <v>#N/A</v>
      </c>
      <c r="AH24" s="454" t="e">
        <v>#N/A</v>
      </c>
      <c r="AI24" t="e">
        <v>#N/A</v>
      </c>
      <c r="AJ24" t="e">
        <v>#N/A</v>
      </c>
      <c r="AK24" t="e">
        <v>#N/A</v>
      </c>
      <c r="AL24" t="e">
        <v>#N/A</v>
      </c>
      <c r="AM24" t="e">
        <v>#N/A</v>
      </c>
      <c r="AN24" t="e">
        <v>#N/A</v>
      </c>
      <c r="AO24" t="e">
        <v>#N/A</v>
      </c>
      <c r="AP24" t="e">
        <v>#N/A</v>
      </c>
      <c r="AQ24" s="769" t="e" cm="1">
        <f t="array" ref="AQ24">INDEX(W24:AP24,ROWS($1:12))</f>
        <v>#N/A</v>
      </c>
    </row>
    <row r="25" spans="2:43">
      <c r="B25" s="734" t="s">
        <v>1074</v>
      </c>
      <c r="E25" s="733"/>
      <c r="J25" s="733"/>
      <c r="N25" s="827"/>
      <c r="O25" s="827"/>
      <c r="P25" s="827"/>
      <c r="Q25" s="827"/>
      <c r="R25" s="837" t="e">
        <f>VLOOKUP(O25,Hypothèses!$C$265:$E$285,3)</f>
        <v>#N/A</v>
      </c>
      <c r="S25" s="823" t="str">
        <f t="shared" si="0"/>
        <v/>
      </c>
      <c r="U25" s="2306"/>
      <c r="V25" s="817" t="e">
        <f t="shared" si="1"/>
        <v>#N/A</v>
      </c>
      <c r="W25" t="e">
        <v>#N/A</v>
      </c>
      <c r="X25" t="e">
        <v>#N/A</v>
      </c>
      <c r="Y25" t="e">
        <v>#N/A</v>
      </c>
      <c r="Z25" t="e">
        <v>#N/A</v>
      </c>
      <c r="AA25" t="e">
        <v>#N/A</v>
      </c>
      <c r="AB25" t="e">
        <v>#N/A</v>
      </c>
      <c r="AC25" t="e">
        <v>#N/A</v>
      </c>
      <c r="AD25" t="e">
        <v>#N/A</v>
      </c>
      <c r="AE25" t="e">
        <v>#N/A</v>
      </c>
      <c r="AF25" t="e">
        <v>#N/A</v>
      </c>
      <c r="AG25" t="e">
        <v>#N/A</v>
      </c>
      <c r="AH25" t="e">
        <v>#N/A</v>
      </c>
      <c r="AI25" s="454" t="e">
        <v>#N/A</v>
      </c>
      <c r="AJ25" t="e">
        <v>#N/A</v>
      </c>
      <c r="AK25" t="e">
        <v>#N/A</v>
      </c>
      <c r="AL25" t="e">
        <v>#N/A</v>
      </c>
      <c r="AM25" t="e">
        <v>#N/A</v>
      </c>
      <c r="AN25" t="e">
        <v>#N/A</v>
      </c>
      <c r="AO25" t="e">
        <v>#N/A</v>
      </c>
      <c r="AP25" t="e">
        <v>#N/A</v>
      </c>
      <c r="AQ25" s="769" t="e" cm="1">
        <f t="array" ref="AQ25">INDEX(W25:AP25,ROWS($1:13))</f>
        <v>#N/A</v>
      </c>
    </row>
    <row r="26" spans="2:43">
      <c r="B26" s="7" t="s">
        <v>1072</v>
      </c>
      <c r="E26" s="733">
        <f>K109</f>
        <v>93.308591067984977</v>
      </c>
      <c r="F26" t="s">
        <v>1056</v>
      </c>
      <c r="J26" s="733"/>
      <c r="N26" s="22"/>
      <c r="O26" s="22"/>
      <c r="P26" s="22"/>
      <c r="Q26" s="22"/>
      <c r="R26" s="837" t="e">
        <f>VLOOKUP(O26,Hypothèses!$C$265:$E$285,3)</f>
        <v>#N/A</v>
      </c>
      <c r="S26" s="823" t="str">
        <f t="shared" si="0"/>
        <v/>
      </c>
      <c r="U26" s="2306"/>
      <c r="V26" s="817" t="e">
        <f t="shared" si="1"/>
        <v>#N/A</v>
      </c>
      <c r="W26" t="e">
        <v>#N/A</v>
      </c>
      <c r="X26" t="e">
        <v>#N/A</v>
      </c>
      <c r="Y26" t="e">
        <v>#N/A</v>
      </c>
      <c r="Z26" t="e">
        <v>#N/A</v>
      </c>
      <c r="AA26" t="e">
        <v>#N/A</v>
      </c>
      <c r="AB26" t="e">
        <v>#N/A</v>
      </c>
      <c r="AC26" t="e">
        <v>#N/A</v>
      </c>
      <c r="AD26" t="e">
        <v>#N/A</v>
      </c>
      <c r="AE26" t="e">
        <v>#N/A</v>
      </c>
      <c r="AF26" t="e">
        <v>#N/A</v>
      </c>
      <c r="AG26" t="e">
        <v>#N/A</v>
      </c>
      <c r="AH26" t="e">
        <v>#N/A</v>
      </c>
      <c r="AI26" t="e">
        <v>#N/A</v>
      </c>
      <c r="AJ26" s="454" t="e">
        <v>#N/A</v>
      </c>
      <c r="AK26" t="e">
        <v>#N/A</v>
      </c>
      <c r="AL26" t="e">
        <v>#N/A</v>
      </c>
      <c r="AM26" t="e">
        <v>#N/A</v>
      </c>
      <c r="AN26" t="e">
        <v>#N/A</v>
      </c>
      <c r="AO26" t="e">
        <v>#N/A</v>
      </c>
      <c r="AP26" t="e">
        <v>#N/A</v>
      </c>
      <c r="AQ26" s="769" t="e" cm="1">
        <f t="array" ref="AQ26">INDEX(W26:AP26,ROWS($1:14))</f>
        <v>#N/A</v>
      </c>
    </row>
    <row r="27" spans="2:43">
      <c r="B27" t="s">
        <v>1073</v>
      </c>
      <c r="E27" s="733">
        <f>K110</f>
        <v>308.17939180779405</v>
      </c>
      <c r="F27" t="s">
        <v>1010</v>
      </c>
      <c r="J27" s="733"/>
      <c r="N27" s="22"/>
      <c r="O27" s="22"/>
      <c r="P27" s="22"/>
      <c r="Q27" s="22"/>
      <c r="R27" s="837" t="e">
        <f>VLOOKUP(O27,Hypothèses!$C$265:$E$285,3)</f>
        <v>#N/A</v>
      </c>
      <c r="S27" s="823" t="str">
        <f t="shared" si="0"/>
        <v/>
      </c>
      <c r="U27" s="2306"/>
      <c r="V27" s="81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4" t="e">
        <v>#N/A</v>
      </c>
      <c r="AL27" t="e">
        <v>#N/A</v>
      </c>
      <c r="AM27" t="e">
        <v>#N/A</v>
      </c>
      <c r="AN27" t="e">
        <v>#N/A</v>
      </c>
      <c r="AO27" t="e">
        <v>#N/A</v>
      </c>
      <c r="AP27" t="e">
        <v>#N/A</v>
      </c>
      <c r="AQ27" s="769" t="e" cm="1">
        <f t="array" ref="AQ27">INDEX(W27:AP27,ROWS($1:15))</f>
        <v>#N/A</v>
      </c>
    </row>
    <row r="28" spans="2:43">
      <c r="J28" s="733"/>
      <c r="N28" s="22"/>
      <c r="O28" s="22"/>
      <c r="P28" s="22"/>
      <c r="Q28" s="22"/>
      <c r="R28" s="837" t="e">
        <f>VLOOKUP(O28,Hypothèses!$C$265:$E$285,3)</f>
        <v>#N/A</v>
      </c>
      <c r="S28" s="823" t="str">
        <f t="shared" si="0"/>
        <v/>
      </c>
      <c r="U28" s="2306"/>
      <c r="V28" s="81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4" t="e">
        <v>#N/A</v>
      </c>
      <c r="AM28" t="e">
        <v>#N/A</v>
      </c>
      <c r="AN28" t="e">
        <v>#N/A</v>
      </c>
      <c r="AO28" t="e">
        <v>#N/A</v>
      </c>
      <c r="AP28" t="e">
        <v>#N/A</v>
      </c>
      <c r="AQ28" s="769" t="e" cm="1">
        <f t="array" ref="AQ28">INDEX(W28:AP28,ROWS($1:16))</f>
        <v>#N/A</v>
      </c>
    </row>
    <row r="29" spans="2:43">
      <c r="B29" t="s">
        <v>1177</v>
      </c>
      <c r="J29" s="733"/>
      <c r="N29" s="22"/>
      <c r="O29" s="22"/>
      <c r="P29" s="22"/>
      <c r="Q29" s="22"/>
      <c r="R29" s="837" t="e">
        <f>VLOOKUP(O29,Hypothèses!$C$265:$E$285,3)</f>
        <v>#N/A</v>
      </c>
      <c r="S29" s="823" t="str">
        <f t="shared" si="0"/>
        <v/>
      </c>
      <c r="U29" s="2306"/>
      <c r="V29" s="81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4" t="e">
        <v>#N/A</v>
      </c>
      <c r="AN29" t="e">
        <v>#N/A</v>
      </c>
      <c r="AO29" t="e">
        <v>#N/A</v>
      </c>
      <c r="AP29" t="e">
        <v>#N/A</v>
      </c>
      <c r="AQ29" s="769" t="e" cm="1">
        <f t="array" ref="AQ29">INDEX(W29:AP29,ROWS($1:17))</f>
        <v>#N/A</v>
      </c>
    </row>
    <row r="30" spans="2:43">
      <c r="B30" s="214" t="s">
        <v>1151</v>
      </c>
      <c r="E30" s="766">
        <f>E27-E24</f>
        <v>253.39403545941445</v>
      </c>
      <c r="F30" t="s">
        <v>1010</v>
      </c>
      <c r="J30" s="733"/>
      <c r="N30" s="824"/>
      <c r="O30" s="824"/>
      <c r="P30" s="824"/>
      <c r="Q30" s="824"/>
      <c r="R30" s="837" t="e">
        <f>VLOOKUP(O30,Hypothèses!$C$265:$E$285,3)</f>
        <v>#N/A</v>
      </c>
      <c r="S30" s="823" t="str">
        <f t="shared" si="0"/>
        <v/>
      </c>
      <c r="U30" s="2306"/>
      <c r="V30" s="81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4" t="e">
        <v>#N/A</v>
      </c>
      <c r="AO30" t="e">
        <v>#N/A</v>
      </c>
      <c r="AP30" t="e">
        <v>#N/A</v>
      </c>
      <c r="AQ30" s="769" t="e" cm="1">
        <f t="array" ref="AQ30">INDEX(W30:AP30,ROWS($1:18))</f>
        <v>#N/A</v>
      </c>
    </row>
    <row r="31" spans="2:43">
      <c r="B31" s="214"/>
      <c r="E31" s="766">
        <f>E30*'Facteurs conversion'!C6/1000/'Facteurs conversion'!C23</f>
        <v>263.53505138022149</v>
      </c>
      <c r="F31" t="s">
        <v>1153</v>
      </c>
      <c r="J31" s="733"/>
      <c r="N31" s="828"/>
      <c r="O31" s="828"/>
      <c r="P31" s="828"/>
      <c r="Q31" s="828"/>
      <c r="R31" s="837" t="e">
        <f>VLOOKUP(O31,Hypothèses!$C$265:$E$285,3)</f>
        <v>#N/A</v>
      </c>
      <c r="S31" s="823" t="str">
        <f t="shared" si="0"/>
        <v/>
      </c>
      <c r="U31" s="2306"/>
      <c r="V31" s="81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4" t="e">
        <v>#N/A</v>
      </c>
      <c r="AP31" t="e">
        <v>#N/A</v>
      </c>
      <c r="AQ31" s="769" t="e" cm="1">
        <f t="array" ref="AQ31">INDEX(W31:AP31,ROWS($1:19))</f>
        <v>#N/A</v>
      </c>
    </row>
    <row r="32" spans="2:43" ht="15.75" thickBot="1">
      <c r="B32" s="214" t="s">
        <v>1152</v>
      </c>
      <c r="E32" s="766">
        <f>K108-K71</f>
        <v>851.08989601051201</v>
      </c>
      <c r="F32" t="s">
        <v>1154</v>
      </c>
      <c r="J32" s="733"/>
      <c r="N32" s="735"/>
      <c r="U32" s="2306"/>
      <c r="V32" s="81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4" t="e">
        <v>#N/A</v>
      </c>
      <c r="AQ32" s="839" t="e" cm="1">
        <f t="array" ref="AQ32">INDEX(W32:AP32,ROWS($1:20))</f>
        <v>#N/A</v>
      </c>
    </row>
    <row r="33" spans="2:33">
      <c r="B33" s="214"/>
      <c r="E33" s="766">
        <f>E32*'Facteurs conversion'!C6/1000/'Facteurs conversion'!C23^2</f>
        <v>269.79405898078915</v>
      </c>
      <c r="F33" t="s">
        <v>1155</v>
      </c>
      <c r="J33" s="733"/>
      <c r="U33" s="848"/>
      <c r="V33" s="732"/>
    </row>
    <row r="34" spans="2:33">
      <c r="B34" s="214"/>
      <c r="E34" s="733"/>
      <c r="J34" s="733"/>
      <c r="N34" s="2295" t="s">
        <v>1219</v>
      </c>
      <c r="O34" s="2295"/>
      <c r="P34" s="2295"/>
      <c r="Q34" s="2295"/>
      <c r="R34" s="2295"/>
      <c r="S34" s="2295"/>
      <c r="T34" s="2295"/>
      <c r="U34" s="2295"/>
      <c r="V34" s="2295"/>
      <c r="W34" s="2295"/>
      <c r="X34" s="2295"/>
      <c r="Y34" s="2295"/>
      <c r="Z34" s="2295"/>
      <c r="AA34" s="2295"/>
      <c r="AB34" s="2295"/>
      <c r="AC34" s="2295"/>
      <c r="AD34" s="2295"/>
      <c r="AE34" s="2295"/>
      <c r="AF34" s="2295"/>
      <c r="AG34" s="2295"/>
    </row>
    <row r="35" spans="2:33" ht="17.25">
      <c r="B35" s="734" t="s">
        <v>1480</v>
      </c>
      <c r="E35" s="957"/>
      <c r="F35" s="243" t="s">
        <v>1485</v>
      </c>
      <c r="N35" s="2296" t="s">
        <v>1136</v>
      </c>
      <c r="O35" s="829" t="s">
        <v>1205</v>
      </c>
      <c r="P35" s="829" t="s">
        <v>1138</v>
      </c>
      <c r="Q35" s="2302" t="s">
        <v>1148</v>
      </c>
      <c r="R35" s="829" t="s">
        <v>1203</v>
      </c>
      <c r="S35" s="829" t="s">
        <v>1135</v>
      </c>
      <c r="W35" s="2299" t="s">
        <v>1208</v>
      </c>
      <c r="X35" s="2299"/>
      <c r="Y35" s="2299"/>
      <c r="Z35" s="2299"/>
      <c r="AA35" s="2299"/>
      <c r="AB35" s="2299"/>
      <c r="AC35" s="2299"/>
      <c r="AD35" s="2299"/>
      <c r="AE35" s="2299"/>
      <c r="AF35" s="2299"/>
    </row>
    <row r="36" spans="2:33" ht="17.25">
      <c r="E36" t="s">
        <v>1012</v>
      </c>
      <c r="G36">
        <v>1</v>
      </c>
      <c r="H36">
        <v>2</v>
      </c>
      <c r="I36">
        <v>3</v>
      </c>
      <c r="J36">
        <v>4</v>
      </c>
      <c r="K36">
        <v>5</v>
      </c>
      <c r="N36" s="2296"/>
      <c r="O36" s="830" t="s">
        <v>1220</v>
      </c>
      <c r="P36" s="830" t="s">
        <v>1142</v>
      </c>
      <c r="Q36" s="2303"/>
      <c r="R36" s="831" t="s">
        <v>1158</v>
      </c>
      <c r="S36" s="830" t="s">
        <v>1213</v>
      </c>
      <c r="W36" s="2300" t="s">
        <v>985</v>
      </c>
      <c r="X36" s="2300"/>
      <c r="Y36" s="2300"/>
      <c r="Z36" s="2300"/>
      <c r="AA36" s="2300"/>
      <c r="AB36" s="2300"/>
      <c r="AC36" s="2300"/>
      <c r="AD36" s="2300"/>
      <c r="AE36" s="2300"/>
      <c r="AF36" s="2300"/>
      <c r="AG36" s="2301" t="s">
        <v>1156</v>
      </c>
    </row>
    <row r="37" spans="2:33" ht="15.75" thickBot="1">
      <c r="B37" t="s">
        <v>1072</v>
      </c>
      <c r="E37" t="s">
        <v>1013</v>
      </c>
      <c r="F37" t="s">
        <v>1056</v>
      </c>
      <c r="G37" s="733">
        <f>E11+1</f>
        <v>19.333333333333332</v>
      </c>
      <c r="H37" s="160">
        <f>G73</f>
        <v>33.917840352867856</v>
      </c>
      <c r="I37" s="160">
        <f t="shared" ref="I37:J37" si="2">H73</f>
        <v>30.516665004268091</v>
      </c>
      <c r="J37" s="160">
        <f t="shared" si="2"/>
        <v>30.8969442015472</v>
      </c>
      <c r="K37" s="160">
        <f>J73</f>
        <v>30.85035247990109</v>
      </c>
      <c r="L37" s="160"/>
      <c r="M37" s="160"/>
      <c r="N37" s="836" t="e" cm="1" vm="2">
        <f t="array" ref="N37">_xlfn._xlws.FILTER(Isolation!$B$32:$E$41,Isolation!$E$32:$E$41=P6)</f>
        <v>#VALUE!</v>
      </c>
      <c r="O37" s="22"/>
      <c r="P37" s="22"/>
      <c r="Q37" s="22"/>
      <c r="R37" s="840" t="e" vm="1">
        <f>VLOOKUP(N37,Isolation!$B$32:$R$41,9)</f>
        <v>#VALUE!</v>
      </c>
      <c r="S37" s="22" t="e" vm="1">
        <f>IF(N37="","",AG38)</f>
        <v>#VALUE!</v>
      </c>
      <c r="V37" s="774">
        <f>$E$32</f>
        <v>851.08989601051201</v>
      </c>
      <c r="W37" s="818" cm="1">
        <f t="array" ref="W37:AF37">TRANSPOSE(P37:P46)</f>
        <v>0</v>
      </c>
      <c r="X37" s="818">
        <v>0</v>
      </c>
      <c r="Y37" s="818">
        <v>0</v>
      </c>
      <c r="Z37" s="818">
        <v>0</v>
      </c>
      <c r="AA37" s="818">
        <v>0</v>
      </c>
      <c r="AB37" s="818">
        <v>0</v>
      </c>
      <c r="AC37" s="818">
        <v>0</v>
      </c>
      <c r="AD37" s="818">
        <v>0</v>
      </c>
      <c r="AE37" s="818">
        <v>0</v>
      </c>
      <c r="AF37" s="818">
        <v>0</v>
      </c>
      <c r="AG37" s="2301"/>
    </row>
    <row r="38" spans="2:33">
      <c r="B38" t="s">
        <v>1075</v>
      </c>
      <c r="E38" t="s">
        <v>1014</v>
      </c>
      <c r="F38" t="s">
        <v>1056</v>
      </c>
      <c r="G38" s="733">
        <f>E10-1</f>
        <v>92.333333333333329</v>
      </c>
      <c r="H38" s="160">
        <f>G72</f>
        <v>93.329179854300094</v>
      </c>
      <c r="I38" s="160">
        <f t="shared" ref="I38:K38" si="3">H72</f>
        <v>93.32890317366072</v>
      </c>
      <c r="J38" s="160">
        <f t="shared" si="3"/>
        <v>93.328938599371952</v>
      </c>
      <c r="K38" s="160">
        <f t="shared" si="3"/>
        <v>93.32893436133088</v>
      </c>
      <c r="L38" s="160"/>
      <c r="M38" s="733"/>
      <c r="N38" s="836"/>
      <c r="O38" s="22"/>
      <c r="P38" s="22"/>
      <c r="Q38" s="22"/>
      <c r="R38" s="840" t="e">
        <f>VLOOKUP(N38,Isolation!$B$32:$R$41,9)</f>
        <v>#N/A</v>
      </c>
      <c r="S38" s="22" t="str">
        <f t="shared" ref="S38:S46" si="4">IF(N38="","",AG39)</f>
        <v/>
      </c>
      <c r="U38" s="2294" t="s">
        <v>1204</v>
      </c>
      <c r="V38" s="821" t="e" vm="1">
        <f>R37</f>
        <v>#VALUE!</v>
      </c>
      <c r="W38" s="454"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38" t="e" cm="1" vm="1">
        <f t="array" ref="AG38">INDEX(W38:AF38,ROWS($1:1))</f>
        <v>#VALUE!</v>
      </c>
    </row>
    <row r="39" spans="2:33">
      <c r="B39" s="4" t="s">
        <v>1076</v>
      </c>
      <c r="N39" s="836"/>
      <c r="O39" s="22"/>
      <c r="P39" s="22"/>
      <c r="Q39" s="22"/>
      <c r="R39" s="840" t="e">
        <f>VLOOKUP(N39,Isolation!$B$32:$R$41,9)</f>
        <v>#N/A</v>
      </c>
      <c r="S39" s="22" t="str">
        <f t="shared" si="4"/>
        <v/>
      </c>
      <c r="U39" s="2294"/>
      <c r="V39" s="821" t="e">
        <f t="shared" ref="V39:V47" si="5">R38</f>
        <v>#N/A</v>
      </c>
      <c r="W39" t="e">
        <v>#N/A</v>
      </c>
      <c r="X39" s="454" t="e">
        <v>#N/A</v>
      </c>
      <c r="Y39" t="e">
        <v>#N/A</v>
      </c>
      <c r="Z39" t="e">
        <v>#N/A</v>
      </c>
      <c r="AA39" t="e">
        <v>#N/A</v>
      </c>
      <c r="AB39" t="e">
        <v>#N/A</v>
      </c>
      <c r="AC39" t="e">
        <v>#N/A</v>
      </c>
      <c r="AD39" t="e">
        <v>#N/A</v>
      </c>
      <c r="AE39" t="e">
        <v>#N/A</v>
      </c>
      <c r="AF39" t="e">
        <v>#N/A</v>
      </c>
      <c r="AG39" s="769" t="e" cm="1">
        <f t="array" ref="AG39">INDEX(W39:AF39,ROWS($1:2))</f>
        <v>#N/A</v>
      </c>
    </row>
    <row r="40" spans="2:33">
      <c r="B40" t="s">
        <v>1077</v>
      </c>
      <c r="E40" t="s">
        <v>1015</v>
      </c>
      <c r="F40" t="s">
        <v>1056</v>
      </c>
      <c r="G40">
        <f>(G37+$E$11)/2</f>
        <v>18.833333333333332</v>
      </c>
      <c r="H40" s="160">
        <f t="shared" ref="H40:K40" si="6">(H37+$E$11)/2</f>
        <v>26.125586843100592</v>
      </c>
      <c r="I40" s="160">
        <f t="shared" si="6"/>
        <v>24.42499916880071</v>
      </c>
      <c r="J40" s="160">
        <f t="shared" si="6"/>
        <v>24.615138767440264</v>
      </c>
      <c r="K40" s="160">
        <f t="shared" si="6"/>
        <v>24.59184290661721</v>
      </c>
      <c r="L40" s="733"/>
      <c r="M40" s="733"/>
      <c r="N40" s="836"/>
      <c r="O40" s="22"/>
      <c r="P40" s="22"/>
      <c r="Q40" s="22"/>
      <c r="R40" s="840" t="e">
        <f>VLOOKUP(N40,Isolation!$B$32:$R$41,9)</f>
        <v>#N/A</v>
      </c>
      <c r="S40" s="22" t="str">
        <f t="shared" si="4"/>
        <v/>
      </c>
      <c r="U40" s="2294"/>
      <c r="V40" s="821" t="e">
        <f t="shared" si="5"/>
        <v>#N/A</v>
      </c>
      <c r="W40" t="e">
        <v>#N/A</v>
      </c>
      <c r="X40" t="e">
        <v>#N/A</v>
      </c>
      <c r="Y40" s="454" t="e">
        <v>#N/A</v>
      </c>
      <c r="Z40" t="e">
        <v>#N/A</v>
      </c>
      <c r="AA40" t="e">
        <v>#N/A</v>
      </c>
      <c r="AB40" t="e">
        <v>#N/A</v>
      </c>
      <c r="AC40" t="e">
        <v>#N/A</v>
      </c>
      <c r="AD40" t="e">
        <v>#N/A</v>
      </c>
      <c r="AE40" t="e">
        <v>#N/A</v>
      </c>
      <c r="AF40" t="e">
        <v>#N/A</v>
      </c>
      <c r="AG40" s="769" t="e" cm="1">
        <f t="array" ref="AG40">INDEX(W40:AF40,ROWS($1:3))</f>
        <v>#N/A</v>
      </c>
    </row>
    <row r="41" spans="2:33">
      <c r="F41" t="s">
        <v>1016</v>
      </c>
      <c r="G41">
        <f>G40+273.15</f>
        <v>291.98333333333329</v>
      </c>
      <c r="H41" s="160">
        <f t="shared" ref="H41:K41" si="7">H40+273.15</f>
        <v>299.27558684310054</v>
      </c>
      <c r="I41" s="160">
        <f t="shared" si="7"/>
        <v>297.57499916880067</v>
      </c>
      <c r="J41" s="160">
        <f t="shared" si="7"/>
        <v>297.76513876744025</v>
      </c>
      <c r="K41" s="160">
        <f t="shared" si="7"/>
        <v>297.74184290661719</v>
      </c>
      <c r="L41" s="160"/>
      <c r="M41" s="160"/>
      <c r="N41" s="836"/>
      <c r="O41" s="22"/>
      <c r="P41" s="22"/>
      <c r="Q41" s="22"/>
      <c r="R41" s="840" t="e">
        <f>VLOOKUP(N41,Isolation!$B$32:$R$41,9)</f>
        <v>#N/A</v>
      </c>
      <c r="S41" s="22" t="str">
        <f t="shared" si="4"/>
        <v/>
      </c>
      <c r="U41" s="2294"/>
      <c r="V41" s="821" t="e">
        <f t="shared" si="5"/>
        <v>#N/A</v>
      </c>
      <c r="W41" t="e">
        <v>#N/A</v>
      </c>
      <c r="X41" t="e">
        <v>#N/A</v>
      </c>
      <c r="Y41" t="e">
        <v>#N/A</v>
      </c>
      <c r="Z41" s="454" t="e">
        <v>#N/A</v>
      </c>
      <c r="AA41" t="e">
        <v>#N/A</v>
      </c>
      <c r="AB41" t="e">
        <v>#N/A</v>
      </c>
      <c r="AC41" t="e">
        <v>#N/A</v>
      </c>
      <c r="AD41" t="e">
        <v>#N/A</v>
      </c>
      <c r="AE41" t="e">
        <v>#N/A</v>
      </c>
      <c r="AF41" t="e">
        <v>#N/A</v>
      </c>
      <c r="AG41" s="769" t="e" cm="1">
        <f t="array" ref="AG41">INDEX(W41:AF41,ROWS($1:4))</f>
        <v>#N/A</v>
      </c>
    </row>
    <row r="42" spans="2:33">
      <c r="B42" t="s">
        <v>1109</v>
      </c>
      <c r="E42" t="s">
        <v>1017</v>
      </c>
      <c r="F42" t="s">
        <v>1018</v>
      </c>
      <c r="G42" s="735">
        <f>(Propriété_air!$Q$22*G41^4+Propriété_air!$R$22*G41^3+Propriété_air!$S$22*G41^2+Propriété_air!$T$22*G41+Propriété_air!$U$22)/10^3</f>
        <v>2.5620216674003316E-2</v>
      </c>
      <c r="H42" s="735">
        <f>(Propriété_air!$Q$22*H41^4+Propriété_air!$R$22*H41^3+Propriété_air!$S$22*H41^2+Propriété_air!$T$22*H41+Propriété_air!$U$22)/10^3</f>
        <v>2.6199086142070224E-2</v>
      </c>
      <c r="I42" s="735">
        <f>(Propriété_air!$Q$22*I41^4+Propriété_air!$R$22*I41^3+Propriété_air!$S$22*I41^2+Propriété_air!$T$22*I41+Propriété_air!$U$22)/10^3</f>
        <v>2.6064387476217525E-2</v>
      </c>
      <c r="J42" s="735">
        <f>(Propriété_air!$Q$22*J41^4+Propriété_air!$R$22*J41^3+Propriété_air!$S$22*J41^2+Propriété_air!$T$22*J41+Propriété_air!$U$22)/10^3</f>
        <v>2.6079456875374087E-2</v>
      </c>
      <c r="K42" s="735">
        <f>(Propriété_air!$Q$22*K41^4+Propriété_air!$R$22*K41^3+Propriété_air!$S$22*K41^2+Propriété_air!$T$22*K41+Propriété_air!$U$22)/10^3</f>
        <v>2.6077610697489026E-2</v>
      </c>
      <c r="L42" s="735"/>
      <c r="M42" s="735"/>
      <c r="N42" s="836"/>
      <c r="O42" s="22"/>
      <c r="P42" s="22"/>
      <c r="Q42" s="22"/>
      <c r="R42" s="840" t="e">
        <f>VLOOKUP(N42,Isolation!$B$32:$R$41,9)</f>
        <v>#N/A</v>
      </c>
      <c r="S42" s="22" t="str">
        <f t="shared" si="4"/>
        <v/>
      </c>
      <c r="U42" s="2294"/>
      <c r="V42" s="821" t="e">
        <f t="shared" si="5"/>
        <v>#N/A</v>
      </c>
      <c r="W42" t="e">
        <v>#N/A</v>
      </c>
      <c r="X42" t="e">
        <v>#N/A</v>
      </c>
      <c r="Y42" t="e">
        <v>#N/A</v>
      </c>
      <c r="Z42" t="e">
        <v>#N/A</v>
      </c>
      <c r="AA42" s="454" t="e">
        <v>#N/A</v>
      </c>
      <c r="AB42" t="e">
        <v>#N/A</v>
      </c>
      <c r="AC42" t="e">
        <v>#N/A</v>
      </c>
      <c r="AD42" t="e">
        <v>#N/A</v>
      </c>
      <c r="AE42" t="e">
        <v>#N/A</v>
      </c>
      <c r="AF42" t="e">
        <v>#N/A</v>
      </c>
      <c r="AG42" s="769" t="e" cm="1">
        <f t="array" ref="AG42">INDEX(W42:AF42,ROWS($1:5))</f>
        <v>#N/A</v>
      </c>
    </row>
    <row r="43" spans="2:33">
      <c r="B43" t="s">
        <v>1110</v>
      </c>
      <c r="E43" t="s">
        <v>1019</v>
      </c>
      <c r="F43" t="s">
        <v>1057</v>
      </c>
      <c r="G43" s="736">
        <f>(Propriété_air!$Q$10*G41^4+Propriété_air!$R$10*G41^3+Propriété_air!$S$10*G41^2+Propriété_air!$T$10*G41+Propriété_air!$U$10)/10^7</f>
        <v>1.8090342079092796E-5</v>
      </c>
      <c r="H43" s="736">
        <f>(Propriété_air!$Q$10*H41^4+Propriété_air!$R$10*H41^3+Propriété_air!$S$10*H41^2+Propriété_air!$T$10*H41+Propriété_air!$U$10)/10^7</f>
        <v>1.8445566505561402E-5</v>
      </c>
      <c r="I43" s="736">
        <f>(Propriété_air!$Q$10*I41^4+Propriété_air!$R$10*I41^3+Propriété_air!$S$10*I41^2+Propriété_air!$T$10*I41+Propriété_air!$U$10)/10^7</f>
        <v>1.8363062605914573E-5</v>
      </c>
      <c r="J43" s="736">
        <f>(Propriété_air!$Q$10*J41^4+Propriété_air!$R$10*J41^3+Propriété_air!$S$10*J41^2+Propriété_air!$T$10*J41+Propriété_air!$U$10)/10^7</f>
        <v>1.8372297313362609E-5</v>
      </c>
      <c r="K43" s="736">
        <f>(Propriété_air!$Q$10*K41^4+Propriété_air!$R$10*K41^3+Propriété_air!$S$10*K41^2+Propriété_air!$T$10*K41+Propriété_air!$U$10)/10^7</f>
        <v>1.8371166015928592E-5</v>
      </c>
      <c r="L43" s="736"/>
      <c r="M43" s="741"/>
      <c r="N43" s="836"/>
      <c r="O43" s="22"/>
      <c r="P43" s="22"/>
      <c r="Q43" s="22"/>
      <c r="R43" s="840" t="e">
        <f>VLOOKUP(N43,Isolation!$B$32:$R$41,9)</f>
        <v>#N/A</v>
      </c>
      <c r="S43" s="22" t="str">
        <f t="shared" si="4"/>
        <v/>
      </c>
      <c r="U43" s="2294"/>
      <c r="V43" s="821" t="e">
        <f t="shared" si="5"/>
        <v>#N/A</v>
      </c>
      <c r="W43" t="e">
        <v>#N/A</v>
      </c>
      <c r="X43" t="e">
        <v>#N/A</v>
      </c>
      <c r="Y43" t="e">
        <v>#N/A</v>
      </c>
      <c r="Z43" t="e">
        <v>#N/A</v>
      </c>
      <c r="AA43" t="e">
        <v>#N/A</v>
      </c>
      <c r="AB43" s="454" t="e">
        <v>#N/A</v>
      </c>
      <c r="AC43" t="e">
        <v>#N/A</v>
      </c>
      <c r="AD43" t="e">
        <v>#N/A</v>
      </c>
      <c r="AE43" t="e">
        <v>#N/A</v>
      </c>
      <c r="AF43" t="e">
        <v>#N/A</v>
      </c>
      <c r="AG43" s="769" t="e" cm="1">
        <f t="array" ref="AG43">INDEX(W43:AF43,ROWS($1:6))</f>
        <v>#N/A</v>
      </c>
    </row>
    <row r="44" spans="2:33">
      <c r="B44" t="s">
        <v>1020</v>
      </c>
      <c r="E44" t="s">
        <v>1021</v>
      </c>
      <c r="G44" s="724">
        <f>Propriété_air!$Q$34*G41^4+Propriété_air!$R$34*G41^3+Propriété_air!$S$34*G41^2+Propriété_air!$T$34*G41+Propriété_air!$U$34</f>
        <v>0.70927939834533715</v>
      </c>
      <c r="H44" s="724">
        <f>Propriété_air!$Q$34*H41^4+Propriété_air!$R$34*H41^3+Propriété_air!$S$34*H41^2+Propriété_air!$T$34*H41+Propriété_air!$U$34</f>
        <v>0.70747598628627206</v>
      </c>
      <c r="I44" s="724">
        <f>Propriété_air!$Q$34*I41^4+Propriété_air!$R$34*I41^3+Propriété_air!$S$34*I41^2+Propriété_air!$T$34*I41+Propriété_air!$U$34</f>
        <v>0.70789012718259636</v>
      </c>
      <c r="J44" s="724">
        <f>Propriété_air!$Q$34*J41^4+Propriété_air!$R$34*J41^3+Propriété_air!$S$34*J41^2+Propriété_air!$T$34*J41+Propriété_air!$U$34</f>
        <v>0.70784362928968636</v>
      </c>
      <c r="K44" s="724">
        <f>Propriété_air!$Q$34*K41^4+Propriété_air!$R$34*K41^3+Propriété_air!$S$34*K41^2+Propriété_air!$T$34*K41+Propriété_air!$U$34</f>
        <v>0.70784932357997632</v>
      </c>
      <c r="L44" s="724"/>
      <c r="M44" s="724"/>
      <c r="N44" s="836"/>
      <c r="O44" s="22"/>
      <c r="P44" s="22"/>
      <c r="Q44" s="22"/>
      <c r="R44" s="840" t="e">
        <f>VLOOKUP(N44,Isolation!$B$32:$R$41,9)</f>
        <v>#N/A</v>
      </c>
      <c r="S44" s="22" t="str">
        <f t="shared" si="4"/>
        <v/>
      </c>
      <c r="U44" s="2294"/>
      <c r="V44" s="821" t="e">
        <f t="shared" si="5"/>
        <v>#N/A</v>
      </c>
      <c r="W44" t="e">
        <v>#N/A</v>
      </c>
      <c r="X44" t="e">
        <v>#N/A</v>
      </c>
      <c r="Y44" t="e">
        <v>#N/A</v>
      </c>
      <c r="Z44" t="e">
        <v>#N/A</v>
      </c>
      <c r="AA44" t="e">
        <v>#N/A</v>
      </c>
      <c r="AB44" t="e">
        <v>#N/A</v>
      </c>
      <c r="AC44" s="454" t="e">
        <v>#N/A</v>
      </c>
      <c r="AD44" t="e">
        <v>#N/A</v>
      </c>
      <c r="AE44" t="e">
        <v>#N/A</v>
      </c>
      <c r="AF44" t="e">
        <v>#N/A</v>
      </c>
      <c r="AG44" s="769" t="e" cm="1">
        <f t="array" ref="AG44">INDEX(W44:AF44,ROWS($1:7))</f>
        <v>#N/A</v>
      </c>
    </row>
    <row r="45" spans="2:33">
      <c r="B45" t="s">
        <v>1111</v>
      </c>
      <c r="E45" t="s">
        <v>1022</v>
      </c>
      <c r="F45" t="s">
        <v>1023</v>
      </c>
      <c r="G45">
        <f>1/G41</f>
        <v>3.4248530167246996E-3</v>
      </c>
      <c r="H45">
        <f t="shared" ref="H45:K45" si="8">1/H41</f>
        <v>3.3414018515458268E-3</v>
      </c>
      <c r="I45">
        <f t="shared" si="8"/>
        <v>3.3604973629950204E-3</v>
      </c>
      <c r="J45">
        <f t="shared" si="8"/>
        <v>3.3583514985648382E-3</v>
      </c>
      <c r="K45">
        <f t="shared" si="8"/>
        <v>3.3586142620660705E-3</v>
      </c>
      <c r="L45" s="741"/>
      <c r="M45" s="244"/>
      <c r="N45" s="836"/>
      <c r="O45" s="22"/>
      <c r="P45" s="22"/>
      <c r="Q45" s="22"/>
      <c r="R45" s="840" t="e">
        <f>VLOOKUP(N45,Isolation!$B$32:$R$41,9)</f>
        <v>#N/A</v>
      </c>
      <c r="S45" s="22" t="str">
        <f t="shared" si="4"/>
        <v/>
      </c>
      <c r="U45" s="2294"/>
      <c r="V45" s="821" t="e">
        <f t="shared" si="5"/>
        <v>#N/A</v>
      </c>
      <c r="W45" t="e">
        <v>#N/A</v>
      </c>
      <c r="X45" t="e">
        <v>#N/A</v>
      </c>
      <c r="Y45" t="e">
        <v>#N/A</v>
      </c>
      <c r="Z45" t="e">
        <v>#N/A</v>
      </c>
      <c r="AA45" t="e">
        <v>#N/A</v>
      </c>
      <c r="AB45" t="e">
        <v>#N/A</v>
      </c>
      <c r="AC45" t="e">
        <v>#N/A</v>
      </c>
      <c r="AD45" s="454" t="e">
        <v>#N/A</v>
      </c>
      <c r="AE45" t="e">
        <v>#N/A</v>
      </c>
      <c r="AF45" t="e">
        <v>#N/A</v>
      </c>
      <c r="AG45" s="769" t="e" cm="1">
        <f t="array" ref="AG45">INDEX(W45:AF45,ROWS($1:8))</f>
        <v>#N/A</v>
      </c>
    </row>
    <row r="46" spans="2:33">
      <c r="B46" t="s">
        <v>1112</v>
      </c>
      <c r="E46" t="s">
        <v>1024</v>
      </c>
      <c r="F46" t="s">
        <v>1058</v>
      </c>
      <c r="G46" s="735">
        <f>Propriété_air!$Q$45/'Isolation - CAS 1'!G41</f>
        <v>1.2089882021352043</v>
      </c>
      <c r="H46" s="735">
        <f>Propriété_air!$Q$45/'Isolation - CAS 1'!H41</f>
        <v>1.1795295732063111</v>
      </c>
      <c r="I46" s="735">
        <f>Propriété_air!$Q$45/'Isolation - CAS 1'!I41</f>
        <v>1.1862703728678075</v>
      </c>
      <c r="J46" s="735">
        <f>Propriété_air!$Q$45/'Isolation - CAS 1'!J41</f>
        <v>1.1855128732709481</v>
      </c>
      <c r="K46" s="735">
        <f>Propriété_air!$Q$45/'Isolation - CAS 1'!K41</f>
        <v>1.1856056299444142</v>
      </c>
      <c r="L46" s="735"/>
      <c r="M46" s="741"/>
      <c r="N46" s="836"/>
      <c r="O46" s="22"/>
      <c r="P46" s="22"/>
      <c r="Q46" s="22"/>
      <c r="R46" s="840" t="e">
        <f>VLOOKUP(N46,Isolation!$B$32:$R$41,9)</f>
        <v>#N/A</v>
      </c>
      <c r="S46" s="22" t="str">
        <f t="shared" si="4"/>
        <v/>
      </c>
      <c r="U46" s="2294"/>
      <c r="V46" s="821" t="e">
        <f t="shared" si="5"/>
        <v>#N/A</v>
      </c>
      <c r="W46" t="e">
        <v>#N/A</v>
      </c>
      <c r="X46" t="e">
        <v>#N/A</v>
      </c>
      <c r="Y46" t="e">
        <v>#N/A</v>
      </c>
      <c r="Z46" t="e">
        <v>#N/A</v>
      </c>
      <c r="AA46" t="e">
        <v>#N/A</v>
      </c>
      <c r="AB46" t="e">
        <v>#N/A</v>
      </c>
      <c r="AC46" t="e">
        <v>#N/A</v>
      </c>
      <c r="AD46" t="e">
        <v>#N/A</v>
      </c>
      <c r="AE46" s="454" t="e">
        <v>#N/A</v>
      </c>
      <c r="AF46" t="e">
        <v>#N/A</v>
      </c>
      <c r="AG46" s="769" t="e" cm="1">
        <f t="array" ref="AG46">INDEX(W46:AF46,ROWS($1:9))</f>
        <v>#N/A</v>
      </c>
    </row>
    <row r="47" spans="2:33" ht="15.75" thickBot="1">
      <c r="B47" t="s">
        <v>1025</v>
      </c>
      <c r="E47" t="s">
        <v>1026</v>
      </c>
      <c r="F47" t="s">
        <v>1027</v>
      </c>
      <c r="G47" s="736">
        <f>(Propriété_air!$Q$16*G41^4+Propriété_air!$R$16*G41^3+Propriété_air!$S$16*G41^2+Propriété_air!$T$16*G41+Propriété_air!$U$16)/10^6</f>
        <v>1.51587898128742E-5</v>
      </c>
      <c r="H47" s="736">
        <f>(Propriété_air!$Q$16*H41^4+Propriété_air!$R$16*H41^3+Propriété_air!$S$16*H41^2+Propriété_air!$T$16*H41+Propriété_air!$U$16)/10^6</f>
        <v>1.5838781828478914E-5</v>
      </c>
      <c r="I47" s="736">
        <f>(Propriété_air!$Q$16*I41^4+Propriété_air!$R$16*I41^3+Propriété_air!$S$16*I41^2+Propriété_air!$T$16*I41+Propriété_air!$U$16)/10^6</f>
        <v>1.5679152706588047E-5</v>
      </c>
      <c r="J47" s="736">
        <f>(Propriété_air!$Q$16*J41^4+Propriété_air!$R$16*J41^3+Propriété_air!$S$16*J41^2+Propriété_air!$T$16*J41+Propriété_air!$U$16)/10^6</f>
        <v>1.5696968873914508E-5</v>
      </c>
      <c r="K47" s="736">
        <f>(Propriété_air!$Q$16*K41^4+Propriété_air!$R$16*K41^3+Propriété_air!$S$16*K41^2+Propriété_air!$T$16*K41+Propriété_air!$U$16)/10^6</f>
        <v>1.5694785612122874E-5</v>
      </c>
      <c r="L47" s="736"/>
      <c r="M47" s="735"/>
      <c r="N47" s="743"/>
      <c r="R47" s="850"/>
      <c r="U47" s="2294"/>
      <c r="V47" s="821" t="e">
        <f t="shared" si="5"/>
        <v>#N/A</v>
      </c>
      <c r="W47" t="e">
        <v>#N/A</v>
      </c>
      <c r="X47" t="e">
        <v>#N/A</v>
      </c>
      <c r="Y47" t="e">
        <v>#N/A</v>
      </c>
      <c r="Z47" t="e">
        <v>#N/A</v>
      </c>
      <c r="AA47" t="e">
        <v>#N/A</v>
      </c>
      <c r="AB47" t="e">
        <v>#N/A</v>
      </c>
      <c r="AC47" t="e">
        <v>#N/A</v>
      </c>
      <c r="AD47" t="e">
        <v>#N/A</v>
      </c>
      <c r="AE47" t="e">
        <v>#N/A</v>
      </c>
      <c r="AF47" s="454" t="e">
        <v>#N/A</v>
      </c>
      <c r="AG47" s="839" t="e" cm="1">
        <f t="array" ref="AG47">INDEX(W47:AF47,ROWS($1:10))</f>
        <v>#N/A</v>
      </c>
    </row>
    <row r="48" spans="2:33">
      <c r="B48" t="s">
        <v>1113</v>
      </c>
      <c r="E48" t="s">
        <v>1028</v>
      </c>
      <c r="F48" t="s">
        <v>1029</v>
      </c>
      <c r="G48" s="160">
        <f>Propriété_air!$Q$4*G41^4+Propriété_air!$R$4*G41^3+Propriété_air!$S$4*G41^2+Propriété_air!$T$4*G41+Propriété_air!$U$4</f>
        <v>1.0047578086708546</v>
      </c>
      <c r="H48" s="160">
        <f>Propriété_air!$Q$4*H41^4+Propriété_air!$R$4*H41^3+Propriété_air!$S$4*H41^2+Propriété_air!$T$4*H41+Propriété_air!$U$4</f>
        <v>1.0049608499535274</v>
      </c>
      <c r="I48" s="160">
        <f>Propriété_air!$Q$4*I41^4+Propriété_air!$R$4*I41^3+Propriété_air!$S$4*I41^2+Propriété_air!$T$4*I41+Propriété_air!$U$4</f>
        <v>1.0049076579058227</v>
      </c>
      <c r="J48" s="160">
        <f>Propriété_air!$Q$4*J41^4+Propriété_air!$R$4*J41^3+Propriété_air!$S$4*J41^2+Propriété_air!$T$4*J41+Propriété_air!$U$4</f>
        <v>1.0049134300243261</v>
      </c>
      <c r="K48" s="160">
        <f>Propriété_air!$Q$4*K41^4+Propriété_air!$R$4*K41^3+Propriété_air!$S$4*K41^2+Propriété_air!$T$4*K41+Propriété_air!$U$4</f>
        <v>1.0049127204502937</v>
      </c>
      <c r="L48" s="160"/>
      <c r="M48" s="735"/>
      <c r="N48" s="160"/>
      <c r="U48" s="849"/>
      <c r="V48" s="723"/>
      <c r="AG48" s="696"/>
    </row>
    <row r="49" spans="2:33">
      <c r="B49" t="s">
        <v>1030</v>
      </c>
      <c r="E49" t="s">
        <v>1031</v>
      </c>
      <c r="F49" t="s">
        <v>1059</v>
      </c>
      <c r="G49" s="736">
        <f>(Propriété_air!$Q$28*G41^4+Propriété_air!$R$28*G41^3+Propriété_air!$S$28*G41^2+Propriété_air!$T$28*G41+Propriété_air!$U$28)/10^6</f>
        <v>2.1337905661950222E-5</v>
      </c>
      <c r="H49" s="736">
        <f>(Propriété_air!$Q$28*H41^4+Propriété_air!$R$28*H41^3+Propriété_air!$S$28*H41^2+Propriété_air!$T$28*H41+Propriété_air!$U$28)/10^6</f>
        <v>2.2375394270514882E-5</v>
      </c>
      <c r="I49" s="736">
        <f>(Propriété_air!$Q$28*I41^4+Propriété_air!$R$28*I41^3+Propriété_air!$S$28*I41^2+Propriété_air!$T$28*I41+Propriété_air!$U$28)/10^6</f>
        <v>2.2131739162570326E-5</v>
      </c>
      <c r="J49" s="736">
        <f>(Propriété_air!$Q$28*J41^4+Propriété_air!$R$28*J41^3+Propriété_air!$S$28*J41^2+Propriété_air!$T$28*J41+Propriété_air!$U$28)/10^6</f>
        <v>2.2158930577124907E-5</v>
      </c>
      <c r="K49" s="736">
        <f>(Propriété_air!$Q$28*K41^4+Propriété_air!$R$28*K41^3+Propriété_air!$S$28*K41^2+Propriété_air!$T$28*K41+Propriété_air!$U$28)/10^6</f>
        <v>2.2155598396676093E-5</v>
      </c>
      <c r="L49" s="736"/>
      <c r="M49" s="737"/>
      <c r="N49" s="2295" t="s">
        <v>1202</v>
      </c>
      <c r="O49" s="2295"/>
      <c r="P49" s="2295"/>
      <c r="Q49" s="2295"/>
      <c r="R49" s="2295"/>
      <c r="S49" s="2295"/>
      <c r="T49" s="2295"/>
      <c r="U49" s="2295"/>
      <c r="V49" s="2295"/>
      <c r="W49" s="2295"/>
      <c r="X49" s="2295"/>
      <c r="Y49" s="2295"/>
      <c r="Z49" s="2295"/>
      <c r="AA49" s="2295"/>
      <c r="AB49" s="2295"/>
      <c r="AC49" s="2295"/>
      <c r="AD49" s="2295"/>
      <c r="AE49" s="2295"/>
      <c r="AF49" s="2295"/>
      <c r="AG49" s="2295"/>
    </row>
    <row r="50" spans="2:33" ht="17.25">
      <c r="B50" t="s">
        <v>1032</v>
      </c>
      <c r="E50" t="s">
        <v>1033</v>
      </c>
      <c r="G50" s="743">
        <f>($E$18/1000)*$E$12/G47</f>
        <v>0</v>
      </c>
      <c r="H50" s="743">
        <f t="shared" ref="H50:K50" si="9">($E$18/1000)*$E$12/H47</f>
        <v>0</v>
      </c>
      <c r="I50" s="743">
        <f t="shared" si="9"/>
        <v>0</v>
      </c>
      <c r="J50" s="743">
        <f t="shared" si="9"/>
        <v>0</v>
      </c>
      <c r="K50" s="743">
        <f t="shared" si="9"/>
        <v>0</v>
      </c>
      <c r="L50" s="743"/>
      <c r="M50" s="743"/>
      <c r="N50" s="2296" t="s">
        <v>1136</v>
      </c>
      <c r="O50" s="829" t="s">
        <v>1205</v>
      </c>
      <c r="P50" s="829" t="s">
        <v>1138</v>
      </c>
      <c r="Q50" s="2302" t="s">
        <v>1148</v>
      </c>
      <c r="R50" s="829" t="s">
        <v>1203</v>
      </c>
      <c r="S50" s="829" t="s">
        <v>1135</v>
      </c>
      <c r="W50" s="2299" t="s">
        <v>1208</v>
      </c>
      <c r="X50" s="2299"/>
      <c r="Y50" s="2299"/>
      <c r="Z50" s="2299"/>
      <c r="AA50" s="2299"/>
      <c r="AB50" s="2299"/>
      <c r="AC50" s="2299"/>
      <c r="AD50" s="2299"/>
      <c r="AE50" s="2299"/>
      <c r="AF50" s="2299"/>
    </row>
    <row r="51" spans="2:33" ht="17.25">
      <c r="B51" t="s">
        <v>1034</v>
      </c>
      <c r="E51" t="s">
        <v>1035</v>
      </c>
      <c r="G51" s="743">
        <f>9.81*G45*ABS(G37-$E$11)*($E$18/1000)^3/(G47*G49)</f>
        <v>367662.65938812139</v>
      </c>
      <c r="H51" s="743">
        <f t="shared" ref="H51:K51" si="10">9.81*H45*ABS(H37-$E$11)*($E$18/1000)^3/(H47*H49)</f>
        <v>5102149.8883071281</v>
      </c>
      <c r="I51" s="743">
        <f t="shared" si="10"/>
        <v>4096900.359226001</v>
      </c>
      <c r="J51" s="743">
        <f t="shared" si="10"/>
        <v>4212112.2873625616</v>
      </c>
      <c r="K51" s="743">
        <f t="shared" si="10"/>
        <v>4198035.2484492073</v>
      </c>
      <c r="L51" s="743"/>
      <c r="M51" s="743"/>
      <c r="N51" s="2296"/>
      <c r="O51" s="830" t="s">
        <v>1220</v>
      </c>
      <c r="P51" s="830" t="s">
        <v>1142</v>
      </c>
      <c r="Q51" s="2303"/>
      <c r="R51" s="831" t="s">
        <v>1158</v>
      </c>
      <c r="S51" s="830" t="s">
        <v>1213</v>
      </c>
      <c r="W51" s="2300" t="s">
        <v>985</v>
      </c>
      <c r="X51" s="2300"/>
      <c r="Y51" s="2300"/>
      <c r="Z51" s="2300"/>
      <c r="AA51" s="2300"/>
      <c r="AB51" s="2300"/>
      <c r="AC51" s="2300"/>
      <c r="AD51" s="2300"/>
      <c r="AE51" s="2300"/>
      <c r="AF51" s="2300"/>
      <c r="AG51" s="2301" t="s">
        <v>1156</v>
      </c>
    </row>
    <row r="52" spans="2:33" ht="15.75" thickBot="1">
      <c r="N52" s="836" t="e" cm="1" vm="2">
        <f t="array" ref="N52">_xlfn._xlws.FILTER(Isolation!$B$47:$E$56,Isolation!$E$47:'Isolation'!$E$56=P6)</f>
        <v>#VALUE!</v>
      </c>
      <c r="O52" s="22"/>
      <c r="P52" s="22"/>
      <c r="Q52" s="22"/>
      <c r="R52" s="840" t="e" vm="1">
        <f>VLOOKUP(N52,Isolation!$B$47:$R$56,9)</f>
        <v>#VALUE!</v>
      </c>
      <c r="S52" s="22" t="e" vm="1">
        <f>IF(N52="","",AG53)</f>
        <v>#VALUE!</v>
      </c>
      <c r="V52" s="774">
        <f>$E$32</f>
        <v>851.08989601051201</v>
      </c>
      <c r="W52" s="818" cm="1">
        <f t="array" ref="W52:AF52">TRANSPOSE(P52:P61)</f>
        <v>0</v>
      </c>
      <c r="X52" s="818">
        <v>0</v>
      </c>
      <c r="Y52" s="818">
        <v>0</v>
      </c>
      <c r="Z52" s="818">
        <v>0</v>
      </c>
      <c r="AA52" s="818">
        <v>0</v>
      </c>
      <c r="AB52" s="818">
        <v>0</v>
      </c>
      <c r="AC52" s="818">
        <v>0</v>
      </c>
      <c r="AD52" s="818">
        <v>0</v>
      </c>
      <c r="AE52" s="818">
        <v>0</v>
      </c>
      <c r="AF52" s="818">
        <v>0</v>
      </c>
      <c r="AG52" s="2301"/>
    </row>
    <row r="53" spans="2:33">
      <c r="B53" s="4" t="s">
        <v>1114</v>
      </c>
      <c r="N53" s="836"/>
      <c r="O53" s="22"/>
      <c r="P53" s="22"/>
      <c r="Q53" s="22"/>
      <c r="R53" s="840" t="e">
        <f>VLOOKUP(N53,Isolation!$B$47:$R$56,9)</f>
        <v>#N/A</v>
      </c>
      <c r="S53" s="22" t="str">
        <f t="shared" ref="S53:S61" si="11">IF(N53="","",AG54)</f>
        <v/>
      </c>
      <c r="U53" s="2294" t="s">
        <v>1204</v>
      </c>
      <c r="V53" s="821" t="e" vm="1">
        <f>R52</f>
        <v>#VALUE!</v>
      </c>
      <c r="W53" s="454"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38" t="e" cm="1" vm="1">
        <f t="array" ref="AG53">INDEX(W53:AF53,ROWS($1:1))</f>
        <v>#VALUE!</v>
      </c>
    </row>
    <row r="54" spans="2:33">
      <c r="B54" t="s">
        <v>1036</v>
      </c>
      <c r="E54" t="s">
        <v>1037</v>
      </c>
      <c r="F54" t="s">
        <v>1060</v>
      </c>
      <c r="G54" s="160">
        <f>'Facteurs conversion'!$C$30*$E$16*((G37+273.15)^4-($E$11+273.15)^4)/((G37+273.15)-($E$11+273.15))</f>
        <v>5.0814738812175015</v>
      </c>
      <c r="H54" s="160">
        <f>'Facteurs conversion'!$C$30*$E$16*((H37+273.15)^4-($E$11+273.15)^4)/((H37+273.15)-($E$11+273.15))</f>
        <v>5.4754829536212188</v>
      </c>
      <c r="I54" s="160">
        <f>'Facteurs conversion'!$C$30*$E$16*((I37+273.15)^4-($E$11+273.15)^4)/((I37+273.15)-($E$11+273.15))</f>
        <v>5.3812791229595884</v>
      </c>
      <c r="J54" s="160">
        <f>'Facteurs conversion'!$C$30*$E$16*((J37+273.15)^4-($E$11+273.15)^4)/((J37+273.15)-($E$11+273.15))</f>
        <v>5.3917411621695148</v>
      </c>
      <c r="K54" s="160">
        <f>'Facteurs conversion'!$C$30*$E$16*((K37+273.15)^4-($E$11+273.15)^4)/((K37+273.15)-($E$11+273.15))</f>
        <v>5.3904584008403305</v>
      </c>
      <c r="L54" s="160"/>
      <c r="M54" s="735"/>
      <c r="N54" s="836"/>
      <c r="O54" s="22"/>
      <c r="P54" s="22"/>
      <c r="Q54" s="22"/>
      <c r="R54" s="840" t="e">
        <f>VLOOKUP(N54,Isolation!$B$47:$R$56,9)</f>
        <v>#N/A</v>
      </c>
      <c r="S54" s="22" t="str">
        <f t="shared" si="11"/>
        <v/>
      </c>
      <c r="U54" s="2294"/>
      <c r="V54" s="821" t="e">
        <f t="shared" ref="V54:V62" si="12">R53</f>
        <v>#N/A</v>
      </c>
      <c r="W54" t="e">
        <v>#N/A</v>
      </c>
      <c r="X54" s="454" t="e">
        <v>#N/A</v>
      </c>
      <c r="Y54" t="e">
        <v>#N/A</v>
      </c>
      <c r="Z54" t="e">
        <v>#N/A</v>
      </c>
      <c r="AA54" t="e">
        <v>#N/A</v>
      </c>
      <c r="AB54" t="e">
        <v>#N/A</v>
      </c>
      <c r="AC54" t="e">
        <v>#N/A</v>
      </c>
      <c r="AD54" t="e">
        <v>#N/A</v>
      </c>
      <c r="AE54" t="e">
        <v>#N/A</v>
      </c>
      <c r="AF54" t="e">
        <v>#N/A</v>
      </c>
      <c r="AG54" s="769" t="e" cm="1">
        <f t="array" ref="AG54">INDEX(W54:AF54,ROWS($1:2))</f>
        <v>#N/A</v>
      </c>
    </row>
    <row r="55" spans="2:33">
      <c r="B55" t="s">
        <v>1038</v>
      </c>
      <c r="N55" s="836"/>
      <c r="O55" s="22"/>
      <c r="P55" s="22"/>
      <c r="Q55" s="22"/>
      <c r="R55" s="840" t="e">
        <f>VLOOKUP(N55,Isolation!$B$47:$R$56,9)</f>
        <v>#N/A</v>
      </c>
      <c r="S55" s="22" t="str">
        <f t="shared" si="11"/>
        <v/>
      </c>
      <c r="U55" s="2294"/>
      <c r="V55" s="821" t="e">
        <f t="shared" si="12"/>
        <v>#N/A</v>
      </c>
      <c r="W55" t="e">
        <v>#N/A</v>
      </c>
      <c r="X55" t="e">
        <v>#N/A</v>
      </c>
      <c r="Y55" s="454" t="e">
        <v>#N/A</v>
      </c>
      <c r="Z55" t="e">
        <v>#N/A</v>
      </c>
      <c r="AA55" t="e">
        <v>#N/A</v>
      </c>
      <c r="AB55" t="e">
        <v>#N/A</v>
      </c>
      <c r="AC55" t="e">
        <v>#N/A</v>
      </c>
      <c r="AD55" t="e">
        <v>#N/A</v>
      </c>
      <c r="AE55" t="e">
        <v>#N/A</v>
      </c>
      <c r="AF55" t="e">
        <v>#N/A</v>
      </c>
      <c r="AG55" s="769" t="e" cm="1">
        <f t="array" ref="AG55">INDEX(W55:AF55,ROWS($1:3))</f>
        <v>#N/A</v>
      </c>
    </row>
    <row r="56" spans="2:33">
      <c r="B56" t="s">
        <v>1115</v>
      </c>
      <c r="E56" t="s">
        <v>1039</v>
      </c>
      <c r="G56" s="733">
        <f>0.3+(0.62*G50^0.5*G44^(1/3))*(1+(G50/282000)^(5/8))^(4/5)/(1 + (0.4/G44)^(2/3))^(1/4)</f>
        <v>0.3</v>
      </c>
      <c r="H56" s="733">
        <f>0.3+(0.62*H50^0.5*H44^(1/3))*(1+(H50/282000)^(5/8))^(4/5)/(1 + (0.4/H44)^(2/3))^(1/4)</f>
        <v>0.3</v>
      </c>
      <c r="I56" s="733">
        <f t="shared" ref="I56:K56" si="13">0.3+(0.62*I50^0.5*I44^(1/3))*(1+(I50/282000)^(5/8))^(4/5)/(1 + (0.4/I44)^(2/3))^(1/4)</f>
        <v>0.3</v>
      </c>
      <c r="J56" s="733">
        <f t="shared" si="13"/>
        <v>0.3</v>
      </c>
      <c r="K56" s="733">
        <f t="shared" si="13"/>
        <v>0.3</v>
      </c>
      <c r="L56" s="733"/>
      <c r="M56" s="733"/>
      <c r="N56" s="836"/>
      <c r="O56" s="22"/>
      <c r="P56" s="22"/>
      <c r="Q56" s="22"/>
      <c r="R56" s="840" t="e">
        <f>VLOOKUP(N56,Isolation!$B$47:$R$56,9)</f>
        <v>#N/A</v>
      </c>
      <c r="S56" s="22" t="str">
        <f t="shared" si="11"/>
        <v/>
      </c>
      <c r="U56" s="2294"/>
      <c r="V56" s="821" t="e">
        <f t="shared" si="12"/>
        <v>#N/A</v>
      </c>
      <c r="W56" t="e">
        <v>#N/A</v>
      </c>
      <c r="X56" t="e">
        <v>#N/A</v>
      </c>
      <c r="Y56" t="e">
        <v>#N/A</v>
      </c>
      <c r="Z56" s="454" t="e">
        <v>#N/A</v>
      </c>
      <c r="AA56" t="e">
        <v>#N/A</v>
      </c>
      <c r="AB56" t="e">
        <v>#N/A</v>
      </c>
      <c r="AC56" t="e">
        <v>#N/A</v>
      </c>
      <c r="AD56" t="e">
        <v>#N/A</v>
      </c>
      <c r="AE56" t="e">
        <v>#N/A</v>
      </c>
      <c r="AF56" t="e">
        <v>#N/A</v>
      </c>
      <c r="AG56" s="769" t="e" cm="1">
        <f t="array" ref="AG56">INDEX(W56:AF56,ROWS($1:4))</f>
        <v>#N/A</v>
      </c>
    </row>
    <row r="57" spans="2:33">
      <c r="E57" t="s">
        <v>1040</v>
      </c>
      <c r="F57" t="s">
        <v>1060</v>
      </c>
      <c r="G57" s="160">
        <f>G56*G42/($E$18/1000)</f>
        <v>5.0433497389770314E-2</v>
      </c>
      <c r="H57" s="160">
        <f t="shared" ref="H57:K57" si="14">H56*H42/($E$18/1000)</f>
        <v>5.1573004216673671E-2</v>
      </c>
      <c r="I57" s="160">
        <f t="shared" si="14"/>
        <v>5.1307849362632926E-2</v>
      </c>
      <c r="J57" s="160">
        <f t="shared" si="14"/>
        <v>5.1337513534200969E-2</v>
      </c>
      <c r="K57" s="160">
        <f t="shared" si="14"/>
        <v>5.1333879325765802E-2</v>
      </c>
      <c r="L57" s="160"/>
      <c r="M57" s="735"/>
      <c r="N57" s="836"/>
      <c r="O57" s="22"/>
      <c r="P57" s="22"/>
      <c r="Q57" s="22"/>
      <c r="R57" s="840" t="e">
        <f>VLOOKUP(N57,Isolation!$B$47:$R$56,9)</f>
        <v>#N/A</v>
      </c>
      <c r="S57" s="22" t="str">
        <f t="shared" si="11"/>
        <v/>
      </c>
      <c r="U57" s="2294"/>
      <c r="V57" s="821" t="e">
        <f t="shared" si="12"/>
        <v>#N/A</v>
      </c>
      <c r="W57" t="e">
        <v>#N/A</v>
      </c>
      <c r="X57" t="e">
        <v>#N/A</v>
      </c>
      <c r="Y57" t="e">
        <v>#N/A</v>
      </c>
      <c r="Z57" t="e">
        <v>#N/A</v>
      </c>
      <c r="AA57" s="454" t="e">
        <v>#N/A</v>
      </c>
      <c r="AB57" t="e">
        <v>#N/A</v>
      </c>
      <c r="AC57" t="e">
        <v>#N/A</v>
      </c>
      <c r="AD57" t="e">
        <v>#N/A</v>
      </c>
      <c r="AE57" t="e">
        <v>#N/A</v>
      </c>
      <c r="AF57" t="e">
        <v>#N/A</v>
      </c>
      <c r="AG57" s="769" t="e" cm="1">
        <f t="array" ref="AG57">INDEX(W57:AF57,ROWS($1:5))</f>
        <v>#N/A</v>
      </c>
    </row>
    <row r="58" spans="2:33">
      <c r="B58" t="s">
        <v>1041</v>
      </c>
      <c r="E58" t="s">
        <v>1042</v>
      </c>
      <c r="G58" s="160">
        <f>(0.6 + 0.387*G51^(1/6)/( 1 +(0.559/G44)^(9/16))^(8/27))^2</f>
        <v>11.016235741847423</v>
      </c>
      <c r="H58" s="160">
        <f t="shared" ref="H58:K58" si="15">(0.6 + 0.387*H51^(1/6)/( 1 +(0.559/H44)^(9/16))^(8/27))^2</f>
        <v>23.176841841617929</v>
      </c>
      <c r="I58" s="160">
        <f t="shared" si="15"/>
        <v>21.744315475212986</v>
      </c>
      <c r="J58" s="160">
        <f t="shared" si="15"/>
        <v>21.920030983387274</v>
      </c>
      <c r="K58" s="160">
        <f t="shared" si="15"/>
        <v>21.898740574275354</v>
      </c>
      <c r="L58" s="160"/>
      <c r="M58" s="160"/>
      <c r="N58" s="836"/>
      <c r="O58" s="22"/>
      <c r="P58" s="22"/>
      <c r="Q58" s="22"/>
      <c r="R58" s="840" t="e">
        <f>VLOOKUP(N58,Isolation!$B$47:$R$56,9)</f>
        <v>#N/A</v>
      </c>
      <c r="S58" s="22" t="str">
        <f t="shared" si="11"/>
        <v/>
      </c>
      <c r="U58" s="2294"/>
      <c r="V58" s="821" t="e">
        <f t="shared" si="12"/>
        <v>#N/A</v>
      </c>
      <c r="W58" t="e">
        <v>#N/A</v>
      </c>
      <c r="X58" t="e">
        <v>#N/A</v>
      </c>
      <c r="Y58" t="e">
        <v>#N/A</v>
      </c>
      <c r="Z58" t="e">
        <v>#N/A</v>
      </c>
      <c r="AA58" t="e">
        <v>#N/A</v>
      </c>
      <c r="AB58" s="454" t="e">
        <v>#N/A</v>
      </c>
      <c r="AC58" t="e">
        <v>#N/A</v>
      </c>
      <c r="AD58" t="e">
        <v>#N/A</v>
      </c>
      <c r="AE58" t="e">
        <v>#N/A</v>
      </c>
      <c r="AF58" t="e">
        <v>#N/A</v>
      </c>
      <c r="AG58" s="769" t="e" cm="1">
        <f t="array" ref="AG58">INDEX(W58:AF58,ROWS($1:6))</f>
        <v>#N/A</v>
      </c>
    </row>
    <row r="59" spans="2:33">
      <c r="E59" t="s">
        <v>1043</v>
      </c>
      <c r="F59" t="s">
        <v>1060</v>
      </c>
      <c r="G59" s="160">
        <f>G58*G42/($E$18/1000)</f>
        <v>1.8519576551051879</v>
      </c>
      <c r="H59" s="160">
        <f t="shared" ref="H59:K59" si="16">H58*H42/($E$18/1000)</f>
        <v>3.984331206756468</v>
      </c>
      <c r="I59" s="160">
        <f t="shared" si="16"/>
        <v>3.7188468763193199</v>
      </c>
      <c r="J59" s="160">
        <f t="shared" si="16"/>
        <v>3.7510662909324957</v>
      </c>
      <c r="K59" s="160">
        <f t="shared" si="16"/>
        <v>3.7471576867536744</v>
      </c>
      <c r="L59" s="160"/>
      <c r="M59" s="735"/>
      <c r="N59" s="836"/>
      <c r="O59" s="22"/>
      <c r="P59" s="22"/>
      <c r="Q59" s="22"/>
      <c r="R59" s="840" t="e">
        <f>VLOOKUP(N59,Isolation!$B$47:$R$56,9)</f>
        <v>#N/A</v>
      </c>
      <c r="S59" s="22" t="str">
        <f t="shared" si="11"/>
        <v/>
      </c>
      <c r="U59" s="2294"/>
      <c r="V59" s="821" t="e">
        <f t="shared" si="12"/>
        <v>#N/A</v>
      </c>
      <c r="W59" t="e">
        <v>#N/A</v>
      </c>
      <c r="X59" t="e">
        <v>#N/A</v>
      </c>
      <c r="Y59" t="e">
        <v>#N/A</v>
      </c>
      <c r="Z59" t="e">
        <v>#N/A</v>
      </c>
      <c r="AA59" t="e">
        <v>#N/A</v>
      </c>
      <c r="AB59" t="e">
        <v>#N/A</v>
      </c>
      <c r="AC59" s="454" t="e">
        <v>#N/A</v>
      </c>
      <c r="AD59" t="e">
        <v>#N/A</v>
      </c>
      <c r="AE59" t="e">
        <v>#N/A</v>
      </c>
      <c r="AF59" t="e">
        <v>#N/A</v>
      </c>
      <c r="AG59" s="769" t="e" cm="1">
        <f t="array" ref="AG59">INDEX(W59:AF59,ROWS($1:7))</f>
        <v>#N/A</v>
      </c>
    </row>
    <row r="60" spans="2:33">
      <c r="B60" t="s">
        <v>1116</v>
      </c>
      <c r="E60" t="s">
        <v>1044</v>
      </c>
      <c r="G60" s="733">
        <f>(G56^4+G58^4)^(1/4)</f>
        <v>11.016237256542714</v>
      </c>
      <c r="H60" s="733">
        <f t="shared" ref="H60:K60" si="17">(H56^4+H58^4)^(1/4)</f>
        <v>23.176842004270991</v>
      </c>
      <c r="I60" s="733">
        <f t="shared" si="17"/>
        <v>21.744315672177418</v>
      </c>
      <c r="J60" s="733">
        <f t="shared" si="17"/>
        <v>21.920031175652849</v>
      </c>
      <c r="K60" s="733">
        <f t="shared" si="17"/>
        <v>21.89874076710225</v>
      </c>
      <c r="L60" s="733"/>
      <c r="M60" s="733"/>
      <c r="N60" s="836"/>
      <c r="O60" s="22"/>
      <c r="P60" s="22"/>
      <c r="Q60" s="22"/>
      <c r="R60" s="840" t="e">
        <f>VLOOKUP(N60,Isolation!$B$47:$R$56,9)</f>
        <v>#N/A</v>
      </c>
      <c r="S60" s="22" t="str">
        <f t="shared" si="11"/>
        <v/>
      </c>
      <c r="U60" s="2294"/>
      <c r="V60" s="821" t="e">
        <f t="shared" si="12"/>
        <v>#N/A</v>
      </c>
      <c r="W60" t="e">
        <v>#N/A</v>
      </c>
      <c r="X60" t="e">
        <v>#N/A</v>
      </c>
      <c r="Y60" t="e">
        <v>#N/A</v>
      </c>
      <c r="Z60" t="e">
        <v>#N/A</v>
      </c>
      <c r="AA60" t="e">
        <v>#N/A</v>
      </c>
      <c r="AB60" t="e">
        <v>#N/A</v>
      </c>
      <c r="AC60" t="e">
        <v>#N/A</v>
      </c>
      <c r="AD60" s="454" t="e">
        <v>#N/A</v>
      </c>
      <c r="AE60" t="e">
        <v>#N/A</v>
      </c>
      <c r="AF60" t="e">
        <v>#N/A</v>
      </c>
      <c r="AG60" s="769" t="e" cm="1">
        <f t="array" ref="AG60">INDEX(W60:AF60,ROWS($1:8))</f>
        <v>#N/A</v>
      </c>
    </row>
    <row r="61" spans="2:33">
      <c r="E61" t="s">
        <v>1045</v>
      </c>
      <c r="F61" t="s">
        <v>1060</v>
      </c>
      <c r="G61" s="160">
        <f>G60*G42/($E$18/1000)</f>
        <v>1.8519579097431249</v>
      </c>
      <c r="H61" s="160">
        <f t="shared" ref="H61:K61" si="18">H60*H42/($E$18/1000)</f>
        <v>3.9843312347181583</v>
      </c>
      <c r="I61" s="160">
        <f t="shared" si="18"/>
        <v>3.7188469100053916</v>
      </c>
      <c r="J61" s="160">
        <f t="shared" si="18"/>
        <v>3.7510663238339506</v>
      </c>
      <c r="K61" s="160">
        <f t="shared" si="18"/>
        <v>3.7471577197488499</v>
      </c>
      <c r="L61" s="160"/>
      <c r="M61" s="160"/>
      <c r="N61" s="836"/>
      <c r="O61" s="22"/>
      <c r="P61" s="22"/>
      <c r="Q61" s="22"/>
      <c r="R61" s="840" t="e">
        <f>VLOOKUP(N61,Isolation!$B$47:$R$56,9)</f>
        <v>#N/A</v>
      </c>
      <c r="S61" s="22" t="str">
        <f t="shared" si="11"/>
        <v/>
      </c>
      <c r="U61" s="2294"/>
      <c r="V61" s="821" t="e">
        <f t="shared" si="12"/>
        <v>#N/A</v>
      </c>
      <c r="W61" t="e">
        <v>#N/A</v>
      </c>
      <c r="X61" t="e">
        <v>#N/A</v>
      </c>
      <c r="Y61" t="e">
        <v>#N/A</v>
      </c>
      <c r="Z61" t="e">
        <v>#N/A</v>
      </c>
      <c r="AA61" t="e">
        <v>#N/A</v>
      </c>
      <c r="AB61" t="e">
        <v>#N/A</v>
      </c>
      <c r="AC61" t="e">
        <v>#N/A</v>
      </c>
      <c r="AD61" t="e">
        <v>#N/A</v>
      </c>
      <c r="AE61" s="454" t="e">
        <v>#N/A</v>
      </c>
      <c r="AF61" t="e">
        <v>#N/A</v>
      </c>
      <c r="AG61" s="769" t="e" cm="1">
        <f t="array" ref="AG61">INDEX(W61:AF61,ROWS($1:9))</f>
        <v>#N/A</v>
      </c>
    </row>
    <row r="62" spans="2:33" ht="15.75" thickBot="1">
      <c r="B62" t="s">
        <v>1117</v>
      </c>
      <c r="E62" t="s">
        <v>1046</v>
      </c>
      <c r="F62" t="s">
        <v>1060</v>
      </c>
      <c r="G62" s="160">
        <f>G61+G54</f>
        <v>6.9334317909606265</v>
      </c>
      <c r="H62" s="160">
        <f t="shared" ref="H62:K62" si="19">H61+H54</f>
        <v>9.4598141883393776</v>
      </c>
      <c r="I62" s="160">
        <f t="shared" si="19"/>
        <v>9.1001260329649796</v>
      </c>
      <c r="J62" s="160">
        <f t="shared" si="19"/>
        <v>9.1428074860034663</v>
      </c>
      <c r="K62" s="160">
        <f t="shared" si="19"/>
        <v>9.1376161205891808</v>
      </c>
      <c r="L62" s="160"/>
      <c r="M62" s="160"/>
      <c r="U62" s="2294"/>
      <c r="V62" s="821" t="e">
        <f t="shared" si="12"/>
        <v>#N/A</v>
      </c>
      <c r="W62" t="e">
        <v>#N/A</v>
      </c>
      <c r="X62" t="e">
        <v>#N/A</v>
      </c>
      <c r="Y62" t="e">
        <v>#N/A</v>
      </c>
      <c r="Z62" t="e">
        <v>#N/A</v>
      </c>
      <c r="AA62" t="e">
        <v>#N/A</v>
      </c>
      <c r="AB62" t="e">
        <v>#N/A</v>
      </c>
      <c r="AC62" t="e">
        <v>#N/A</v>
      </c>
      <c r="AD62" t="e">
        <v>#N/A</v>
      </c>
      <c r="AE62" t="e">
        <v>#N/A</v>
      </c>
      <c r="AF62" s="454" t="e">
        <v>#N/A</v>
      </c>
      <c r="AG62" s="839" t="e" cm="1">
        <f t="array" ref="AG62">INDEX(W62:AF62,ROWS($1:10))</f>
        <v>#N/A</v>
      </c>
    </row>
    <row r="63" spans="2:33">
      <c r="B63" s="4" t="s">
        <v>1118</v>
      </c>
      <c r="G63" s="160"/>
      <c r="H63" s="160"/>
      <c r="I63" s="160"/>
      <c r="J63" s="160"/>
      <c r="K63" s="160"/>
      <c r="N63" s="742"/>
      <c r="O63" s="742"/>
      <c r="P63" s="742"/>
      <c r="Q63" s="742"/>
      <c r="R63" s="742"/>
    </row>
    <row r="64" spans="2:33">
      <c r="B64" t="s">
        <v>1109</v>
      </c>
      <c r="E64" t="s">
        <v>1047</v>
      </c>
      <c r="F64" t="s">
        <v>1018</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95" t="s">
        <v>1510</v>
      </c>
      <c r="O64" s="2295"/>
      <c r="P64" s="2295"/>
      <c r="Q64" s="2295"/>
      <c r="R64" s="2295"/>
      <c r="S64" s="2295"/>
      <c r="T64" s="2295"/>
      <c r="U64" s="2295"/>
      <c r="V64" s="2295"/>
      <c r="W64" s="2295"/>
      <c r="X64" s="2295"/>
      <c r="Y64" s="2295"/>
      <c r="Z64" s="2295"/>
      <c r="AA64" s="2295"/>
      <c r="AB64" s="2295"/>
      <c r="AC64" s="2295"/>
      <c r="AD64" s="2295"/>
      <c r="AE64" s="2295"/>
      <c r="AF64" s="2295"/>
      <c r="AG64" s="2295"/>
    </row>
    <row r="65" spans="2:33" ht="17.25">
      <c r="B65" t="s">
        <v>1119</v>
      </c>
      <c r="E65" t="s">
        <v>1048</v>
      </c>
      <c r="F65" t="s">
        <v>1061</v>
      </c>
      <c r="G65" s="741">
        <f>($E$18/1000)*LN($E$9/$E$8)/(2*G64)</f>
        <v>3.8438878323332441E-5</v>
      </c>
      <c r="H65" s="741">
        <f>($E$18/1000)*LN($E$9/$E$8)/(2*H64)</f>
        <v>3.8438878323332441E-5</v>
      </c>
      <c r="I65" s="741">
        <f>($E$18/1000)*LN($E$9/$E$8)/(2*I64)</f>
        <v>3.8438878323332441E-5</v>
      </c>
      <c r="J65" s="741">
        <f>($E$18/1000)*LN($E$9/$E$8)/(2*J64)</f>
        <v>3.8438878323332441E-5</v>
      </c>
      <c r="K65" s="741">
        <f>($E$18/1000)*LN($E$9/$E$8)/(2*K64)</f>
        <v>3.8438878323332441E-5</v>
      </c>
      <c r="L65" s="741"/>
      <c r="M65" s="741"/>
      <c r="N65" s="2296" t="s">
        <v>1136</v>
      </c>
      <c r="O65" s="829" t="s">
        <v>1205</v>
      </c>
      <c r="P65" s="829" t="s">
        <v>1138</v>
      </c>
      <c r="Q65" s="2302" t="s">
        <v>1148</v>
      </c>
      <c r="R65" s="829" t="s">
        <v>1203</v>
      </c>
      <c r="S65" s="829" t="s">
        <v>1135</v>
      </c>
      <c r="W65" s="2299" t="s">
        <v>1208</v>
      </c>
      <c r="X65" s="2299"/>
      <c r="Y65" s="2299"/>
      <c r="Z65" s="2299"/>
      <c r="AA65" s="2299"/>
      <c r="AB65" s="2299"/>
      <c r="AC65" s="2299"/>
      <c r="AD65" s="2299"/>
      <c r="AE65" s="2299"/>
      <c r="AF65" s="2299"/>
    </row>
    <row r="66" spans="2:33" ht="17.25">
      <c r="B66" s="4" t="s">
        <v>1120</v>
      </c>
      <c r="N66" s="2296"/>
      <c r="O66" s="830" t="s">
        <v>1220</v>
      </c>
      <c r="P66" s="830" t="s">
        <v>1142</v>
      </c>
      <c r="Q66" s="2303"/>
      <c r="R66" s="831" t="s">
        <v>1158</v>
      </c>
      <c r="S66" s="830" t="s">
        <v>1213</v>
      </c>
      <c r="W66" s="2300" t="s">
        <v>985</v>
      </c>
      <c r="X66" s="2300"/>
      <c r="Y66" s="2300"/>
      <c r="Z66" s="2300"/>
      <c r="AA66" s="2300"/>
      <c r="AB66" s="2300"/>
      <c r="AC66" s="2300"/>
      <c r="AD66" s="2300"/>
      <c r="AE66" s="2300"/>
      <c r="AF66" s="2300"/>
      <c r="AG66" s="2301" t="s">
        <v>1156</v>
      </c>
    </row>
    <row r="67" spans="2:33" ht="15.75" thickBot="1">
      <c r="B67" t="s">
        <v>1121</v>
      </c>
      <c r="F67" t="s">
        <v>1016</v>
      </c>
      <c r="G67">
        <f>(G37+G38)/2+273.15</f>
        <v>328.98333333333329</v>
      </c>
      <c r="H67">
        <f t="shared" ref="H67:K67" si="20">(H37+H38)/2+273.15</f>
        <v>336.77351010358393</v>
      </c>
      <c r="I67">
        <f t="shared" si="20"/>
        <v>335.0727840889644</v>
      </c>
      <c r="J67">
        <f t="shared" si="20"/>
        <v>335.26294140045957</v>
      </c>
      <c r="K67">
        <f t="shared" si="20"/>
        <v>335.23964342061595</v>
      </c>
      <c r="L67" s="160"/>
      <c r="M67" s="160"/>
      <c r="N67" s="836" t="e" cm="1" vm="2">
        <f t="array" ref="N67">_xlfn._xlws.FILTER(Isolation!B62:E71,Isolation!E62:E71=P6)</f>
        <v>#VALUE!</v>
      </c>
      <c r="O67" s="22"/>
      <c r="P67" s="22"/>
      <c r="Q67" s="22"/>
      <c r="R67" s="840" t="e" vm="1">
        <f>VLOOKUP(N67,Isolation!B62:R71,9)</f>
        <v>#VALUE!</v>
      </c>
      <c r="S67" s="22" t="e" vm="1">
        <f>IF(N67="","",AG68)</f>
        <v>#VALUE!</v>
      </c>
      <c r="V67" s="774">
        <f>$E$32</f>
        <v>851.08989601051201</v>
      </c>
      <c r="W67" s="818" cm="1">
        <f t="array" ref="W67:AF67">TRANSPOSE(P67:P76)</f>
        <v>0</v>
      </c>
      <c r="X67" s="818">
        <v>0</v>
      </c>
      <c r="Y67" s="818">
        <v>0</v>
      </c>
      <c r="Z67" s="818">
        <v>0</v>
      </c>
      <c r="AA67" s="818">
        <v>0</v>
      </c>
      <c r="AB67" s="818">
        <v>0</v>
      </c>
      <c r="AC67" s="818">
        <v>0</v>
      </c>
      <c r="AD67" s="818">
        <v>0</v>
      </c>
      <c r="AE67" s="818">
        <v>0</v>
      </c>
      <c r="AF67" s="818">
        <v>0</v>
      </c>
      <c r="AG67" s="2301"/>
    </row>
    <row r="68" spans="2:33">
      <c r="B68" t="s">
        <v>1109</v>
      </c>
      <c r="E68" t="s">
        <v>1049</v>
      </c>
      <c r="F68" t="s">
        <v>1018</v>
      </c>
      <c r="G68" s="741">
        <f>Propriété_matériau!$G$18*G67^4+Propriété_matériau!$H$18*G67^3+Propriété_matériau!$I$18*G67^2+Propriété_matériau!$J$18*G67+Propriété_matériau!$K$18</f>
        <v>5.6192768692983668E-2</v>
      </c>
      <c r="H68" s="741">
        <f>Propriété_matériau!$G$18*H67^4+Propriété_matériau!$H$18*H67^3+Propriété_matériau!$I$18*H67^2+Propriété_matériau!$J$18*H67+Propriété_matériau!$K$18</f>
        <v>5.6690836238467678E-2</v>
      </c>
      <c r="I68" s="741">
        <f>Propriété_matériau!$G$18*I67^4+Propriété_matériau!$H$18*I67^3+Propriété_matériau!$I$18*I67^2+Propriété_matériau!$J$18*I67+Propriété_matériau!$K$18</f>
        <v>5.6580024828816786E-2</v>
      </c>
      <c r="J68" s="741">
        <f>Propriété_matériau!$G$18*J67^4+Propriété_matériau!$H$18*J67^3+Propriété_matériau!$I$18*J67^2+Propriété_matériau!$J$18*J67+Propriété_matériau!$K$18</f>
        <v>5.6592357631955026E-2</v>
      </c>
      <c r="K68" s="741">
        <f>Propriété_matériau!$G$18*K67^4+Propriété_matériau!$H$18*K67^3+Propriété_matériau!$I$18*K67^2+Propriété_matériau!$J$18*K67+Propriété_matériau!$K$18</f>
        <v>5.6590845850149674E-2</v>
      </c>
      <c r="L68" s="741"/>
      <c r="M68" s="741"/>
      <c r="N68" s="836"/>
      <c r="O68" s="22"/>
      <c r="P68" s="22"/>
      <c r="Q68" s="22"/>
      <c r="R68" s="840" t="e">
        <f>VLOOKUP(N68,Isolation!B63:R72,9)</f>
        <v>#N/A</v>
      </c>
      <c r="S68" s="22" t="str">
        <f t="shared" ref="S68:S76" si="21">IF(N68="","",AG69)</f>
        <v/>
      </c>
      <c r="U68" s="2294" t="s">
        <v>1204</v>
      </c>
      <c r="V68" s="821" t="e" vm="1">
        <f>R67</f>
        <v>#VALUE!</v>
      </c>
      <c r="W68" s="454"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38" t="e" cm="1" vm="1">
        <f t="array" ref="AG68">INDEX(W68:AF68,ROWS($1:1))</f>
        <v>#VALUE!</v>
      </c>
    </row>
    <row r="69" spans="2:33">
      <c r="B69" t="s">
        <v>1120</v>
      </c>
      <c r="E69" t="s">
        <v>1050</v>
      </c>
      <c r="F69" t="s">
        <v>1061</v>
      </c>
      <c r="G69" s="160">
        <f>($E$18/1000)*LN($E$18/$E$9)/(2*G68)</f>
        <v>0.54982948796576914</v>
      </c>
      <c r="H69" s="160">
        <f t="shared" ref="H69:K69" si="22">($E$18/1000)*LN($E$18/$E$9)/(2*H68)</f>
        <v>0.54499886203614101</v>
      </c>
      <c r="I69" s="160">
        <f t="shared" si="22"/>
        <v>0.54606623682685695</v>
      </c>
      <c r="J69" s="160">
        <f t="shared" si="22"/>
        <v>0.5459472361758676</v>
      </c>
      <c r="K69" s="160">
        <f t="shared" si="22"/>
        <v>0.54596182074490751</v>
      </c>
      <c r="L69" s="160"/>
      <c r="M69" s="160"/>
      <c r="N69" s="836"/>
      <c r="O69" s="22"/>
      <c r="P69" s="22"/>
      <c r="Q69" s="22"/>
      <c r="R69" s="840" t="e">
        <f>VLOOKUP(N69,Isolation!B64:R73,9)</f>
        <v>#N/A</v>
      </c>
      <c r="S69" s="22" t="str">
        <f t="shared" si="21"/>
        <v/>
      </c>
      <c r="U69" s="2294"/>
      <c r="V69" s="821" t="e">
        <f t="shared" ref="V69:V77" si="23">R68</f>
        <v>#N/A</v>
      </c>
      <c r="W69" t="e">
        <v>#N/A</v>
      </c>
      <c r="X69" s="454" t="e">
        <v>#N/A</v>
      </c>
      <c r="Y69" t="e">
        <v>#N/A</v>
      </c>
      <c r="Z69" t="e">
        <v>#N/A</v>
      </c>
      <c r="AA69" t="e">
        <v>#N/A</v>
      </c>
      <c r="AB69" t="e">
        <v>#N/A</v>
      </c>
      <c r="AC69" t="e">
        <v>#N/A</v>
      </c>
      <c r="AD69" t="e">
        <v>#N/A</v>
      </c>
      <c r="AE69" t="e">
        <v>#N/A</v>
      </c>
      <c r="AF69" t="e">
        <v>#N/A</v>
      </c>
      <c r="AG69" s="769" t="e" cm="1">
        <f t="array" ref="AG69">INDEX(W69:AF69,ROWS($1:2))</f>
        <v>#N/A</v>
      </c>
    </row>
    <row r="70" spans="2:33">
      <c r="B70" s="4" t="s">
        <v>1122</v>
      </c>
      <c r="E70" t="s">
        <v>1051</v>
      </c>
      <c r="F70" t="s">
        <v>1061</v>
      </c>
      <c r="G70" s="724">
        <f>G69+G65+1/G62</f>
        <v>0.69409664793769832</v>
      </c>
      <c r="H70" s="724">
        <f t="shared" ref="H70:K70" si="24">H69+H65+1/H62</f>
        <v>0.65074762250118723</v>
      </c>
      <c r="I70" s="724">
        <f t="shared" si="24"/>
        <v>0.65599326366292121</v>
      </c>
      <c r="J70" s="724">
        <f t="shared" si="24"/>
        <v>0.6553612690969266</v>
      </c>
      <c r="K70" s="724">
        <f t="shared" si="24"/>
        <v>0.65543799336067321</v>
      </c>
      <c r="L70" s="724"/>
      <c r="M70" s="724"/>
      <c r="N70" s="836"/>
      <c r="O70" s="22"/>
      <c r="P70" s="22"/>
      <c r="Q70" s="22"/>
      <c r="R70" s="840" t="e">
        <f>VLOOKUP(N70,Isolation!B65:R74,9)</f>
        <v>#N/A</v>
      </c>
      <c r="S70" s="22" t="str">
        <f t="shared" si="21"/>
        <v/>
      </c>
      <c r="U70" s="2294"/>
      <c r="V70" s="821" t="e">
        <f t="shared" si="23"/>
        <v>#N/A</v>
      </c>
      <c r="W70" t="e">
        <v>#N/A</v>
      </c>
      <c r="X70" t="e">
        <v>#N/A</v>
      </c>
      <c r="Y70" s="454" t="e">
        <v>#N/A</v>
      </c>
      <c r="Z70" t="e">
        <v>#N/A</v>
      </c>
      <c r="AA70" t="e">
        <v>#N/A</v>
      </c>
      <c r="AB70" t="e">
        <v>#N/A</v>
      </c>
      <c r="AC70" t="e">
        <v>#N/A</v>
      </c>
      <c r="AD70" t="e">
        <v>#N/A</v>
      </c>
      <c r="AE70" t="e">
        <v>#N/A</v>
      </c>
      <c r="AF70" t="e">
        <v>#N/A</v>
      </c>
      <c r="AG70" s="769" t="e" cm="1">
        <f t="array" ref="AG70">INDEX(W70:AF70,ROWS($1:3))</f>
        <v>#N/A</v>
      </c>
    </row>
    <row r="71" spans="2:33">
      <c r="B71" t="s">
        <v>1123</v>
      </c>
      <c r="E71" t="s">
        <v>1052</v>
      </c>
      <c r="F71" t="s">
        <v>1062</v>
      </c>
      <c r="G71" s="748">
        <f>($E$10-$E$11)/G70</f>
        <v>108.05411641568963</v>
      </c>
      <c r="H71" s="748">
        <f t="shared" ref="H71:K71" si="25">($E$10-$E$11)/H70</f>
        <v>115.25205380195327</v>
      </c>
      <c r="I71" s="748">
        <f t="shared" si="25"/>
        <v>114.33044232987486</v>
      </c>
      <c r="J71" s="748">
        <f t="shared" si="25"/>
        <v>114.44069635568844</v>
      </c>
      <c r="K71" s="748">
        <f t="shared" si="25"/>
        <v>114.42730015610971</v>
      </c>
      <c r="L71" s="160"/>
      <c r="M71" s="160"/>
      <c r="N71" s="836"/>
      <c r="O71" s="22"/>
      <c r="P71" s="22"/>
      <c r="Q71" s="22"/>
      <c r="R71" s="840" t="e">
        <f>VLOOKUP(N71,Isolation!B66:R75,9)</f>
        <v>#N/A</v>
      </c>
      <c r="S71" s="22" t="str">
        <f t="shared" si="21"/>
        <v/>
      </c>
      <c r="U71" s="2294"/>
      <c r="V71" s="821" t="e">
        <f t="shared" si="23"/>
        <v>#N/A</v>
      </c>
      <c r="W71" t="e">
        <v>#N/A</v>
      </c>
      <c r="X71" t="e">
        <v>#N/A</v>
      </c>
      <c r="Y71" t="e">
        <v>#N/A</v>
      </c>
      <c r="Z71" s="454" t="e">
        <v>#N/A</v>
      </c>
      <c r="AA71" t="e">
        <v>#N/A</v>
      </c>
      <c r="AB71" t="e">
        <v>#N/A</v>
      </c>
      <c r="AC71" t="e">
        <v>#N/A</v>
      </c>
      <c r="AD71" t="e">
        <v>#N/A</v>
      </c>
      <c r="AE71" t="e">
        <v>#N/A</v>
      </c>
      <c r="AF71" t="e">
        <v>#N/A</v>
      </c>
      <c r="AG71" s="769" t="e" cm="1">
        <f t="array" ref="AG71">INDEX(W71:AF71,ROWS($1:4))</f>
        <v>#N/A</v>
      </c>
    </row>
    <row r="72" spans="2:33">
      <c r="B72" t="s">
        <v>1075</v>
      </c>
      <c r="E72" t="s">
        <v>1053</v>
      </c>
      <c r="F72" t="s">
        <v>1056</v>
      </c>
      <c r="G72" s="733">
        <f>$E$10 - G71*G65</f>
        <v>93.329179854300094</v>
      </c>
      <c r="H72" s="733">
        <f>$E$10 - H71*H65</f>
        <v>93.32890317366072</v>
      </c>
      <c r="I72" s="733">
        <f t="shared" ref="I72:K72" si="26">$E$10 - I71*I65</f>
        <v>93.328938599371952</v>
      </c>
      <c r="J72" s="733">
        <f t="shared" si="26"/>
        <v>93.32893436133088</v>
      </c>
      <c r="K72" s="733">
        <f t="shared" si="26"/>
        <v>93.328934876265762</v>
      </c>
      <c r="L72" s="733"/>
      <c r="M72" s="733"/>
      <c r="N72" s="836"/>
      <c r="O72" s="22"/>
      <c r="P72" s="22"/>
      <c r="Q72" s="22"/>
      <c r="R72" s="840" t="e">
        <f>VLOOKUP(N72,Isolation!B67:R76,9)</f>
        <v>#N/A</v>
      </c>
      <c r="S72" s="22" t="str">
        <f t="shared" si="21"/>
        <v/>
      </c>
      <c r="U72" s="2294"/>
      <c r="V72" s="821" t="e">
        <f t="shared" si="23"/>
        <v>#N/A</v>
      </c>
      <c r="W72" t="e">
        <v>#N/A</v>
      </c>
      <c r="X72" t="e">
        <v>#N/A</v>
      </c>
      <c r="Y72" t="e">
        <v>#N/A</v>
      </c>
      <c r="Z72" t="e">
        <v>#N/A</v>
      </c>
      <c r="AA72" s="454" t="e">
        <v>#N/A</v>
      </c>
      <c r="AB72" t="e">
        <v>#N/A</v>
      </c>
      <c r="AC72" t="e">
        <v>#N/A</v>
      </c>
      <c r="AD72" t="e">
        <v>#N/A</v>
      </c>
      <c r="AE72" t="e">
        <v>#N/A</v>
      </c>
      <c r="AF72" t="e">
        <v>#N/A</v>
      </c>
      <c r="AG72" s="769" t="e" cm="1">
        <f t="array" ref="AG72">INDEX(W72:AF72,ROWS($1:5))</f>
        <v>#N/A</v>
      </c>
    </row>
    <row r="73" spans="2:33">
      <c r="B73" t="s">
        <v>1124</v>
      </c>
      <c r="E73" t="s">
        <v>1054</v>
      </c>
      <c r="F73" t="s">
        <v>1056</v>
      </c>
      <c r="G73" s="160">
        <f>G72-G71*G69</f>
        <v>33.917840352867856</v>
      </c>
      <c r="H73" s="160">
        <f t="shared" ref="H73:J73" si="27">H72-H71*H69</f>
        <v>30.516665004268091</v>
      </c>
      <c r="I73" s="160">
        <f t="shared" si="27"/>
        <v>30.8969442015472</v>
      </c>
      <c r="J73" s="160">
        <f t="shared" si="27"/>
        <v>30.85035247990109</v>
      </c>
      <c r="K73" s="160">
        <f>K72-K71*K69</f>
        <v>30.855997740112066</v>
      </c>
      <c r="L73" s="160"/>
      <c r="M73" s="160"/>
      <c r="N73" s="836"/>
      <c r="O73" s="22"/>
      <c r="P73" s="22"/>
      <c r="Q73" s="22"/>
      <c r="R73" s="840" t="e">
        <f>VLOOKUP(N73,Isolation!B68:R77,9)</f>
        <v>#N/A</v>
      </c>
      <c r="S73" s="22" t="str">
        <f t="shared" si="21"/>
        <v/>
      </c>
      <c r="U73" s="2294"/>
      <c r="V73" s="821" t="e">
        <f t="shared" si="23"/>
        <v>#N/A</v>
      </c>
      <c r="W73" t="e">
        <v>#N/A</v>
      </c>
      <c r="X73" t="e">
        <v>#N/A</v>
      </c>
      <c r="Y73" t="e">
        <v>#N/A</v>
      </c>
      <c r="Z73" t="e">
        <v>#N/A</v>
      </c>
      <c r="AA73" t="e">
        <v>#N/A</v>
      </c>
      <c r="AB73" s="454" t="e">
        <v>#N/A</v>
      </c>
      <c r="AC73" t="e">
        <v>#N/A</v>
      </c>
      <c r="AD73" t="e">
        <v>#N/A</v>
      </c>
      <c r="AE73" t="e">
        <v>#N/A</v>
      </c>
      <c r="AF73" t="e">
        <v>#N/A</v>
      </c>
      <c r="AG73" s="769" t="e" cm="1">
        <f t="array" ref="AG73">INDEX(W73:AF73,ROWS($1:6))</f>
        <v>#N/A</v>
      </c>
    </row>
    <row r="74" spans="2:33">
      <c r="B74" t="s">
        <v>1125</v>
      </c>
      <c r="F74" t="s">
        <v>1010</v>
      </c>
      <c r="G74" s="160">
        <f>G71*PI()*($E$18/1000)</f>
        <v>51.734011592222018</v>
      </c>
      <c r="H74" s="160">
        <f t="shared" ref="H74:J74" si="28">H71*PI()*($E$18/1000)</f>
        <v>55.180230843587637</v>
      </c>
      <c r="I74" s="160">
        <f t="shared" si="28"/>
        <v>54.73898288227344</v>
      </c>
      <c r="J74" s="160">
        <f t="shared" si="28"/>
        <v>54.791770163672204</v>
      </c>
      <c r="K74" s="160">
        <f>K71*PI()*($E$18/1000)</f>
        <v>54.78535634837958</v>
      </c>
      <c r="N74" s="836"/>
      <c r="O74" s="22"/>
      <c r="P74" s="22"/>
      <c r="Q74" s="22"/>
      <c r="R74" s="840" t="e">
        <f>VLOOKUP(N74,Isolation!B69:R78,9)</f>
        <v>#N/A</v>
      </c>
      <c r="S74" s="22" t="str">
        <f t="shared" si="21"/>
        <v/>
      </c>
      <c r="U74" s="2294"/>
      <c r="V74" s="821" t="e">
        <f t="shared" si="23"/>
        <v>#N/A</v>
      </c>
      <c r="W74" t="e">
        <v>#N/A</v>
      </c>
      <c r="X74" t="e">
        <v>#N/A</v>
      </c>
      <c r="Y74" t="e">
        <v>#N/A</v>
      </c>
      <c r="Z74" t="e">
        <v>#N/A</v>
      </c>
      <c r="AA74" t="e">
        <v>#N/A</v>
      </c>
      <c r="AB74" t="e">
        <v>#N/A</v>
      </c>
      <c r="AC74" s="454" t="e">
        <v>#N/A</v>
      </c>
      <c r="AD74" t="e">
        <v>#N/A</v>
      </c>
      <c r="AE74" t="e">
        <v>#N/A</v>
      </c>
      <c r="AF74" t="e">
        <v>#N/A</v>
      </c>
      <c r="AG74" s="769" t="e" cm="1">
        <f t="array" ref="AG74">INDEX(W74:AF74,ROWS($1:7))</f>
        <v>#N/A</v>
      </c>
    </row>
    <row r="75" spans="2:33">
      <c r="N75" s="836"/>
      <c r="O75" s="22"/>
      <c r="P75" s="22"/>
      <c r="Q75" s="22"/>
      <c r="R75" s="840" t="e">
        <f>VLOOKUP(N75,Isolation!B70:R79,9)</f>
        <v>#N/A</v>
      </c>
      <c r="S75" s="22" t="str">
        <f t="shared" si="21"/>
        <v/>
      </c>
      <c r="U75" s="2294"/>
      <c r="V75" s="821" t="e">
        <f t="shared" si="23"/>
        <v>#N/A</v>
      </c>
      <c r="W75" t="e">
        <v>#N/A</v>
      </c>
      <c r="X75" t="e">
        <v>#N/A</v>
      </c>
      <c r="Y75" t="e">
        <v>#N/A</v>
      </c>
      <c r="Z75" t="e">
        <v>#N/A</v>
      </c>
      <c r="AA75" t="e">
        <v>#N/A</v>
      </c>
      <c r="AB75" t="e">
        <v>#N/A</v>
      </c>
      <c r="AC75" t="e">
        <v>#N/A</v>
      </c>
      <c r="AD75" s="454" t="e">
        <v>#N/A</v>
      </c>
      <c r="AE75" t="e">
        <v>#N/A</v>
      </c>
      <c r="AF75" t="e">
        <v>#N/A</v>
      </c>
      <c r="AG75" s="769" t="e" cm="1">
        <f t="array" ref="AG75">INDEX(W75:AF75,ROWS($1:8))</f>
        <v>#N/A</v>
      </c>
    </row>
    <row r="76" spans="2:33">
      <c r="B76" s="734" t="s">
        <v>1126</v>
      </c>
      <c r="N76" s="836"/>
      <c r="O76" s="22"/>
      <c r="P76" s="22"/>
      <c r="Q76" s="22"/>
      <c r="R76" s="840" t="e">
        <f>VLOOKUP(N76,Isolation!B71:R80,9)</f>
        <v>#N/A</v>
      </c>
      <c r="S76" s="22" t="str">
        <f t="shared" si="21"/>
        <v/>
      </c>
      <c r="U76" s="2294"/>
      <c r="V76" s="821" t="e">
        <f t="shared" si="23"/>
        <v>#N/A</v>
      </c>
      <c r="W76" t="e">
        <v>#N/A</v>
      </c>
      <c r="X76" t="e">
        <v>#N/A</v>
      </c>
      <c r="Y76" t="e">
        <v>#N/A</v>
      </c>
      <c r="Z76" t="e">
        <v>#N/A</v>
      </c>
      <c r="AA76" t="e">
        <v>#N/A</v>
      </c>
      <c r="AB76" t="e">
        <v>#N/A</v>
      </c>
      <c r="AC76" t="e">
        <v>#N/A</v>
      </c>
      <c r="AD76" t="e">
        <v>#N/A</v>
      </c>
      <c r="AE76" s="454" t="e">
        <v>#N/A</v>
      </c>
      <c r="AF76" t="e">
        <v>#N/A</v>
      </c>
      <c r="AG76" s="769" t="e" cm="1">
        <f t="array" ref="AG76">INDEX(W76:AF76,ROWS($1:9))</f>
        <v>#N/A</v>
      </c>
    </row>
    <row r="77" spans="2:33" ht="15.75" thickBot="1">
      <c r="B77" s="4"/>
      <c r="E77" t="s">
        <v>1012</v>
      </c>
      <c r="G77">
        <v>1</v>
      </c>
      <c r="H77">
        <v>2</v>
      </c>
      <c r="I77">
        <v>3</v>
      </c>
      <c r="J77">
        <v>4</v>
      </c>
      <c r="K77">
        <v>5</v>
      </c>
      <c r="U77" s="2294"/>
      <c r="V77" s="821" t="e">
        <f t="shared" si="23"/>
        <v>#N/A</v>
      </c>
      <c r="W77" t="e">
        <v>#N/A</v>
      </c>
      <c r="X77" t="e">
        <v>#N/A</v>
      </c>
      <c r="Y77" t="e">
        <v>#N/A</v>
      </c>
      <c r="Z77" t="e">
        <v>#N/A</v>
      </c>
      <c r="AA77" t="e">
        <v>#N/A</v>
      </c>
      <c r="AB77" t="e">
        <v>#N/A</v>
      </c>
      <c r="AC77" t="e">
        <v>#N/A</v>
      </c>
      <c r="AD77" t="e">
        <v>#N/A</v>
      </c>
      <c r="AE77" t="e">
        <v>#N/A</v>
      </c>
      <c r="AF77" s="454" t="e">
        <v>#N/A</v>
      </c>
      <c r="AG77" s="839" t="e" cm="1">
        <f t="array" ref="AG77">INDEX(W77:AF77,ROWS($1:10))</f>
        <v>#N/A</v>
      </c>
    </row>
    <row r="78" spans="2:33">
      <c r="B78" t="s">
        <v>1072</v>
      </c>
      <c r="E78" t="s">
        <v>1013</v>
      </c>
      <c r="F78" t="s">
        <v>1056</v>
      </c>
      <c r="G78" s="733">
        <f>E11+1</f>
        <v>19.333333333333332</v>
      </c>
      <c r="H78" s="733">
        <f>G109</f>
        <v>93.320799811255952</v>
      </c>
      <c r="I78" s="733">
        <f t="shared" ref="I78:K78" si="29">H109</f>
        <v>93.308589852460827</v>
      </c>
      <c r="J78" s="733">
        <f t="shared" si="29"/>
        <v>93.308591068105997</v>
      </c>
      <c r="K78" s="733">
        <f t="shared" si="29"/>
        <v>93.308591067984963</v>
      </c>
      <c r="N78" s="733"/>
      <c r="O78" s="733"/>
      <c r="P78" s="733"/>
      <c r="Q78" s="733"/>
      <c r="R78" s="733"/>
    </row>
    <row r="79" spans="2:33">
      <c r="B79" t="s">
        <v>1127</v>
      </c>
      <c r="G79" s="739">
        <f>Hypothèses!$D$218</f>
        <v>0.8</v>
      </c>
      <c r="H79">
        <f>G79</f>
        <v>0.8</v>
      </c>
      <c r="I79">
        <f t="shared" ref="I79:J79" si="30">H79</f>
        <v>0.8</v>
      </c>
      <c r="J79">
        <f t="shared" si="30"/>
        <v>0.8</v>
      </c>
      <c r="K79">
        <f>J79</f>
        <v>0.8</v>
      </c>
      <c r="N79" s="2295" t="s">
        <v>1522</v>
      </c>
      <c r="O79" s="2295"/>
      <c r="P79" s="2295"/>
      <c r="Q79" s="2295"/>
      <c r="R79" s="2295"/>
      <c r="S79" s="2295"/>
      <c r="T79" s="2295"/>
      <c r="U79" s="2295"/>
      <c r="V79" s="2295"/>
      <c r="W79" s="2295"/>
      <c r="X79" s="2295"/>
      <c r="Y79" s="2295"/>
      <c r="Z79" s="2295"/>
      <c r="AA79" s="2295"/>
      <c r="AB79" s="2295"/>
      <c r="AC79" s="2295"/>
      <c r="AD79" s="2295"/>
      <c r="AE79" s="2295"/>
      <c r="AF79" s="2295"/>
      <c r="AG79" s="2295"/>
    </row>
    <row r="80" spans="2:33" ht="17.25">
      <c r="B80" s="4" t="s">
        <v>1128</v>
      </c>
      <c r="N80" s="2296" t="s">
        <v>1136</v>
      </c>
      <c r="O80" s="829" t="s">
        <v>1205</v>
      </c>
      <c r="P80" s="829" t="s">
        <v>1138</v>
      </c>
      <c r="Q80" s="2302" t="s">
        <v>1148</v>
      </c>
      <c r="R80" s="829" t="s">
        <v>1203</v>
      </c>
      <c r="S80" s="829" t="s">
        <v>1135</v>
      </c>
      <c r="W80" s="2299" t="s">
        <v>1208</v>
      </c>
      <c r="X80" s="2299"/>
      <c r="Y80" s="2299"/>
      <c r="Z80" s="2299"/>
      <c r="AA80" s="2299"/>
      <c r="AB80" s="2299"/>
      <c r="AC80" s="2299"/>
      <c r="AD80" s="2299"/>
      <c r="AE80" s="2299"/>
      <c r="AF80" s="2299"/>
    </row>
    <row r="81" spans="2:33" ht="17.25">
      <c r="B81" t="s">
        <v>1129</v>
      </c>
      <c r="E81" t="s">
        <v>1015</v>
      </c>
      <c r="F81" t="s">
        <v>1056</v>
      </c>
      <c r="G81">
        <f>(G78+$E$11)/2</f>
        <v>18.833333333333332</v>
      </c>
      <c r="H81" s="160">
        <f t="shared" ref="H81:K81" si="31">(H78+$E$11)/2</f>
        <v>55.82706657229464</v>
      </c>
      <c r="I81" s="160">
        <f t="shared" si="31"/>
        <v>55.820961592897078</v>
      </c>
      <c r="J81" s="160">
        <f t="shared" si="31"/>
        <v>55.820962200719663</v>
      </c>
      <c r="K81" s="160">
        <f t="shared" si="31"/>
        <v>55.820962200659146</v>
      </c>
      <c r="N81" s="2296"/>
      <c r="O81" s="830" t="s">
        <v>1220</v>
      </c>
      <c r="P81" s="830" t="s">
        <v>1142</v>
      </c>
      <c r="Q81" s="2303"/>
      <c r="R81" s="831" t="s">
        <v>1158</v>
      </c>
      <c r="S81" s="830" t="s">
        <v>1213</v>
      </c>
      <c r="W81" s="2300" t="s">
        <v>985</v>
      </c>
      <c r="X81" s="2300"/>
      <c r="Y81" s="2300"/>
      <c r="Z81" s="2300"/>
      <c r="AA81" s="2300"/>
      <c r="AB81" s="2300"/>
      <c r="AC81" s="2300"/>
      <c r="AD81" s="2300"/>
      <c r="AE81" s="2300"/>
      <c r="AF81" s="2300"/>
      <c r="AG81" s="2301" t="s">
        <v>1156</v>
      </c>
    </row>
    <row r="82" spans="2:33" ht="15.75" thickBot="1">
      <c r="F82" t="s">
        <v>1016</v>
      </c>
      <c r="G82">
        <f>G81+273.15</f>
        <v>291.98333333333329</v>
      </c>
      <c r="H82" s="160">
        <f t="shared" ref="H82:K82" si="32">H81+273.15</f>
        <v>328.97706657229463</v>
      </c>
      <c r="I82" s="160">
        <f t="shared" si="32"/>
        <v>328.97096159289708</v>
      </c>
      <c r="J82" s="160">
        <f t="shared" si="32"/>
        <v>328.97096220071967</v>
      </c>
      <c r="K82" s="160">
        <f t="shared" si="32"/>
        <v>328.97096220065913</v>
      </c>
      <c r="N82" s="836" t="e" cm="1" vm="2">
        <f t="array" ref="N82">_xlfn._xlws.FILTER(Isolation!B77:E86,Isolation!E77:E86=P6)</f>
        <v>#VALUE!</v>
      </c>
      <c r="O82" s="22"/>
      <c r="P82" s="22"/>
      <c r="Q82" s="22"/>
      <c r="R82" s="840" t="e" vm="1">
        <f>VLOOKUP(N82,Isolation!B77:R86,9)</f>
        <v>#VALUE!</v>
      </c>
      <c r="S82" s="22" t="e" vm="1">
        <f>IF(N82="","",AG83)</f>
        <v>#VALUE!</v>
      </c>
      <c r="V82" s="774">
        <f>$E$32</f>
        <v>851.08989601051201</v>
      </c>
      <c r="W82" s="818" cm="1">
        <f t="array" ref="W82:AF82">TRANSPOSE(P82:P91)</f>
        <v>0</v>
      </c>
      <c r="X82" s="818">
        <v>0</v>
      </c>
      <c r="Y82" s="818">
        <v>0</v>
      </c>
      <c r="Z82" s="818">
        <v>0</v>
      </c>
      <c r="AA82" s="818">
        <v>0</v>
      </c>
      <c r="AB82" s="818">
        <v>0</v>
      </c>
      <c r="AC82" s="818">
        <v>0</v>
      </c>
      <c r="AD82" s="818">
        <v>0</v>
      </c>
      <c r="AE82" s="818">
        <v>0</v>
      </c>
      <c r="AF82" s="818">
        <v>0</v>
      </c>
      <c r="AG82" s="2301"/>
    </row>
    <row r="83" spans="2:33">
      <c r="B83" t="s">
        <v>1109</v>
      </c>
      <c r="E83" t="s">
        <v>1017</v>
      </c>
      <c r="F83" t="s">
        <v>1018</v>
      </c>
      <c r="G83" s="735">
        <f>(Propriété_air!$Q$22*G82^4+Propriété_air!$R$22*G82^3+Propriété_air!$S$22*G82^2+Propriété_air!$T$22*G82+Propriété_air!$U$22)/10^3</f>
        <v>2.5620216674003316E-2</v>
      </c>
      <c r="H83" s="735">
        <f>(Propriété_air!$Q$22*H82^4+Propriété_air!$R$22*H82^3+Propriété_air!$S$22*H82^2+Propriété_air!$T$22*H82+Propriété_air!$U$22)/10^3</f>
        <v>2.8521878796265217E-2</v>
      </c>
      <c r="I83" s="735">
        <f>(Propriété_air!$Q$22*I82^4+Propriété_air!$R$22*I82^3+Propriété_air!$S$22*I82^2+Propriété_air!$T$22*I82+Propriété_air!$U$22)/10^3</f>
        <v>2.8521407255856269E-2</v>
      </c>
      <c r="J83" s="735">
        <f>(Propriété_air!$Q$22*J82^4+Propriété_air!$R$22*J82^3+Propriété_air!$S$22*J82^2+Propriété_air!$T$22*J82+Propriété_air!$U$22)/10^3</f>
        <v>2.8521407302803791E-2</v>
      </c>
      <c r="K83" s="735">
        <f>(Propriété_air!$Q$22*K82^4+Propriété_air!$R$22*K82^3+Propriété_air!$S$22*K82^2+Propriété_air!$T$22*K82+Propriété_air!$U$22)/10^3</f>
        <v>2.8521407302799111E-2</v>
      </c>
      <c r="N83" s="836"/>
      <c r="O83" s="22"/>
      <c r="P83" s="22"/>
      <c r="Q83" s="22"/>
      <c r="R83" s="840" t="e">
        <f>VLOOKUP(N83,Isolation!B78:R87,9)</f>
        <v>#N/A</v>
      </c>
      <c r="S83" s="22" t="str">
        <f t="shared" ref="S83:S91" si="33">IF(N83="","",AG84)</f>
        <v/>
      </c>
      <c r="U83" s="2294" t="s">
        <v>1204</v>
      </c>
      <c r="V83" s="821" t="e" vm="1">
        <f>R82</f>
        <v>#VALUE!</v>
      </c>
      <c r="W83" s="454"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38" t="e" cm="1" vm="1">
        <f t="array" ref="AG83">INDEX(W83:AF83,ROWS($1:1))</f>
        <v>#VALUE!</v>
      </c>
    </row>
    <row r="84" spans="2:33">
      <c r="B84" t="s">
        <v>1110</v>
      </c>
      <c r="E84" t="s">
        <v>1019</v>
      </c>
      <c r="F84" t="s">
        <v>1057</v>
      </c>
      <c r="G84" s="736">
        <f>(Propriété_air!$Q$10*G82^4+Propriété_air!$R$10*G82^3+Propriété_air!$S$10*G82^2+Propriété_air!$T$10*G82+Propriété_air!$U$10)/10^7</f>
        <v>1.8090342079092796E-5</v>
      </c>
      <c r="H84" s="736">
        <f>(Propriété_air!$Q$10*H82^4+Propriété_air!$R$10*H82^3+Propriété_air!$S$10*H82^2+Propriété_air!$T$10*H82+Propriété_air!$U$10)/10^7</f>
        <v>1.9854664465258142E-5</v>
      </c>
      <c r="I84" s="736">
        <f>(Propriété_air!$Q$10*I82^4+Propriété_air!$R$10*I82^3+Propriété_air!$S$10*I82^2+Propriété_air!$T$10*I82+Propriété_air!$U$10)/10^7</f>
        <v>1.9854380849044755E-5</v>
      </c>
      <c r="J84" s="736">
        <f>(Propriété_air!$Q$10*J82^4+Propriété_air!$R$10*J82^3+Propriété_air!$S$10*J82^2+Propriété_air!$T$10*J82+Propriété_air!$U$10)/10^7</f>
        <v>1.9854380877282208E-5</v>
      </c>
      <c r="K84" s="736">
        <f>(Propriété_air!$Q$10*K82^4+Propriété_air!$R$10*K82^3+Propriété_air!$S$10*K82^2+Propriété_air!$T$10*K82+Propriété_air!$U$10)/10^7</f>
        <v>1.9854380877279392E-5</v>
      </c>
      <c r="N84" s="836"/>
      <c r="O84" s="22"/>
      <c r="P84" s="22"/>
      <c r="Q84" s="22"/>
      <c r="R84" s="840" t="e">
        <f>VLOOKUP(N84,Isolation!B79:R88,9)</f>
        <v>#N/A</v>
      </c>
      <c r="S84" s="22" t="str">
        <f t="shared" si="33"/>
        <v/>
      </c>
      <c r="U84" s="2294"/>
      <c r="V84" s="821" t="e">
        <f t="shared" ref="V84:V92" si="34">R83</f>
        <v>#N/A</v>
      </c>
      <c r="W84" t="e">
        <v>#N/A</v>
      </c>
      <c r="X84" s="454" t="e">
        <v>#N/A</v>
      </c>
      <c r="Y84" t="e">
        <v>#N/A</v>
      </c>
      <c r="Z84" t="e">
        <v>#N/A</v>
      </c>
      <c r="AA84" t="e">
        <v>#N/A</v>
      </c>
      <c r="AB84" t="e">
        <v>#N/A</v>
      </c>
      <c r="AC84" t="e">
        <v>#N/A</v>
      </c>
      <c r="AD84" t="e">
        <v>#N/A</v>
      </c>
      <c r="AE84" t="e">
        <v>#N/A</v>
      </c>
      <c r="AF84" t="e">
        <v>#N/A</v>
      </c>
      <c r="AG84" s="769" t="e" cm="1">
        <f t="array" ref="AG84">INDEX(W84:AF84,ROWS($1:2))</f>
        <v>#N/A</v>
      </c>
    </row>
    <row r="85" spans="2:33">
      <c r="B85" t="s">
        <v>1020</v>
      </c>
      <c r="E85" t="s">
        <v>1021</v>
      </c>
      <c r="G85" s="724">
        <f>Propriété_air!$Q$34*G82^4+Propriété_air!$R$34*G82^3+Propriété_air!$S$34*G82^2+Propriété_air!$T$34*G82+Propriété_air!$U$34</f>
        <v>0.70927939834533715</v>
      </c>
      <c r="H85" s="724">
        <f>Propriété_air!$Q$34*H82^4+Propriété_air!$R$34*H82^3+Propriété_air!$S$34*H82^2+Propriété_air!$T$34*H82+Propriété_air!$U$34</f>
        <v>0.70086350099421879</v>
      </c>
      <c r="I85" s="724">
        <f>Propriété_air!$Q$34*I82^4+Propriété_air!$R$34*I82^3+Propriété_air!$S$34*I82^2+Propriété_air!$T$34*I82+Propriété_air!$U$34</f>
        <v>0.70086474110229535</v>
      </c>
      <c r="J85" s="724">
        <f>Propriété_air!$Q$34*J82^4+Propriété_air!$R$34*J82^3+Propriété_air!$S$34*J82^2+Propriété_air!$T$34*J82+Propriété_air!$U$34</f>
        <v>0.70086474097882556</v>
      </c>
      <c r="K85" s="724">
        <f>Propriété_air!$Q$34*K82^4+Propriété_air!$R$34*K82^3+Propriété_air!$S$34*K82^2+Propriété_air!$T$34*K82+Propriété_air!$U$34</f>
        <v>0.70086474097883789</v>
      </c>
      <c r="N85" s="836"/>
      <c r="O85" s="22"/>
      <c r="P85" s="22"/>
      <c r="Q85" s="22"/>
      <c r="R85" s="840" t="e">
        <f>VLOOKUP(N85,Isolation!B80:R89,9)</f>
        <v>#N/A</v>
      </c>
      <c r="S85" s="22" t="str">
        <f t="shared" si="33"/>
        <v/>
      </c>
      <c r="U85" s="2294"/>
      <c r="V85" s="821" t="e">
        <f t="shared" si="34"/>
        <v>#N/A</v>
      </c>
      <c r="W85" t="e">
        <v>#N/A</v>
      </c>
      <c r="X85" t="e">
        <v>#N/A</v>
      </c>
      <c r="Y85" s="454" t="e">
        <v>#N/A</v>
      </c>
      <c r="Z85" t="e">
        <v>#N/A</v>
      </c>
      <c r="AA85" t="e">
        <v>#N/A</v>
      </c>
      <c r="AB85" t="e">
        <v>#N/A</v>
      </c>
      <c r="AC85" t="e">
        <v>#N/A</v>
      </c>
      <c r="AD85" t="e">
        <v>#N/A</v>
      </c>
      <c r="AE85" t="e">
        <v>#N/A</v>
      </c>
      <c r="AF85" t="e">
        <v>#N/A</v>
      </c>
      <c r="AG85" s="769" t="e" cm="1">
        <f t="array" ref="AG85">INDEX(W85:AF85,ROWS($1:3))</f>
        <v>#N/A</v>
      </c>
    </row>
    <row r="86" spans="2:33">
      <c r="B86" t="s">
        <v>1111</v>
      </c>
      <c r="E86" t="s">
        <v>1022</v>
      </c>
      <c r="F86" t="s">
        <v>1023</v>
      </c>
      <c r="G86">
        <f>1/G82</f>
        <v>3.4248530167246996E-3</v>
      </c>
      <c r="H86">
        <f t="shared" ref="H86:K86" si="35">1/H82</f>
        <v>3.0397255663420055E-3</v>
      </c>
      <c r="I86">
        <f t="shared" si="35"/>
        <v>3.0397819769804003E-3</v>
      </c>
      <c r="J86">
        <f t="shared" si="35"/>
        <v>3.0397819713639529E-3</v>
      </c>
      <c r="K86">
        <f t="shared" si="35"/>
        <v>3.0397819713645119E-3</v>
      </c>
      <c r="N86" s="836"/>
      <c r="O86" s="22"/>
      <c r="P86" s="22"/>
      <c r="Q86" s="22"/>
      <c r="R86" s="840" t="e">
        <f>VLOOKUP(N86,Isolation!B81:R90,9)</f>
        <v>#N/A</v>
      </c>
      <c r="S86" s="22" t="str">
        <f t="shared" si="33"/>
        <v/>
      </c>
      <c r="U86" s="2294"/>
      <c r="V86" s="821" t="e">
        <f t="shared" si="34"/>
        <v>#N/A</v>
      </c>
      <c r="W86" t="e">
        <v>#N/A</v>
      </c>
      <c r="X86" t="e">
        <v>#N/A</v>
      </c>
      <c r="Y86" t="e">
        <v>#N/A</v>
      </c>
      <c r="Z86" s="454" t="e">
        <v>#N/A</v>
      </c>
      <c r="AA86" t="e">
        <v>#N/A</v>
      </c>
      <c r="AB86" t="e">
        <v>#N/A</v>
      </c>
      <c r="AC86" t="e">
        <v>#N/A</v>
      </c>
      <c r="AD86" t="e">
        <v>#N/A</v>
      </c>
      <c r="AE86" t="e">
        <v>#N/A</v>
      </c>
      <c r="AF86" t="e">
        <v>#N/A</v>
      </c>
      <c r="AG86" s="769" t="e" cm="1">
        <f t="array" ref="AG86">INDEX(W86:AF86,ROWS($1:4))</f>
        <v>#N/A</v>
      </c>
    </row>
    <row r="87" spans="2:33">
      <c r="B87" t="s">
        <v>1112</v>
      </c>
      <c r="E87" t="s">
        <v>1024</v>
      </c>
      <c r="F87" t="s">
        <v>1055</v>
      </c>
      <c r="G87" s="735">
        <f>Propriété_air!$Q$45/G82</f>
        <v>1.2089882021352043</v>
      </c>
      <c r="H87" s="735">
        <f>Propriété_air!$Q$45/H82</f>
        <v>1.0730365155789239</v>
      </c>
      <c r="I87" s="735">
        <f>Propriété_air!$Q$45/I82</f>
        <v>1.0730564287827784</v>
      </c>
      <c r="J87" s="735">
        <f>Propriété_air!$Q$45/J82</f>
        <v>1.0730564268001477</v>
      </c>
      <c r="K87" s="735">
        <f>Propriété_air!$Q$45/K82</f>
        <v>1.0730564268003451</v>
      </c>
      <c r="N87" s="836"/>
      <c r="O87" s="22"/>
      <c r="P87" s="22"/>
      <c r="Q87" s="22"/>
      <c r="R87" s="840" t="e">
        <f>VLOOKUP(N87,Isolation!B82:R91,9)</f>
        <v>#N/A</v>
      </c>
      <c r="S87" s="22" t="str">
        <f t="shared" si="33"/>
        <v/>
      </c>
      <c r="U87" s="2294"/>
      <c r="V87" s="821" t="e">
        <f t="shared" si="34"/>
        <v>#N/A</v>
      </c>
      <c r="W87" t="e">
        <v>#N/A</v>
      </c>
      <c r="X87" t="e">
        <v>#N/A</v>
      </c>
      <c r="Y87" t="e">
        <v>#N/A</v>
      </c>
      <c r="Z87" t="e">
        <v>#N/A</v>
      </c>
      <c r="AA87" s="454" t="e">
        <v>#N/A</v>
      </c>
      <c r="AB87" t="e">
        <v>#N/A</v>
      </c>
      <c r="AC87" t="e">
        <v>#N/A</v>
      </c>
      <c r="AD87" t="e">
        <v>#N/A</v>
      </c>
      <c r="AE87" t="e">
        <v>#N/A</v>
      </c>
      <c r="AF87" t="e">
        <v>#N/A</v>
      </c>
      <c r="AG87" s="769" t="e" cm="1">
        <f t="array" ref="AG87">INDEX(W87:AF87,ROWS($1:5))</f>
        <v>#N/A</v>
      </c>
    </row>
    <row r="88" spans="2:33">
      <c r="B88" t="s">
        <v>1025</v>
      </c>
      <c r="E88" t="s">
        <v>1026</v>
      </c>
      <c r="F88" t="s">
        <v>1059</v>
      </c>
      <c r="G88" s="736">
        <f>(Propriété_air!$Q$16*G82^4+Propriété_air!$R$16*G82^3+Propriété_air!$S$16*G82^2+Propriété_air!$T$16*G82+Propriété_air!$U$16)/10^6</f>
        <v>1.51587898128742E-5</v>
      </c>
      <c r="H88" s="736">
        <f>(Propriété_air!$Q$16*H82^4+Propriété_air!$R$16*H82^3+Propriété_air!$S$16*H82^2+Propriété_air!$T$16*H82+Propriété_air!$U$16)/10^6</f>
        <v>1.872801378210591E-5</v>
      </c>
      <c r="I88" s="736">
        <f>(Propriété_air!$Q$16*I82^4+Propriété_air!$R$16*I82^3+Propriété_air!$S$16*I82^2+Propriété_air!$T$16*I82+Propriété_air!$U$16)/10^6</f>
        <v>1.8727400549551703E-5</v>
      </c>
      <c r="J88" s="736">
        <f>(Propriété_air!$Q$16*J82^4+Propriété_air!$R$16*J82^3+Propriété_air!$S$16*J82^2+Propriété_air!$T$16*J82+Propriété_air!$U$16)/10^6</f>
        <v>1.8727400610605834E-5</v>
      </c>
      <c r="K88" s="736">
        <f>(Propriété_air!$Q$16*K82^4+Propriété_air!$R$16*K82^3+Propriété_air!$S$16*K82^2+Propriété_air!$T$16*K82+Propriété_air!$U$16)/10^6</f>
        <v>1.8727400610599759E-5</v>
      </c>
      <c r="N88" s="836"/>
      <c r="O88" s="22"/>
      <c r="P88" s="22"/>
      <c r="Q88" s="22"/>
      <c r="R88" s="840" t="e">
        <f>VLOOKUP(N88,Isolation!B83:R92,9)</f>
        <v>#N/A</v>
      </c>
      <c r="S88" s="22" t="str">
        <f t="shared" si="33"/>
        <v/>
      </c>
      <c r="U88" s="2294"/>
      <c r="V88" s="821" t="e">
        <f t="shared" si="34"/>
        <v>#N/A</v>
      </c>
      <c r="W88" t="e">
        <v>#N/A</v>
      </c>
      <c r="X88" t="e">
        <v>#N/A</v>
      </c>
      <c r="Y88" t="e">
        <v>#N/A</v>
      </c>
      <c r="Z88" t="e">
        <v>#N/A</v>
      </c>
      <c r="AA88" t="e">
        <v>#N/A</v>
      </c>
      <c r="AB88" s="454" t="e">
        <v>#N/A</v>
      </c>
      <c r="AC88" t="e">
        <v>#N/A</v>
      </c>
      <c r="AD88" t="e">
        <v>#N/A</v>
      </c>
      <c r="AE88" t="e">
        <v>#N/A</v>
      </c>
      <c r="AF88" t="e">
        <v>#N/A</v>
      </c>
      <c r="AG88" s="769" t="e" cm="1">
        <f t="array" ref="AG88">INDEX(W88:AF88,ROWS($1:6))</f>
        <v>#N/A</v>
      </c>
    </row>
    <row r="89" spans="2:33">
      <c r="B89" t="s">
        <v>1113</v>
      </c>
      <c r="E89" t="s">
        <v>1028</v>
      </c>
      <c r="F89" t="s">
        <v>1029</v>
      </c>
      <c r="G89" s="160">
        <f>Propriété_air!$Q$4*G82^4+Propriété_air!$R$4*G82^3+Propriété_air!$S$4*G82^2+Propriété_air!$T$4*G82+Propriété_air!$U$4</f>
        <v>1.0047578086708546</v>
      </c>
      <c r="H89" s="160">
        <f>Propriété_air!$Q$4*H82^4+Propriété_air!$R$4*H82^3+Propriété_air!$S$4*H82^2+Propriété_air!$T$4*H82+Propriété_air!$U$4</f>
        <v>1.0064372153851211</v>
      </c>
      <c r="I89" s="160">
        <f>Propriété_air!$Q$4*I82^4+Propriété_air!$R$4*I82^3+Propriété_air!$S$4*I82^2+Propriété_air!$T$4*I82+Propriété_air!$U$4</f>
        <v>1.0064368097039527</v>
      </c>
      <c r="J89" s="160">
        <f>Propriété_air!$Q$4*J82^4+Propriété_air!$R$4*J82^3+Propriété_air!$S$4*J82^2+Propriété_air!$T$4*J82+Propriété_air!$U$4</f>
        <v>1.0064368097443408</v>
      </c>
      <c r="K89" s="160">
        <f>Propriété_air!$Q$4*K82^4+Propriété_air!$R$4*K82^3+Propriété_air!$S$4*K82^2+Propriété_air!$T$4*K82+Propriété_air!$U$4</f>
        <v>1.0064368097443368</v>
      </c>
      <c r="M89" s="736"/>
      <c r="N89" s="836"/>
      <c r="O89" s="22"/>
      <c r="P89" s="22"/>
      <c r="Q89" s="22"/>
      <c r="R89" s="840" t="e">
        <f>VLOOKUP(N89,Isolation!B84:R93,9)</f>
        <v>#N/A</v>
      </c>
      <c r="S89" s="22" t="str">
        <f t="shared" si="33"/>
        <v/>
      </c>
      <c r="U89" s="2294"/>
      <c r="V89" s="821" t="e">
        <f t="shared" si="34"/>
        <v>#N/A</v>
      </c>
      <c r="W89" t="e">
        <v>#N/A</v>
      </c>
      <c r="X89" t="e">
        <v>#N/A</v>
      </c>
      <c r="Y89" t="e">
        <v>#N/A</v>
      </c>
      <c r="Z89" t="e">
        <v>#N/A</v>
      </c>
      <c r="AA89" t="e">
        <v>#N/A</v>
      </c>
      <c r="AB89" t="e">
        <v>#N/A</v>
      </c>
      <c r="AC89" s="454" t="e">
        <v>#N/A</v>
      </c>
      <c r="AD89" t="e">
        <v>#N/A</v>
      </c>
      <c r="AE89" t="e">
        <v>#N/A</v>
      </c>
      <c r="AF89" t="e">
        <v>#N/A</v>
      </c>
      <c r="AG89" s="769" t="e" cm="1">
        <f t="array" ref="AG89">INDEX(W89:AF89,ROWS($1:7))</f>
        <v>#N/A</v>
      </c>
    </row>
    <row r="90" spans="2:33">
      <c r="B90" t="s">
        <v>1030</v>
      </c>
      <c r="E90" t="s">
        <v>1031</v>
      </c>
      <c r="F90" t="s">
        <v>1059</v>
      </c>
      <c r="G90" s="736">
        <f>(Propriété_air!$Q$28*G82^4+Propriété_air!$R$28*G82^3+Propriété_air!$S$28*G82^2+Propriété_air!$T$28*G82+Propriété_air!$U$28)/10^6</f>
        <v>2.1337905661950222E-5</v>
      </c>
      <c r="H90" s="736">
        <f>(Propriété_air!$Q$28*H82^4+Propriété_air!$R$28*H82^3+Propriété_air!$S$28*H82^2+Propriété_air!$T$28*H82+Propriété_air!$U$28)/10^6</f>
        <v>2.679101546173507E-5</v>
      </c>
      <c r="I90" s="736">
        <f>(Propriété_air!$Q$28*I82^4+Propriété_air!$R$28*I82^3+Propriété_air!$S$28*I82^2+Propriété_air!$T$28*I82+Propriété_air!$U$28)/10^6</f>
        <v>2.6790077936831477E-5</v>
      </c>
      <c r="J90" s="736">
        <f>(Propriété_air!$Q$28*J82^4+Propriété_air!$R$28*J82^3+Propriété_air!$S$28*J82^2+Propriété_air!$T$28*J82+Propriété_air!$U$28)/10^6</f>
        <v>2.6790078030172526E-5</v>
      </c>
      <c r="K90" s="736">
        <f>(Propriété_air!$Q$28*K82^4+Propriété_air!$R$28*K82^3+Propriété_air!$S$28*K82^2+Propriété_air!$T$28*K82+Propriété_air!$U$28)/10^6</f>
        <v>2.6790078030163242E-5</v>
      </c>
      <c r="N90" s="836"/>
      <c r="O90" s="22"/>
      <c r="P90" s="22"/>
      <c r="Q90" s="22"/>
      <c r="R90" s="840" t="e">
        <f>VLOOKUP(N90,Isolation!B85:R94,9)</f>
        <v>#N/A</v>
      </c>
      <c r="S90" s="22" t="str">
        <f t="shared" si="33"/>
        <v/>
      </c>
      <c r="U90" s="2294"/>
      <c r="V90" s="821" t="e">
        <f t="shared" si="34"/>
        <v>#N/A</v>
      </c>
      <c r="W90" t="e">
        <v>#N/A</v>
      </c>
      <c r="X90" t="e">
        <v>#N/A</v>
      </c>
      <c r="Y90" t="e">
        <v>#N/A</v>
      </c>
      <c r="Z90" t="e">
        <v>#N/A</v>
      </c>
      <c r="AA90" t="e">
        <v>#N/A</v>
      </c>
      <c r="AB90" t="e">
        <v>#N/A</v>
      </c>
      <c r="AC90" t="e">
        <v>#N/A</v>
      </c>
      <c r="AD90" s="454" t="e">
        <v>#N/A</v>
      </c>
      <c r="AE90" t="e">
        <v>#N/A</v>
      </c>
      <c r="AF90" t="e">
        <v>#N/A</v>
      </c>
      <c r="AG90" s="769" t="e" cm="1">
        <f t="array" ref="AG90">INDEX(W90:AF90,ROWS($1:8))</f>
        <v>#N/A</v>
      </c>
    </row>
    <row r="91" spans="2:33">
      <c r="B91" t="s">
        <v>1032</v>
      </c>
      <c r="E91" t="s">
        <v>1033</v>
      </c>
      <c r="G91" s="743">
        <f>($E$9/1000)*$E$12/G88</f>
        <v>0</v>
      </c>
      <c r="H91" s="743">
        <f t="shared" ref="H91:K91" si="36">($E$9/1000)*$E$12/H88</f>
        <v>0</v>
      </c>
      <c r="I91" s="743">
        <f t="shared" si="36"/>
        <v>0</v>
      </c>
      <c r="J91" s="743">
        <f t="shared" si="36"/>
        <v>0</v>
      </c>
      <c r="K91" s="743">
        <f t="shared" si="36"/>
        <v>0</v>
      </c>
      <c r="N91" s="836"/>
      <c r="O91" s="22"/>
      <c r="P91" s="22"/>
      <c r="Q91" s="22"/>
      <c r="R91" s="840" t="e">
        <f>VLOOKUP(N91,Isolation!B86:R95,9)</f>
        <v>#N/A</v>
      </c>
      <c r="S91" s="22" t="str">
        <f t="shared" si="33"/>
        <v/>
      </c>
      <c r="U91" s="2294"/>
      <c r="V91" s="821" t="e">
        <f t="shared" si="34"/>
        <v>#N/A</v>
      </c>
      <c r="W91" t="e">
        <v>#N/A</v>
      </c>
      <c r="X91" t="e">
        <v>#N/A</v>
      </c>
      <c r="Y91" t="e">
        <v>#N/A</v>
      </c>
      <c r="Z91" t="e">
        <v>#N/A</v>
      </c>
      <c r="AA91" t="e">
        <v>#N/A</v>
      </c>
      <c r="AB91" t="e">
        <v>#N/A</v>
      </c>
      <c r="AC91" t="e">
        <v>#N/A</v>
      </c>
      <c r="AD91" t="e">
        <v>#N/A</v>
      </c>
      <c r="AE91" s="454" t="e">
        <v>#N/A</v>
      </c>
      <c r="AF91" t="e">
        <v>#N/A</v>
      </c>
      <c r="AG91" s="769" t="e" cm="1">
        <f t="array" ref="AG91">INDEX(W91:AF91,ROWS($1:9))</f>
        <v>#N/A</v>
      </c>
    </row>
    <row r="92" spans="2:33" ht="15.75" thickBot="1">
      <c r="B92" t="s">
        <v>1034</v>
      </c>
      <c r="E92" t="s">
        <v>1035</v>
      </c>
      <c r="G92" s="743">
        <f>9.81*G86*ABS(G78-$E$11)*($E$9/1000)^3/(G88*G90)</f>
        <v>108937.08426314713</v>
      </c>
      <c r="H92" s="743">
        <f t="shared" ref="H92:K92" si="37">9.81*H86*ABS(H78-$E$11)*($E$9/1000)^3/(H88*H90)</f>
        <v>4674038.5818991931</v>
      </c>
      <c r="I92" s="743">
        <f t="shared" si="37"/>
        <v>4673680.8306544032</v>
      </c>
      <c r="J92" s="743">
        <f t="shared" si="37"/>
        <v>4673680.8662771462</v>
      </c>
      <c r="K92" s="743">
        <f t="shared" si="37"/>
        <v>4673680.8662735969</v>
      </c>
      <c r="U92" s="2294"/>
      <c r="V92" s="821" t="e">
        <f t="shared" si="34"/>
        <v>#N/A</v>
      </c>
      <c r="W92" t="e">
        <v>#N/A</v>
      </c>
      <c r="X92" t="e">
        <v>#N/A</v>
      </c>
      <c r="Y92" t="e">
        <v>#N/A</v>
      </c>
      <c r="Z92" t="e">
        <v>#N/A</v>
      </c>
      <c r="AA92" t="e">
        <v>#N/A</v>
      </c>
      <c r="AB92" t="e">
        <v>#N/A</v>
      </c>
      <c r="AC92" t="e">
        <v>#N/A</v>
      </c>
      <c r="AD92" t="e">
        <v>#N/A</v>
      </c>
      <c r="AE92" t="e">
        <v>#N/A</v>
      </c>
      <c r="AF92" s="454" t="e">
        <v>#N/A</v>
      </c>
      <c r="AG92" s="839" t="e" cm="1">
        <f t="array" ref="AG92">INDEX(W92:AF92,ROWS($1:10))</f>
        <v>#N/A</v>
      </c>
    </row>
    <row r="94" spans="2:33">
      <c r="B94" s="4" t="s">
        <v>1130</v>
      </c>
      <c r="N94" s="2295" t="s">
        <v>2006</v>
      </c>
      <c r="O94" s="2295"/>
      <c r="P94" s="2295"/>
      <c r="Q94" s="2295"/>
      <c r="R94" s="2295"/>
      <c r="S94" s="2295"/>
      <c r="T94" s="2295"/>
      <c r="U94" s="2295"/>
      <c r="V94" s="2295"/>
      <c r="W94" s="2295"/>
      <c r="X94" s="2295"/>
      <c r="Y94" s="2295"/>
      <c r="Z94" s="2295"/>
      <c r="AA94" s="2295"/>
      <c r="AB94" s="2295"/>
      <c r="AC94" s="2295"/>
      <c r="AD94" s="2295"/>
      <c r="AE94" s="2295"/>
      <c r="AF94" s="2295"/>
      <c r="AG94" s="2295"/>
    </row>
    <row r="95" spans="2:33">
      <c r="B95" t="s">
        <v>1036</v>
      </c>
      <c r="E95" t="s">
        <v>1037</v>
      </c>
      <c r="F95" t="s">
        <v>1060</v>
      </c>
      <c r="G95" s="160">
        <f>'Facteurs conversion'!$C$30*$G$79*((G78+273.15)^4-($E$11+273.15)^4)/((G78+273.15)-($E$11+273.15))</f>
        <v>4.5168656721933349</v>
      </c>
      <c r="H95" s="160">
        <f>'Facteurs conversion'!$C$30*$G$79*((H78+273.15)^4-($E$11+273.15)^4)/((H78+273.15)-($E$11+273.15))</f>
        <v>6.5443037561316553</v>
      </c>
      <c r="I95" s="160">
        <f>'Facteurs conversion'!$C$30*$G$79*((I78+273.15)^4-($E$11+273.15)^4)/((I78+273.15)-($E$11+273.15))</f>
        <v>6.5439152155494371</v>
      </c>
      <c r="J95" s="160">
        <f>'Facteurs conversion'!$C$30*$G$79*((J78+273.15)^4-($E$11+273.15)^4)/((J78+273.15)-($E$11+273.15))</f>
        <v>6.5439152542322914</v>
      </c>
      <c r="K95" s="160">
        <f>'Facteurs conversion'!$C$30*$G$79*((K78+273.15)^4-($E$11+273.15)^4)/((K78+273.15)-($E$11+273.15))</f>
        <v>6.5439152542284384</v>
      </c>
      <c r="N95" s="2296" t="s">
        <v>1136</v>
      </c>
      <c r="O95" s="842" t="s">
        <v>1157</v>
      </c>
      <c r="P95" s="842" t="s">
        <v>1138</v>
      </c>
      <c r="Q95" s="2297" t="s">
        <v>1148</v>
      </c>
      <c r="R95" s="842" t="s">
        <v>1203</v>
      </c>
      <c r="S95" s="842" t="s">
        <v>1135</v>
      </c>
      <c r="W95" s="2299" t="s">
        <v>1194</v>
      </c>
      <c r="X95" s="2299"/>
      <c r="Y95" s="2299"/>
      <c r="Z95" s="2299"/>
      <c r="AA95" s="2299"/>
      <c r="AB95" s="2299"/>
      <c r="AC95" s="2299"/>
      <c r="AD95" s="2299"/>
      <c r="AE95" s="2299"/>
      <c r="AF95" s="2299"/>
    </row>
    <row r="96" spans="2:33">
      <c r="B96" t="s">
        <v>1038</v>
      </c>
      <c r="N96" s="2296"/>
      <c r="O96" s="843" t="s">
        <v>1141</v>
      </c>
      <c r="P96" s="843" t="s">
        <v>1142</v>
      </c>
      <c r="Q96" s="2298"/>
      <c r="R96" s="844" t="s">
        <v>1158</v>
      </c>
      <c r="S96" s="843" t="s">
        <v>1212</v>
      </c>
      <c r="W96" s="2300" t="s">
        <v>985</v>
      </c>
      <c r="X96" s="2300"/>
      <c r="Y96" s="2300"/>
      <c r="Z96" s="2300"/>
      <c r="AA96" s="2300"/>
      <c r="AB96" s="2300"/>
      <c r="AC96" s="2300"/>
      <c r="AD96" s="2300"/>
      <c r="AE96" s="2300"/>
      <c r="AF96" s="2300"/>
      <c r="AG96" s="2301" t="s">
        <v>1156</v>
      </c>
    </row>
    <row r="97" spans="2:33" ht="15.75" thickBot="1">
      <c r="B97" t="s">
        <v>1115</v>
      </c>
      <c r="E97" t="s">
        <v>1039</v>
      </c>
      <c r="G97" s="733">
        <f>0.3+(0.62*G91^0.5*G85^(1/3))*(1+(G91/282000)^(5/8))^(4/5)/(1 + (0.4/G85)^(2/3))^(1/4)</f>
        <v>0.3</v>
      </c>
      <c r="H97" s="733">
        <f>0.3+(0.62*H91^0.5*H85^(1/3))*(1+(H91/282000)^(5/8))^(4/5)/(1 + (0.4/H85)^(2/3))^(1/4)</f>
        <v>0.3</v>
      </c>
      <c r="I97" s="733">
        <f t="shared" ref="I97:K97" si="38">0.3+(0.62*I91^0.5*I85^(1/3))*(1+(I91/282000)^(5/8))^(4/5)/(1 + (0.4/I85)^(2/3))^(1/4)</f>
        <v>0.3</v>
      </c>
      <c r="J97" s="733">
        <f t="shared" si="38"/>
        <v>0.3</v>
      </c>
      <c r="K97" s="733">
        <f t="shared" si="38"/>
        <v>0.3</v>
      </c>
      <c r="N97" s="836" t="e" cm="1" vm="2">
        <f t="array" ref="N97">_xlfn._xlws.FILTER(Isolation!B92:E101,Isolation!E92:E101=P6)</f>
        <v>#VALUE!</v>
      </c>
      <c r="O97" s="22"/>
      <c r="P97" s="22"/>
      <c r="Q97" s="22"/>
      <c r="R97" s="840" t="e" vm="1">
        <f>VLOOKUP(N97,Isolation!B92:R101,9)</f>
        <v>#VALUE!</v>
      </c>
      <c r="S97" s="22" t="e" vm="1">
        <f>IF(N97="","",AG98)</f>
        <v>#VALUE!</v>
      </c>
      <c r="V97" s="774">
        <f>$E$30</f>
        <v>253.39403545941445</v>
      </c>
      <c r="W97" s="818" cm="1">
        <f t="array" ref="W97:AF97">TRANSPOSE(P97:P106)</f>
        <v>0</v>
      </c>
      <c r="X97" s="818">
        <v>0</v>
      </c>
      <c r="Y97" s="818">
        <v>0</v>
      </c>
      <c r="Z97" s="818">
        <v>0</v>
      </c>
      <c r="AA97" s="818">
        <v>0</v>
      </c>
      <c r="AB97" s="818">
        <v>0</v>
      </c>
      <c r="AC97" s="818">
        <v>0</v>
      </c>
      <c r="AD97" s="818">
        <v>0</v>
      </c>
      <c r="AE97" s="818">
        <v>0</v>
      </c>
      <c r="AF97" s="818">
        <v>0</v>
      </c>
      <c r="AG97" s="2301"/>
    </row>
    <row r="98" spans="2:33">
      <c r="E98" t="s">
        <v>1040</v>
      </c>
      <c r="F98" t="s">
        <v>1060</v>
      </c>
      <c r="G98" s="160">
        <f>G97*G83/($E$9/1000)</f>
        <v>7.5650246084655454E-2</v>
      </c>
      <c r="H98" s="160">
        <f t="shared" ref="H98:K98" si="39">H97*H83/($E$9/1000)</f>
        <v>8.4218146051964232E-2</v>
      </c>
      <c r="I98" s="160">
        <f t="shared" si="39"/>
        <v>8.4216753708237016E-2</v>
      </c>
      <c r="J98" s="160">
        <f t="shared" si="39"/>
        <v>8.4216753846861586E-2</v>
      </c>
      <c r="K98" s="160">
        <f t="shared" si="39"/>
        <v>8.4216753846847764E-2</v>
      </c>
      <c r="N98" s="836"/>
      <c r="O98" s="22"/>
      <c r="P98" s="22"/>
      <c r="Q98" s="22"/>
      <c r="R98" s="840" t="e">
        <f>VLOOKUP(N98,Isolation!B93:R102,9)</f>
        <v>#N/A</v>
      </c>
      <c r="S98" s="22" t="str">
        <f t="shared" ref="S98:S106" si="40">IF(N98="","",AG99)</f>
        <v/>
      </c>
      <c r="U98" s="2294" t="s">
        <v>1204</v>
      </c>
      <c r="V98" s="821" t="e" vm="1">
        <f>R97</f>
        <v>#VALUE!</v>
      </c>
      <c r="W98" s="454"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838" t="e" cm="1" vm="1">
        <f t="array" ref="AG98">INDEX(W98:AF98,ROWS($1:1))</f>
        <v>#VALUE!</v>
      </c>
    </row>
    <row r="99" spans="2:33">
      <c r="B99" t="s">
        <v>1041</v>
      </c>
      <c r="E99" t="s">
        <v>1042</v>
      </c>
      <c r="G99" s="160">
        <f>(0.6 + 0.387*G92^(1/6)/( 1 +(0.559/G85)^(9/16))^(8/27))^2</f>
        <v>7.9530350641323029</v>
      </c>
      <c r="H99" s="160">
        <f t="shared" ref="H99:K99" si="41">(0.6 + 0.387*H92^(1/6)/( 1 +(0.559/H85)^(9/16))^(8/27))^2</f>
        <v>22.563332200089672</v>
      </c>
      <c r="I99" s="160">
        <f t="shared" si="41"/>
        <v>22.562834678935445</v>
      </c>
      <c r="J99" s="160">
        <f t="shared" si="41"/>
        <v>22.562834728477032</v>
      </c>
      <c r="K99" s="160">
        <f t="shared" si="41"/>
        <v>22.562834728472094</v>
      </c>
      <c r="N99" s="836"/>
      <c r="O99" s="22"/>
      <c r="P99" s="22"/>
      <c r="Q99" s="22"/>
      <c r="R99" s="840" t="e">
        <f>VLOOKUP(N99,Isolation!B94:R103,9)</f>
        <v>#N/A</v>
      </c>
      <c r="S99" s="22" t="str">
        <f t="shared" si="40"/>
        <v/>
      </c>
      <c r="U99" s="2294"/>
      <c r="V99" s="821" t="e">
        <f t="shared" ref="V99:V107" si="42">R98</f>
        <v>#N/A</v>
      </c>
      <c r="W99" t="e">
        <v>#N/A</v>
      </c>
      <c r="X99" s="454" t="e">
        <v>#N/A</v>
      </c>
      <c r="Y99" t="e">
        <v>#N/A</v>
      </c>
      <c r="Z99" t="e">
        <v>#N/A</v>
      </c>
      <c r="AA99" t="e">
        <v>#N/A</v>
      </c>
      <c r="AB99" t="e">
        <v>#N/A</v>
      </c>
      <c r="AC99" t="e">
        <v>#N/A</v>
      </c>
      <c r="AD99" t="e">
        <v>#N/A</v>
      </c>
      <c r="AE99" t="e">
        <v>#N/A</v>
      </c>
      <c r="AF99" t="e">
        <v>#N/A</v>
      </c>
      <c r="AG99" s="769" t="e" cm="1">
        <f t="array" ref="AG99">INDEX(W99:AF99,ROWS($1:2))</f>
        <v>#N/A</v>
      </c>
    </row>
    <row r="100" spans="2:33">
      <c r="E100" t="s">
        <v>1043</v>
      </c>
      <c r="F100" t="s">
        <v>1060</v>
      </c>
      <c r="G100" s="160">
        <f>G99*G83/($E$9/1000)</f>
        <v>2.0054968657383414</v>
      </c>
      <c r="H100" s="160">
        <f t="shared" ref="H100:K100" si="43">H99*H83/($E$9/1000)</f>
        <v>6.3341400221537985</v>
      </c>
      <c r="I100" s="160">
        <f t="shared" si="43"/>
        <v>6.3338956370519188</v>
      </c>
      <c r="J100" s="160">
        <f t="shared" si="43"/>
        <v>6.3338956613852346</v>
      </c>
      <c r="K100" s="160">
        <f t="shared" si="43"/>
        <v>6.333895661382809</v>
      </c>
      <c r="N100" s="836"/>
      <c r="O100" s="22"/>
      <c r="P100" s="22"/>
      <c r="Q100" s="22"/>
      <c r="R100" s="840" t="e">
        <f>VLOOKUP(N100,Isolation!B95:R104,9)</f>
        <v>#N/A</v>
      </c>
      <c r="S100" s="22" t="str">
        <f t="shared" si="40"/>
        <v/>
      </c>
      <c r="U100" s="2294"/>
      <c r="V100" s="821" t="e">
        <f t="shared" si="42"/>
        <v>#N/A</v>
      </c>
      <c r="W100" t="e">
        <v>#N/A</v>
      </c>
      <c r="X100" t="e">
        <v>#N/A</v>
      </c>
      <c r="Y100" s="454" t="e">
        <v>#N/A</v>
      </c>
      <c r="Z100" t="e">
        <v>#N/A</v>
      </c>
      <c r="AA100" t="e">
        <v>#N/A</v>
      </c>
      <c r="AB100" t="e">
        <v>#N/A</v>
      </c>
      <c r="AC100" t="e">
        <v>#N/A</v>
      </c>
      <c r="AD100" t="e">
        <v>#N/A</v>
      </c>
      <c r="AE100" t="e">
        <v>#N/A</v>
      </c>
      <c r="AF100" t="e">
        <v>#N/A</v>
      </c>
      <c r="AG100" s="769" t="e" cm="1">
        <f t="array" ref="AG100">INDEX(W100:AF100,ROWS($1:3))</f>
        <v>#N/A</v>
      </c>
    </row>
    <row r="101" spans="2:33">
      <c r="B101" t="s">
        <v>1116</v>
      </c>
      <c r="E101" t="s">
        <v>1044</v>
      </c>
      <c r="G101" s="733">
        <f>(G97^4+G99^4)^(1/4)</f>
        <v>7.9530390896895415</v>
      </c>
      <c r="H101" s="733">
        <f t="shared" ref="H101:K101" si="44">(H97^4+H99^4)^(1/4)</f>
        <v>22.563332376374657</v>
      </c>
      <c r="I101" s="733">
        <f t="shared" si="44"/>
        <v>22.562834855232087</v>
      </c>
      <c r="J101" s="733">
        <f t="shared" si="44"/>
        <v>22.562834904773677</v>
      </c>
      <c r="K101" s="733">
        <f t="shared" si="44"/>
        <v>22.562834904768735</v>
      </c>
      <c r="N101" s="836"/>
      <c r="O101" s="22"/>
      <c r="P101" s="22"/>
      <c r="Q101" s="22"/>
      <c r="R101" s="840" t="e">
        <f>VLOOKUP(N101,Isolation!B96:R105,9)</f>
        <v>#N/A</v>
      </c>
      <c r="S101" s="22" t="str">
        <f t="shared" si="40"/>
        <v/>
      </c>
      <c r="U101" s="2294"/>
      <c r="V101" s="821" t="e">
        <f t="shared" si="42"/>
        <v>#N/A</v>
      </c>
      <c r="W101" t="e">
        <v>#N/A</v>
      </c>
      <c r="X101" t="e">
        <v>#N/A</v>
      </c>
      <c r="Y101" t="e">
        <v>#N/A</v>
      </c>
      <c r="Z101" s="454" t="e">
        <v>#N/A</v>
      </c>
      <c r="AA101" t="e">
        <v>#N/A</v>
      </c>
      <c r="AB101" t="e">
        <v>#N/A</v>
      </c>
      <c r="AC101" t="e">
        <v>#N/A</v>
      </c>
      <c r="AD101" t="e">
        <v>#N/A</v>
      </c>
      <c r="AE101" t="e">
        <v>#N/A</v>
      </c>
      <c r="AF101" t="e">
        <v>#N/A</v>
      </c>
      <c r="AG101" s="769" t="e" cm="1">
        <f t="array" ref="AG101">INDEX(W101:AF101,ROWS($1:4))</f>
        <v>#N/A</v>
      </c>
    </row>
    <row r="102" spans="2:33">
      <c r="E102" t="s">
        <v>1045</v>
      </c>
      <c r="F102" t="s">
        <v>1060</v>
      </c>
      <c r="G102" s="160">
        <f>G101*G83/($E$9/1000)</f>
        <v>2.0054978808529937</v>
      </c>
      <c r="H102" s="160">
        <f t="shared" ref="H102:K102" si="45">H101*H83/($E$9/1000)</f>
        <v>6.3341400716417802</v>
      </c>
      <c r="I102" s="160">
        <f t="shared" si="45"/>
        <v>6.3338956865423546</v>
      </c>
      <c r="J102" s="160">
        <f t="shared" si="45"/>
        <v>6.3338957108756722</v>
      </c>
      <c r="K102" s="160">
        <f t="shared" si="45"/>
        <v>6.3338957108732448</v>
      </c>
      <c r="N102" s="836"/>
      <c r="O102" s="22"/>
      <c r="P102" s="22"/>
      <c r="Q102" s="22"/>
      <c r="R102" s="840" t="e">
        <f>VLOOKUP(N102,Isolation!B97:R106,9)</f>
        <v>#N/A</v>
      </c>
      <c r="S102" s="22" t="str">
        <f t="shared" si="40"/>
        <v/>
      </c>
      <c r="U102" s="2294"/>
      <c r="V102" s="821" t="e">
        <f t="shared" si="42"/>
        <v>#N/A</v>
      </c>
      <c r="W102" t="e">
        <v>#N/A</v>
      </c>
      <c r="X102" t="e">
        <v>#N/A</v>
      </c>
      <c r="Y102" t="e">
        <v>#N/A</v>
      </c>
      <c r="Z102" t="e">
        <v>#N/A</v>
      </c>
      <c r="AA102" s="454" t="e">
        <v>#N/A</v>
      </c>
      <c r="AB102" t="e">
        <v>#N/A</v>
      </c>
      <c r="AC102" t="e">
        <v>#N/A</v>
      </c>
      <c r="AD102" t="e">
        <v>#N/A</v>
      </c>
      <c r="AE102" t="e">
        <v>#N/A</v>
      </c>
      <c r="AF102" t="e">
        <v>#N/A</v>
      </c>
      <c r="AG102" s="769" t="e" cm="1">
        <f t="array" ref="AG102">INDEX(W102:AF102,ROWS($1:5))</f>
        <v>#N/A</v>
      </c>
    </row>
    <row r="103" spans="2:33">
      <c r="B103" t="s">
        <v>1117</v>
      </c>
      <c r="E103" t="s">
        <v>1046</v>
      </c>
      <c r="F103" t="s">
        <v>1060</v>
      </c>
      <c r="G103" s="160">
        <f>G102+G95</f>
        <v>6.5223635530463291</v>
      </c>
      <c r="H103" s="160">
        <f t="shared" ref="H103:K103" si="46">H102+H95</f>
        <v>12.878443827773435</v>
      </c>
      <c r="I103" s="160">
        <f t="shared" si="46"/>
        <v>12.877810902091792</v>
      </c>
      <c r="J103" s="160">
        <f t="shared" si="46"/>
        <v>12.877810965107964</v>
      </c>
      <c r="K103" s="160">
        <f t="shared" si="46"/>
        <v>12.877810965101684</v>
      </c>
      <c r="N103" s="836"/>
      <c r="O103" s="22"/>
      <c r="P103" s="22"/>
      <c r="Q103" s="22"/>
      <c r="R103" s="840" t="e">
        <f>VLOOKUP(N103,Isolation!B98:R107,9)</f>
        <v>#N/A</v>
      </c>
      <c r="S103" s="22" t="str">
        <f t="shared" si="40"/>
        <v/>
      </c>
      <c r="U103" s="2294"/>
      <c r="V103" s="821" t="e">
        <f t="shared" si="42"/>
        <v>#N/A</v>
      </c>
      <c r="W103" t="e">
        <v>#N/A</v>
      </c>
      <c r="X103" t="e">
        <v>#N/A</v>
      </c>
      <c r="Y103" t="e">
        <v>#N/A</v>
      </c>
      <c r="Z103" t="e">
        <v>#N/A</v>
      </c>
      <c r="AA103" t="e">
        <v>#N/A</v>
      </c>
      <c r="AB103" s="454" t="e">
        <v>#N/A</v>
      </c>
      <c r="AC103" t="e">
        <v>#N/A</v>
      </c>
      <c r="AD103" t="e">
        <v>#N/A</v>
      </c>
      <c r="AE103" t="e">
        <v>#N/A</v>
      </c>
      <c r="AF103" t="e">
        <v>#N/A</v>
      </c>
      <c r="AG103" s="769" t="e" cm="1">
        <f t="array" ref="AG103">INDEX(W103:AF103,ROWS($1:6))</f>
        <v>#N/A</v>
      </c>
    </row>
    <row r="104" spans="2:33">
      <c r="B104" s="4" t="s">
        <v>1118</v>
      </c>
      <c r="G104" s="160"/>
      <c r="H104" s="160"/>
      <c r="I104" s="160"/>
      <c r="J104" s="160"/>
      <c r="K104" s="160"/>
      <c r="N104" s="836"/>
      <c r="O104" s="22"/>
      <c r="P104" s="22"/>
      <c r="Q104" s="22"/>
      <c r="R104" s="840" t="e">
        <f>VLOOKUP(N104,Isolation!B99:R108,9)</f>
        <v>#N/A</v>
      </c>
      <c r="S104" s="22" t="str">
        <f>IF(N104="","",AG105)</f>
        <v/>
      </c>
      <c r="U104" s="2294"/>
      <c r="V104" s="821" t="e">
        <f t="shared" si="42"/>
        <v>#N/A</v>
      </c>
      <c r="W104" t="e">
        <v>#N/A</v>
      </c>
      <c r="X104" t="e">
        <v>#N/A</v>
      </c>
      <c r="Y104" t="e">
        <v>#N/A</v>
      </c>
      <c r="Z104" t="e">
        <v>#N/A</v>
      </c>
      <c r="AA104" t="e">
        <v>#N/A</v>
      </c>
      <c r="AB104" t="e">
        <v>#N/A</v>
      </c>
      <c r="AC104" s="454" t="e">
        <v>#N/A</v>
      </c>
      <c r="AD104" t="e">
        <v>#N/A</v>
      </c>
      <c r="AE104" t="e">
        <v>#N/A</v>
      </c>
      <c r="AF104" t="e">
        <v>#N/A</v>
      </c>
      <c r="AG104" s="769" t="e" cm="1">
        <f t="array" ref="AG104">INDEX(W104:AF104,ROWS($1:7))</f>
        <v>#N/A</v>
      </c>
    </row>
    <row r="105" spans="2:33">
      <c r="B105" t="s">
        <v>1131</v>
      </c>
      <c r="E105" t="s">
        <v>1047</v>
      </c>
      <c r="F105" t="s">
        <v>1018</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c r="N105" s="836"/>
      <c r="O105" s="22"/>
      <c r="P105" s="22"/>
      <c r="Q105" s="22"/>
      <c r="R105" s="840" t="e">
        <f>VLOOKUP(N105,Isolation!B100:R109,9)</f>
        <v>#N/A</v>
      </c>
      <c r="S105" s="22" t="str">
        <f t="shared" si="40"/>
        <v/>
      </c>
      <c r="U105" s="2294"/>
      <c r="V105" s="821" t="e">
        <f t="shared" si="42"/>
        <v>#N/A</v>
      </c>
      <c r="W105" t="e">
        <v>#N/A</v>
      </c>
      <c r="X105" t="e">
        <v>#N/A</v>
      </c>
      <c r="Y105" t="e">
        <v>#N/A</v>
      </c>
      <c r="Z105" t="e">
        <v>#N/A</v>
      </c>
      <c r="AA105" t="e">
        <v>#N/A</v>
      </c>
      <c r="AB105" t="e">
        <v>#N/A</v>
      </c>
      <c r="AC105" t="e">
        <v>#N/A</v>
      </c>
      <c r="AD105" s="454" t="e">
        <v>#N/A</v>
      </c>
      <c r="AE105" t="e">
        <v>#N/A</v>
      </c>
      <c r="AF105" t="e">
        <v>#N/A</v>
      </c>
      <c r="AG105" s="769" t="e" cm="1">
        <f t="array" ref="AG105">INDEX(W105:AF105,ROWS($1:8))</f>
        <v>#N/A</v>
      </c>
    </row>
    <row r="106" spans="2:33">
      <c r="B106" t="s">
        <v>1119</v>
      </c>
      <c r="E106" t="s">
        <v>1048</v>
      </c>
      <c r="F106" t="s">
        <v>1061</v>
      </c>
      <c r="G106" s="741">
        <f>($E$9/1000)*LN($E$9/$E$8)/(2*G105)</f>
        <v>2.5625918882221631E-5</v>
      </c>
      <c r="H106" s="741">
        <f>($E$9/1000)*LN($E$9/$E$8)/(2*H105)</f>
        <v>2.5625918882221631E-5</v>
      </c>
      <c r="I106" s="741">
        <f>($E$9/1000)*LN($E$9/$E$8)/(2*I105)</f>
        <v>2.5625918882221631E-5</v>
      </c>
      <c r="J106" s="741">
        <f>($E$9/1000)*LN($E$9/$E$8)/(2*J105)</f>
        <v>2.5625918882221631E-5</v>
      </c>
      <c r="K106" s="741">
        <f>($E$9/1000)*LN($E$9/$E$8)/(2*K105)</f>
        <v>2.5625918882221631E-5</v>
      </c>
      <c r="N106" s="836"/>
      <c r="O106" s="22"/>
      <c r="P106" s="22"/>
      <c r="Q106" s="22"/>
      <c r="R106" s="840" t="e">
        <f>VLOOKUP(N106,Isolation!B101:R110,9)</f>
        <v>#N/A</v>
      </c>
      <c r="S106" s="22" t="str">
        <f t="shared" si="40"/>
        <v/>
      </c>
      <c r="U106" s="2294"/>
      <c r="V106" s="821" t="e">
        <f t="shared" si="42"/>
        <v>#N/A</v>
      </c>
      <c r="W106" t="e">
        <v>#N/A</v>
      </c>
      <c r="X106" t="e">
        <v>#N/A</v>
      </c>
      <c r="Y106" t="e">
        <v>#N/A</v>
      </c>
      <c r="Z106" t="e">
        <v>#N/A</v>
      </c>
      <c r="AA106" t="e">
        <v>#N/A</v>
      </c>
      <c r="AB106" t="e">
        <v>#N/A</v>
      </c>
      <c r="AC106" t="e">
        <v>#N/A</v>
      </c>
      <c r="AD106" t="e">
        <v>#N/A</v>
      </c>
      <c r="AE106" s="454" t="e">
        <v>#N/A</v>
      </c>
      <c r="AF106" t="e">
        <v>#N/A</v>
      </c>
      <c r="AG106" s="769" t="e" cm="1">
        <f t="array" ref="AG106">INDEX(W106:AF106,ROWS($1:9))</f>
        <v>#N/A</v>
      </c>
    </row>
    <row r="107" spans="2:33" ht="15.75" thickBot="1">
      <c r="B107" s="4" t="s">
        <v>1132</v>
      </c>
      <c r="E107" t="s">
        <v>1051</v>
      </c>
      <c r="F107" t="s">
        <v>1061</v>
      </c>
      <c r="G107" s="724">
        <f>G106+1/G103</f>
        <v>0.15334427978829754</v>
      </c>
      <c r="H107" s="724">
        <f t="shared" ref="H107:K107" si="47">H106+1/H103</f>
        <v>7.7674759104012628E-2</v>
      </c>
      <c r="I107" s="724">
        <f t="shared" si="47"/>
        <v>7.7678575446007689E-2</v>
      </c>
      <c r="J107" s="724">
        <f t="shared" si="47"/>
        <v>7.7678575066021396E-2</v>
      </c>
      <c r="K107" s="724">
        <f t="shared" si="47"/>
        <v>7.7678575066059269E-2</v>
      </c>
      <c r="U107" s="2294"/>
      <c r="V107" s="821" t="e">
        <f t="shared" si="42"/>
        <v>#N/A</v>
      </c>
      <c r="W107" t="e">
        <v>#N/A</v>
      </c>
      <c r="X107" t="e">
        <v>#N/A</v>
      </c>
      <c r="Y107" t="e">
        <v>#N/A</v>
      </c>
      <c r="Z107" t="e">
        <v>#N/A</v>
      </c>
      <c r="AA107" t="e">
        <v>#N/A</v>
      </c>
      <c r="AB107" t="e">
        <v>#N/A</v>
      </c>
      <c r="AC107" t="e">
        <v>#N/A</v>
      </c>
      <c r="AD107" t="e">
        <v>#N/A</v>
      </c>
      <c r="AE107" t="e">
        <v>#N/A</v>
      </c>
      <c r="AF107" s="454" t="e">
        <v>#N/A</v>
      </c>
      <c r="AG107" s="839" t="e" cm="1">
        <f t="array" ref="AG107">INDEX(W107:AF107,ROWS($1:10))</f>
        <v>#N/A</v>
      </c>
    </row>
    <row r="108" spans="2:33">
      <c r="B108" t="s">
        <v>1123</v>
      </c>
      <c r="E108" t="s">
        <v>1052</v>
      </c>
      <c r="F108" t="s">
        <v>1062</v>
      </c>
      <c r="G108" s="748">
        <f>($E$10-$E$11)/G107</f>
        <v>489.09551829088588</v>
      </c>
      <c r="H108" s="748">
        <f t="shared" ref="H108:K108" si="48">($E$10-$E$11)/H107</f>
        <v>965.5646295544874</v>
      </c>
      <c r="I108" s="748">
        <f t="shared" si="48"/>
        <v>965.51719144399738</v>
      </c>
      <c r="J108" s="748">
        <f t="shared" si="48"/>
        <v>965.51719616709249</v>
      </c>
      <c r="K108" s="748">
        <f t="shared" si="48"/>
        <v>965.51719616662172</v>
      </c>
    </row>
    <row r="109" spans="2:33">
      <c r="B109" t="s">
        <v>1133</v>
      </c>
      <c r="E109" t="s">
        <v>1053</v>
      </c>
      <c r="F109" t="s">
        <v>1056</v>
      </c>
      <c r="G109" s="733">
        <f>$E$10 - G108*G106</f>
        <v>93.320799811255952</v>
      </c>
      <c r="H109" s="733">
        <f t="shared" ref="H109:K109" si="49">$E$10 - H108*H106</f>
        <v>93.308589852460827</v>
      </c>
      <c r="I109" s="733">
        <f t="shared" si="49"/>
        <v>93.308591068105997</v>
      </c>
      <c r="J109" s="733">
        <f t="shared" si="49"/>
        <v>93.308591067984963</v>
      </c>
      <c r="K109" s="733">
        <f t="shared" si="49"/>
        <v>93.308591067984977</v>
      </c>
    </row>
    <row r="110" spans="2:33">
      <c r="B110" t="s">
        <v>1125</v>
      </c>
      <c r="F110" t="s">
        <v>1010</v>
      </c>
      <c r="G110" s="160">
        <f>G108*PI()*($E$9/1000)</f>
        <v>156.11235093610009</v>
      </c>
      <c r="H110" s="160">
        <f t="shared" ref="H110:K110" si="50">H108*PI()*($E$9/1000)</f>
        <v>308.19453187229198</v>
      </c>
      <c r="I110" s="160">
        <f t="shared" si="50"/>
        <v>308.17939030039935</v>
      </c>
      <c r="J110" s="160">
        <f t="shared" si="50"/>
        <v>308.17939180794434</v>
      </c>
      <c r="K110" s="160">
        <f t="shared" si="50"/>
        <v>308.17939180779405</v>
      </c>
    </row>
  </sheetData>
  <mergeCells count="45">
    <mergeCell ref="W10:AQ10"/>
    <mergeCell ref="B21:K21"/>
    <mergeCell ref="U13:U32"/>
    <mergeCell ref="W11:AP11"/>
    <mergeCell ref="B3:Z3"/>
    <mergeCell ref="B7:K7"/>
    <mergeCell ref="N9:AQ9"/>
    <mergeCell ref="AQ11:AQ12"/>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 ref="U98:U107"/>
    <mergeCell ref="N94:AG94"/>
    <mergeCell ref="N95:N96"/>
    <mergeCell ref="Q95:Q96"/>
    <mergeCell ref="W95:AF95"/>
    <mergeCell ref="W96:AF96"/>
    <mergeCell ref="AG96:AG9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topLeftCell="M79" workbookViewId="0">
      <selection activeCell="B84" sqref="B84:C86"/>
    </sheetView>
  </sheetViews>
  <sheetFormatPr baseColWidth="10" defaultColWidth="9.140625" defaultRowHeight="15"/>
  <cols>
    <col min="1" max="1" width="4.140625" style="732" customWidth="1"/>
    <col min="2" max="2" width="12.42578125" customWidth="1"/>
    <col min="3" max="3" width="10.5703125" customWidth="1"/>
    <col min="4" max="4" width="10.85546875" customWidth="1"/>
    <col min="5" max="5" width="13.85546875" bestFit="1" customWidth="1"/>
    <col min="13" max="13" width="9.5703125" bestFit="1" customWidth="1"/>
    <col min="14" max="14" width="11.5703125" bestFit="1" customWidth="1"/>
    <col min="15" max="15" width="11.5703125" customWidth="1"/>
    <col min="16" max="16" width="10.85546875" customWidth="1"/>
    <col min="17" max="17" width="22.85546875" customWidth="1"/>
    <col min="18" max="18" width="11.5703125" customWidth="1"/>
    <col min="21" max="21" width="4.85546875" customWidth="1"/>
    <col min="22" max="22" width="12.42578125" customWidth="1"/>
    <col min="23" max="23" width="10.5703125" bestFit="1" customWidth="1"/>
    <col min="33" max="33" width="10.5703125" bestFit="1" customWidth="1"/>
  </cols>
  <sheetData>
    <row r="1" spans="1:43" ht="36">
      <c r="A1" s="955"/>
      <c r="B1" s="900" t="s">
        <v>1396</v>
      </c>
      <c r="C1" s="724"/>
      <c r="D1" s="724"/>
      <c r="E1" s="724"/>
      <c r="F1" s="724"/>
      <c r="G1" s="724"/>
      <c r="H1" s="724"/>
      <c r="I1" s="214"/>
    </row>
    <row r="2" spans="1:43" ht="15" customHeight="1">
      <c r="A2" s="819"/>
      <c r="B2" s="819"/>
      <c r="C2" s="724"/>
      <c r="D2" s="724"/>
      <c r="E2" s="724"/>
      <c r="F2" s="724"/>
      <c r="G2" s="724"/>
      <c r="H2" s="724"/>
      <c r="I2" s="214"/>
    </row>
    <row r="3" spans="1:43" ht="12.75" customHeight="1">
      <c r="A3" s="725"/>
      <c r="B3" s="2307" t="s">
        <v>1295</v>
      </c>
      <c r="C3" s="2307"/>
      <c r="D3" s="2307"/>
      <c r="E3" s="2307"/>
      <c r="F3" s="2307"/>
      <c r="G3" s="2307"/>
      <c r="H3" s="2307"/>
      <c r="I3" s="2307"/>
      <c r="J3" s="2307"/>
      <c r="K3" s="2307"/>
      <c r="L3" s="2307"/>
      <c r="M3" s="2307"/>
      <c r="N3" s="2307"/>
      <c r="O3" s="2307"/>
      <c r="P3" s="2307"/>
      <c r="Q3" s="2307"/>
      <c r="R3" s="2307"/>
      <c r="S3" s="2307"/>
      <c r="T3" s="2307"/>
      <c r="U3" s="2307"/>
      <c r="V3" s="2307"/>
      <c r="W3" s="2307"/>
      <c r="X3" s="2307"/>
      <c r="Y3" s="2307"/>
      <c r="Z3" s="2307"/>
    </row>
    <row r="4" spans="1:43" ht="12.75" customHeight="1">
      <c r="A4" s="725"/>
      <c r="B4" s="749"/>
      <c r="C4" s="749"/>
      <c r="D4" s="749"/>
      <c r="E4" s="749"/>
      <c r="F4" s="749"/>
      <c r="G4" s="749"/>
      <c r="H4" s="749"/>
      <c r="I4" s="749"/>
      <c r="J4" s="749"/>
      <c r="K4" s="749"/>
      <c r="L4" s="744"/>
    </row>
    <row r="5" spans="1:43" ht="27" customHeight="1" thickBot="1">
      <c r="A5" s="725"/>
      <c r="B5" s="771" t="s">
        <v>1134</v>
      </c>
      <c r="C5" s="770"/>
      <c r="D5" s="770"/>
      <c r="E5" s="770"/>
      <c r="F5" s="770"/>
      <c r="G5" s="770"/>
      <c r="H5" s="770"/>
      <c r="I5" s="770"/>
      <c r="J5" s="770"/>
      <c r="K5" s="770"/>
      <c r="L5" s="744"/>
      <c r="N5" s="820" t="s">
        <v>1144</v>
      </c>
      <c r="O5" s="815"/>
      <c r="P5" s="815"/>
      <c r="Q5" s="815"/>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c r="AQ5" s="658"/>
    </row>
    <row r="6" spans="1:43" ht="12.75" customHeight="1">
      <c r="A6" s="725"/>
      <c r="B6" s="749"/>
      <c r="C6" s="749"/>
      <c r="D6" s="749"/>
      <c r="E6" s="749"/>
      <c r="F6" s="749"/>
      <c r="G6" s="749"/>
      <c r="H6" s="749"/>
      <c r="I6" s="749"/>
      <c r="J6" s="749"/>
      <c r="K6" s="749"/>
      <c r="L6" s="744"/>
      <c r="N6" s="754" t="s">
        <v>1176</v>
      </c>
      <c r="O6" s="755" t="s">
        <v>1146</v>
      </c>
      <c r="P6" s="755" t="s">
        <v>997</v>
      </c>
      <c r="Q6" s="755"/>
      <c r="R6" s="755" t="s">
        <v>1140</v>
      </c>
      <c r="S6" s="756"/>
      <c r="T6" s="773">
        <f>Hypothèses!D229</f>
        <v>2.2351999999999999</v>
      </c>
      <c r="U6" s="758" t="s">
        <v>1007</v>
      </c>
    </row>
    <row r="7" spans="1:43" ht="15.75" thickBot="1">
      <c r="B7" s="2305" t="s">
        <v>1149</v>
      </c>
      <c r="C7" s="2305"/>
      <c r="D7" s="2305"/>
      <c r="E7" s="2305"/>
      <c r="F7" s="2305"/>
      <c r="G7" s="2305"/>
      <c r="H7" s="2305"/>
      <c r="I7" s="2305"/>
      <c r="J7" s="2305"/>
      <c r="K7" s="2305"/>
      <c r="N7" s="759"/>
      <c r="O7" s="760" t="s">
        <v>562</v>
      </c>
      <c r="P7" s="760" t="s">
        <v>563</v>
      </c>
      <c r="Q7" s="760"/>
      <c r="R7" s="761" t="s">
        <v>1147</v>
      </c>
      <c r="S7" s="761"/>
      <c r="T7" s="762">
        <f>Hypothèses!D226</f>
        <v>-0.41428571428571404</v>
      </c>
      <c r="U7" s="763" t="s">
        <v>16</v>
      </c>
    </row>
    <row r="8" spans="1:43">
      <c r="B8" t="s">
        <v>1063</v>
      </c>
      <c r="C8" t="s">
        <v>1064</v>
      </c>
      <c r="E8" s="733">
        <f>E9-CONVERT(Hypothèses!D231,"in","mm")</f>
        <v>87.376000000000005</v>
      </c>
      <c r="F8" t="s">
        <v>1006</v>
      </c>
      <c r="N8" s="741"/>
      <c r="O8" s="741"/>
      <c r="P8" s="741"/>
      <c r="Q8" s="741"/>
      <c r="T8" s="160"/>
    </row>
    <row r="9" spans="1:43">
      <c r="C9" t="s">
        <v>1209</v>
      </c>
      <c r="E9" s="767">
        <v>88.9</v>
      </c>
      <c r="F9" t="s">
        <v>1006</v>
      </c>
      <c r="N9" s="2309" t="s">
        <v>1211</v>
      </c>
      <c r="O9" s="2309"/>
      <c r="P9" s="2309"/>
      <c r="Q9" s="2309"/>
      <c r="R9" s="2309"/>
      <c r="S9" s="2309"/>
    </row>
    <row r="10" spans="1:43">
      <c r="B10" t="s">
        <v>1066</v>
      </c>
      <c r="E10" s="767">
        <v>93.333333333333329</v>
      </c>
      <c r="F10" t="s">
        <v>1056</v>
      </c>
      <c r="N10" s="2296" t="s">
        <v>1136</v>
      </c>
      <c r="O10" s="829" t="s">
        <v>1137</v>
      </c>
      <c r="P10" s="829" t="s">
        <v>1138</v>
      </c>
      <c r="Q10" s="2297" t="s">
        <v>1148</v>
      </c>
      <c r="R10" s="842" t="s">
        <v>1203</v>
      </c>
      <c r="S10" s="842" t="s">
        <v>1135</v>
      </c>
      <c r="W10" s="2299" t="s">
        <v>1194</v>
      </c>
      <c r="X10" s="2299"/>
      <c r="Y10" s="2299"/>
      <c r="Z10" s="2299"/>
      <c r="AA10" s="2299"/>
      <c r="AB10" s="2299"/>
      <c r="AC10" s="2299"/>
      <c r="AD10" s="2299"/>
      <c r="AE10" s="2299"/>
      <c r="AF10" s="2299"/>
      <c r="AG10" s="2299"/>
      <c r="AH10" s="2299"/>
      <c r="AI10" s="2299"/>
      <c r="AJ10" s="2299"/>
      <c r="AK10" s="2299"/>
      <c r="AL10" s="2299"/>
      <c r="AM10" s="2299"/>
      <c r="AN10" s="2299"/>
      <c r="AO10" s="2299"/>
      <c r="AP10" s="2299"/>
      <c r="AQ10" s="2299"/>
    </row>
    <row r="11" spans="1:43" ht="15.75" thickBot="1">
      <c r="B11" t="s">
        <v>1067</v>
      </c>
      <c r="E11" s="738">
        <f>T7</f>
        <v>-0.41428571428571404</v>
      </c>
      <c r="F11" t="s">
        <v>1056</v>
      </c>
      <c r="N11" s="2296"/>
      <c r="O11" s="830" t="s">
        <v>1141</v>
      </c>
      <c r="P11" s="830" t="s">
        <v>1142</v>
      </c>
      <c r="Q11" s="2298"/>
      <c r="R11" s="844" t="s">
        <v>1158</v>
      </c>
      <c r="S11" s="843" t="s">
        <v>1212</v>
      </c>
      <c r="W11" s="2300" t="s">
        <v>985</v>
      </c>
      <c r="X11" s="2300"/>
      <c r="Y11" s="2300"/>
      <c r="Z11" s="2300"/>
      <c r="AA11" s="2300"/>
      <c r="AB11" s="2300"/>
      <c r="AC11" s="2300"/>
      <c r="AD11" s="2300"/>
      <c r="AE11" s="2300"/>
      <c r="AF11" s="2300"/>
      <c r="AG11" s="2300"/>
      <c r="AH11" s="2300"/>
      <c r="AI11" s="2300"/>
      <c r="AJ11" s="2300"/>
      <c r="AK11" s="2300"/>
      <c r="AL11" s="2300"/>
      <c r="AM11" s="2300"/>
      <c r="AN11" s="2300"/>
      <c r="AO11" s="2300"/>
      <c r="AP11" s="2300"/>
    </row>
    <row r="12" spans="1:43" ht="15" customHeight="1">
      <c r="B12" t="s">
        <v>1068</v>
      </c>
      <c r="E12" s="738">
        <f>T6</f>
        <v>2.2351999999999999</v>
      </c>
      <c r="F12" t="s">
        <v>1007</v>
      </c>
      <c r="N12" s="22" t="e" cm="1" vm="2">
        <f t="array" ref="N12">_xlfn._xlws.FILTER(Isolation!$B$7:$E$26,Isolation!$E$7:$E$26=P6&amp;"_"&amp;P7)</f>
        <v>#VALUE!</v>
      </c>
      <c r="O12" s="22"/>
      <c r="P12" s="22"/>
      <c r="Q12" s="22"/>
      <c r="R12" s="837" t="e">
        <f>VLOOKUP(O12,Hypothèses!$C$265:$E$285,3)</f>
        <v>#N/A</v>
      </c>
      <c r="S12" s="823" t="e" vm="1">
        <f t="shared" ref="S12:S31" si="0">IF(N12="","",AQ13)</f>
        <v>#VALUE!</v>
      </c>
      <c r="V12" s="733">
        <f>$E$30</f>
        <v>584.50050366487062</v>
      </c>
      <c r="W12" s="818" cm="1">
        <f t="array" ref="W12:AP12">TRANSPOSE(P12:P31)</f>
        <v>0</v>
      </c>
      <c r="X12" s="818">
        <v>0</v>
      </c>
      <c r="Y12" s="818">
        <v>0</v>
      </c>
      <c r="Z12" s="818">
        <v>0</v>
      </c>
      <c r="AA12" s="818">
        <v>0</v>
      </c>
      <c r="AB12" s="818">
        <v>0</v>
      </c>
      <c r="AC12" s="818">
        <v>0</v>
      </c>
      <c r="AD12" s="818">
        <v>0</v>
      </c>
      <c r="AE12" s="818">
        <v>0</v>
      </c>
      <c r="AF12" s="818">
        <v>0</v>
      </c>
      <c r="AG12" s="818">
        <v>0</v>
      </c>
      <c r="AH12" s="818">
        <v>0</v>
      </c>
      <c r="AI12" s="818">
        <v>0</v>
      </c>
      <c r="AJ12" s="818">
        <v>0</v>
      </c>
      <c r="AK12" s="818">
        <v>0</v>
      </c>
      <c r="AL12" s="818">
        <v>0</v>
      </c>
      <c r="AM12" s="818">
        <v>0</v>
      </c>
      <c r="AN12" s="818">
        <v>0</v>
      </c>
      <c r="AO12" s="818">
        <v>0</v>
      </c>
      <c r="AP12" s="818">
        <v>0</v>
      </c>
      <c r="AQ12" s="768" t="s">
        <v>1479</v>
      </c>
    </row>
    <row r="13" spans="1:43">
      <c r="N13" s="22"/>
      <c r="O13" s="22"/>
      <c r="P13" s="22"/>
      <c r="Q13" s="22"/>
      <c r="R13" s="837" t="e">
        <f>VLOOKUP(O13,Hypothèses!$C$265:$E$285,3)</f>
        <v>#N/A</v>
      </c>
      <c r="S13" s="823" t="str">
        <f t="shared" si="0"/>
        <v/>
      </c>
      <c r="U13" s="2306" t="s">
        <v>1204</v>
      </c>
      <c r="V13" s="817" t="e">
        <f>R12</f>
        <v>#N/A</v>
      </c>
      <c r="W13" s="454" t="e">
        <f t="dataTable" ref="W13:AP32" dt2D="1" dtr="1" r1="E10" r2="E9"/>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69" t="e" cm="1">
        <f t="array" ref="AQ13">INDEX(W13:AP13,ROWS($1:1))</f>
        <v>#N/A</v>
      </c>
    </row>
    <row r="14" spans="1:43">
      <c r="B14" t="s">
        <v>404</v>
      </c>
      <c r="N14" s="22"/>
      <c r="O14" s="22"/>
      <c r="P14" s="22"/>
      <c r="Q14" s="22"/>
      <c r="R14" s="837" t="e">
        <f>VLOOKUP(O14,Hypothèses!$C$265:$E$285,3)</f>
        <v>#N/A</v>
      </c>
      <c r="S14" s="823" t="str">
        <f t="shared" si="0"/>
        <v/>
      </c>
      <c r="U14" s="2306"/>
      <c r="V14" s="817" t="e">
        <f t="shared" ref="V14:V32" si="1">R13</f>
        <v>#N/A</v>
      </c>
      <c r="W14" t="e">
        <v>#N/A</v>
      </c>
      <c r="X14" s="454"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69" t="e" cm="1">
        <f t="array" ref="AQ14">INDEX(W14:AP14,ROWS($1:2))</f>
        <v>#N/A</v>
      </c>
    </row>
    <row r="15" spans="1:43">
      <c r="B15" t="s">
        <v>1008</v>
      </c>
      <c r="E15" s="740" t="s">
        <v>1009</v>
      </c>
      <c r="M15" s="724"/>
      <c r="N15" s="824"/>
      <c r="O15" s="824"/>
      <c r="P15" s="824"/>
      <c r="Q15" s="824"/>
      <c r="R15" s="837" t="e">
        <f>VLOOKUP(O15,Hypothèses!$C$265:$E$285,3)</f>
        <v>#N/A</v>
      </c>
      <c r="S15" s="823" t="str">
        <f t="shared" si="0"/>
        <v/>
      </c>
      <c r="U15" s="2306"/>
      <c r="V15" s="817" t="e">
        <f t="shared" si="1"/>
        <v>#N/A</v>
      </c>
      <c r="W15" t="e">
        <v>#N/A</v>
      </c>
      <c r="X15" t="e">
        <v>#N/A</v>
      </c>
      <c r="Y15" s="454"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69" t="e" cm="1">
        <f t="array" ref="AQ15">INDEX(W15:AP15,ROWS($1:3))</f>
        <v>#N/A</v>
      </c>
    </row>
    <row r="16" spans="1:43">
      <c r="B16" t="s">
        <v>1069</v>
      </c>
      <c r="E16">
        <v>0.9</v>
      </c>
      <c r="M16" s="160"/>
      <c r="N16" s="825"/>
      <c r="O16" s="825"/>
      <c r="P16" s="825"/>
      <c r="Q16" s="825"/>
      <c r="R16" s="837" t="e">
        <f>VLOOKUP(O16,Hypothèses!$C$265:$E$285,3)</f>
        <v>#N/A</v>
      </c>
      <c r="S16" s="823" t="str">
        <f t="shared" si="0"/>
        <v/>
      </c>
      <c r="U16" s="2306"/>
      <c r="V16" s="817" t="e">
        <f t="shared" si="1"/>
        <v>#N/A</v>
      </c>
      <c r="W16" t="e">
        <v>#N/A</v>
      </c>
      <c r="X16" t="e">
        <v>#N/A</v>
      </c>
      <c r="Y16" t="e">
        <v>#N/A</v>
      </c>
      <c r="Z16" s="454"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69" t="e" cm="1">
        <f t="array" ref="AQ16">INDEX(W16:AP16,ROWS($1:4))</f>
        <v>#N/A</v>
      </c>
    </row>
    <row r="17" spans="2:43">
      <c r="B17" t="s">
        <v>1070</v>
      </c>
      <c r="E17" s="739">
        <f>CONVERT(Hypothèses!D235,"in","mm")</f>
        <v>50.8</v>
      </c>
      <c r="F17" t="s">
        <v>1006</v>
      </c>
      <c r="M17" s="160"/>
      <c r="N17" s="824"/>
      <c r="O17" s="824"/>
      <c r="P17" s="824"/>
      <c r="Q17" s="824"/>
      <c r="R17" s="837" t="e">
        <f>VLOOKUP(O17,Hypothèses!$C$265:$E$285,3)</f>
        <v>#N/A</v>
      </c>
      <c r="S17" s="823" t="str">
        <f t="shared" si="0"/>
        <v/>
      </c>
      <c r="U17" s="2306"/>
      <c r="V17" s="817" t="e">
        <f t="shared" si="1"/>
        <v>#N/A</v>
      </c>
      <c r="W17" t="e">
        <v>#N/A</v>
      </c>
      <c r="X17" t="e">
        <v>#N/A</v>
      </c>
      <c r="Y17" t="e">
        <v>#N/A</v>
      </c>
      <c r="Z17" t="e">
        <v>#N/A</v>
      </c>
      <c r="AA17" s="454"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69" t="e" cm="1">
        <f t="array" ref="AQ17">INDEX(W17:AP17,ROWS($1:5))</f>
        <v>#N/A</v>
      </c>
    </row>
    <row r="18" spans="2:43">
      <c r="B18" t="s">
        <v>1065</v>
      </c>
      <c r="D18" t="s">
        <v>1400</v>
      </c>
      <c r="E18">
        <f>E9+2*E17</f>
        <v>190.5</v>
      </c>
      <c r="F18" t="s">
        <v>1006</v>
      </c>
      <c r="M18" s="160"/>
      <c r="N18" s="826"/>
      <c r="O18" s="826"/>
      <c r="P18" s="826"/>
      <c r="Q18" s="826"/>
      <c r="R18" s="837" t="e">
        <f>VLOOKUP(O18,Hypothèses!$C$265:$E$285,3)</f>
        <v>#N/A</v>
      </c>
      <c r="S18" s="823" t="str">
        <f t="shared" si="0"/>
        <v/>
      </c>
      <c r="U18" s="2306"/>
      <c r="V18" s="817" t="e">
        <f t="shared" si="1"/>
        <v>#N/A</v>
      </c>
      <c r="W18" t="e">
        <v>#N/A</v>
      </c>
      <c r="X18" t="e">
        <v>#N/A</v>
      </c>
      <c r="Y18" t="e">
        <v>#N/A</v>
      </c>
      <c r="Z18" t="e">
        <v>#N/A</v>
      </c>
      <c r="AA18" t="e">
        <v>#N/A</v>
      </c>
      <c r="AB18" s="454" t="e">
        <v>#N/A</v>
      </c>
      <c r="AC18" t="e">
        <v>#N/A</v>
      </c>
      <c r="AD18" t="e">
        <v>#N/A</v>
      </c>
      <c r="AE18" t="e">
        <v>#N/A</v>
      </c>
      <c r="AF18" t="e">
        <v>#N/A</v>
      </c>
      <c r="AG18" t="e">
        <v>#N/A</v>
      </c>
      <c r="AH18" t="e">
        <v>#N/A</v>
      </c>
      <c r="AI18" t="e">
        <v>#N/A</v>
      </c>
      <c r="AJ18" t="e">
        <v>#N/A</v>
      </c>
      <c r="AK18" t="e">
        <v>#N/A</v>
      </c>
      <c r="AL18" t="e">
        <v>#N/A</v>
      </c>
      <c r="AM18" t="e">
        <v>#N/A</v>
      </c>
      <c r="AN18" t="e">
        <v>#N/A</v>
      </c>
      <c r="AO18" t="e">
        <v>#N/A</v>
      </c>
      <c r="AP18" t="e">
        <v>#N/A</v>
      </c>
      <c r="AQ18" s="769" t="e" cm="1">
        <f t="array" ref="AQ18">INDEX(W18:AP18,ROWS($1:6))</f>
        <v>#N/A</v>
      </c>
    </row>
    <row r="19" spans="2:43">
      <c r="N19" s="827"/>
      <c r="O19" s="827"/>
      <c r="P19" s="827"/>
      <c r="Q19" s="827"/>
      <c r="R19" s="837" t="e">
        <f>VLOOKUP(O19,Hypothèses!$C$265:$E$285,3)</f>
        <v>#N/A</v>
      </c>
      <c r="S19" s="823" t="str">
        <f t="shared" si="0"/>
        <v/>
      </c>
      <c r="U19" s="2306"/>
      <c r="V19" s="817" t="e">
        <f t="shared" si="1"/>
        <v>#N/A</v>
      </c>
      <c r="W19" t="e">
        <v>#N/A</v>
      </c>
      <c r="X19" t="e">
        <v>#N/A</v>
      </c>
      <c r="Y19" t="e">
        <v>#N/A</v>
      </c>
      <c r="Z19" t="e">
        <v>#N/A</v>
      </c>
      <c r="AA19" t="e">
        <v>#N/A</v>
      </c>
      <c r="AB19" t="e">
        <v>#N/A</v>
      </c>
      <c r="AC19" s="454" t="e">
        <v>#N/A</v>
      </c>
      <c r="AD19" t="e">
        <v>#N/A</v>
      </c>
      <c r="AE19" t="e">
        <v>#N/A</v>
      </c>
      <c r="AF19" t="e">
        <v>#N/A</v>
      </c>
      <c r="AG19" t="e">
        <v>#N/A</v>
      </c>
      <c r="AH19" t="e">
        <v>#N/A</v>
      </c>
      <c r="AI19" t="e">
        <v>#N/A</v>
      </c>
      <c r="AJ19" t="e">
        <v>#N/A</v>
      </c>
      <c r="AK19" t="e">
        <v>#N/A</v>
      </c>
      <c r="AL19" t="e">
        <v>#N/A</v>
      </c>
      <c r="AM19" t="e">
        <v>#N/A</v>
      </c>
      <c r="AN19" t="e">
        <v>#N/A</v>
      </c>
      <c r="AO19" t="e">
        <v>#N/A</v>
      </c>
      <c r="AP19" t="e">
        <v>#N/A</v>
      </c>
      <c r="AQ19" s="769" t="e" cm="1">
        <f t="array" ref="AQ19">INDEX(W19:AP19,ROWS($1:7))</f>
        <v>#N/A</v>
      </c>
    </row>
    <row r="20" spans="2:43">
      <c r="J20" s="733"/>
      <c r="N20" s="824"/>
      <c r="O20" s="824"/>
      <c r="P20" s="824"/>
      <c r="Q20" s="824"/>
      <c r="R20" s="837" t="e">
        <f>VLOOKUP(O20,Hypothèses!$C$265:$E$285,3)</f>
        <v>#N/A</v>
      </c>
      <c r="S20" s="823" t="str">
        <f t="shared" si="0"/>
        <v/>
      </c>
      <c r="U20" s="2306"/>
      <c r="V20" s="817" t="e">
        <f t="shared" si="1"/>
        <v>#N/A</v>
      </c>
      <c r="W20" t="e">
        <v>#N/A</v>
      </c>
      <c r="X20" t="e">
        <v>#N/A</v>
      </c>
      <c r="Y20" t="e">
        <v>#N/A</v>
      </c>
      <c r="Z20" t="e">
        <v>#N/A</v>
      </c>
      <c r="AA20" t="e">
        <v>#N/A</v>
      </c>
      <c r="AB20" t="e">
        <v>#N/A</v>
      </c>
      <c r="AC20" t="e">
        <v>#N/A</v>
      </c>
      <c r="AD20" s="454" t="e">
        <v>#N/A</v>
      </c>
      <c r="AE20" t="e">
        <v>#N/A</v>
      </c>
      <c r="AF20" t="e">
        <v>#N/A</v>
      </c>
      <c r="AG20" t="e">
        <v>#N/A</v>
      </c>
      <c r="AH20" t="e">
        <v>#N/A</v>
      </c>
      <c r="AI20" t="e">
        <v>#N/A</v>
      </c>
      <c r="AJ20" t="e">
        <v>#N/A</v>
      </c>
      <c r="AK20" t="e">
        <v>#N/A</v>
      </c>
      <c r="AL20" t="e">
        <v>#N/A</v>
      </c>
      <c r="AM20" t="e">
        <v>#N/A</v>
      </c>
      <c r="AN20" t="e">
        <v>#N/A</v>
      </c>
      <c r="AO20" t="e">
        <v>#N/A</v>
      </c>
      <c r="AP20" t="e">
        <v>#N/A</v>
      </c>
      <c r="AQ20" s="769" t="e" cm="1">
        <f t="array" ref="AQ20">INDEX(W20:AP20,ROWS($1:8))</f>
        <v>#N/A</v>
      </c>
    </row>
    <row r="21" spans="2:43">
      <c r="B21" s="2305" t="s">
        <v>228</v>
      </c>
      <c r="C21" s="2305"/>
      <c r="D21" s="2305"/>
      <c r="E21" s="2305"/>
      <c r="F21" s="2305"/>
      <c r="G21" s="2305"/>
      <c r="H21" s="2305"/>
      <c r="I21" s="2305"/>
      <c r="J21" s="2305"/>
      <c r="K21" s="2305"/>
      <c r="N21" s="825"/>
      <c r="O21" s="825"/>
      <c r="P21" s="825"/>
      <c r="Q21" s="825"/>
      <c r="R21" s="837" t="e">
        <f>VLOOKUP(O21,Hypothèses!$C$265:$E$285,3)</f>
        <v>#N/A</v>
      </c>
      <c r="S21" s="823" t="str">
        <f t="shared" si="0"/>
        <v/>
      </c>
      <c r="U21" s="2306"/>
      <c r="V21" s="817" t="e">
        <f t="shared" si="1"/>
        <v>#N/A</v>
      </c>
      <c r="W21" t="e">
        <v>#N/A</v>
      </c>
      <c r="X21" t="e">
        <v>#N/A</v>
      </c>
      <c r="Y21" t="e">
        <v>#N/A</v>
      </c>
      <c r="Z21" t="e">
        <v>#N/A</v>
      </c>
      <c r="AA21" t="e">
        <v>#N/A</v>
      </c>
      <c r="AB21" t="e">
        <v>#N/A</v>
      </c>
      <c r="AC21" t="e">
        <v>#N/A</v>
      </c>
      <c r="AD21" t="e">
        <v>#N/A</v>
      </c>
      <c r="AE21" s="454" t="e">
        <v>#N/A</v>
      </c>
      <c r="AF21" t="e">
        <v>#N/A</v>
      </c>
      <c r="AG21" t="e">
        <v>#N/A</v>
      </c>
      <c r="AH21" t="e">
        <v>#N/A</v>
      </c>
      <c r="AI21" t="e">
        <v>#N/A</v>
      </c>
      <c r="AJ21" t="e">
        <v>#N/A</v>
      </c>
      <c r="AK21" t="e">
        <v>#N/A</v>
      </c>
      <c r="AL21" t="e">
        <v>#N/A</v>
      </c>
      <c r="AM21" t="e">
        <v>#N/A</v>
      </c>
      <c r="AN21" t="e">
        <v>#N/A</v>
      </c>
      <c r="AO21" t="e">
        <v>#N/A</v>
      </c>
      <c r="AP21" t="e">
        <v>#N/A</v>
      </c>
      <c r="AQ21" s="769" t="e" cm="1">
        <f t="array" ref="AQ21">INDEX(W21:AP21,ROWS($1:9))</f>
        <v>#N/A</v>
      </c>
    </row>
    <row r="22" spans="2:43">
      <c r="B22" s="734" t="s">
        <v>1071</v>
      </c>
      <c r="J22" s="733"/>
      <c r="N22" s="22"/>
      <c r="O22" s="22"/>
      <c r="P22" s="22"/>
      <c r="Q22" s="22"/>
      <c r="R22" s="837" t="e">
        <f>VLOOKUP(O22,Hypothèses!$C$265:$E$285,3)</f>
        <v>#N/A</v>
      </c>
      <c r="S22" s="823" t="str">
        <f t="shared" si="0"/>
        <v/>
      </c>
      <c r="U22" s="2306"/>
      <c r="V22" s="817" t="e">
        <f t="shared" si="1"/>
        <v>#N/A</v>
      </c>
      <c r="W22" t="e">
        <v>#N/A</v>
      </c>
      <c r="X22" t="e">
        <v>#N/A</v>
      </c>
      <c r="Y22" t="e">
        <v>#N/A</v>
      </c>
      <c r="Z22" t="e">
        <v>#N/A</v>
      </c>
      <c r="AA22" t="e">
        <v>#N/A</v>
      </c>
      <c r="AB22" t="e">
        <v>#N/A</v>
      </c>
      <c r="AC22" t="e">
        <v>#N/A</v>
      </c>
      <c r="AD22" t="e">
        <v>#N/A</v>
      </c>
      <c r="AE22" t="e">
        <v>#N/A</v>
      </c>
      <c r="AF22" s="454" t="e">
        <v>#N/A</v>
      </c>
      <c r="AG22" t="e">
        <v>#N/A</v>
      </c>
      <c r="AH22" t="e">
        <v>#N/A</v>
      </c>
      <c r="AI22" t="e">
        <v>#N/A</v>
      </c>
      <c r="AJ22" t="e">
        <v>#N/A</v>
      </c>
      <c r="AK22" t="e">
        <v>#N/A</v>
      </c>
      <c r="AL22" t="e">
        <v>#N/A</v>
      </c>
      <c r="AM22" t="e">
        <v>#N/A</v>
      </c>
      <c r="AN22" t="e">
        <v>#N/A</v>
      </c>
      <c r="AO22" t="e">
        <v>#N/A</v>
      </c>
      <c r="AP22" t="e">
        <v>#N/A</v>
      </c>
      <c r="AQ22" s="769" t="e" cm="1">
        <f t="array" ref="AQ22">INDEX(W22:AP22,ROWS($1:10))</f>
        <v>#N/A</v>
      </c>
    </row>
    <row r="23" spans="2:43">
      <c r="B23" t="s">
        <v>1072</v>
      </c>
      <c r="E23" s="733">
        <f>K73</f>
        <v>3.5471027086795175</v>
      </c>
      <c r="F23" t="s">
        <v>1056</v>
      </c>
      <c r="J23" s="733"/>
      <c r="N23" s="22"/>
      <c r="O23" s="22"/>
      <c r="P23" s="22"/>
      <c r="Q23" s="22"/>
      <c r="R23" s="837" t="e">
        <f>VLOOKUP(O23,Hypothèses!$C$265:$E$285,3)</f>
        <v>#N/A</v>
      </c>
      <c r="S23" s="823" t="str">
        <f t="shared" si="0"/>
        <v/>
      </c>
      <c r="U23" s="2306"/>
      <c r="V23" s="817" t="e">
        <f t="shared" si="1"/>
        <v>#N/A</v>
      </c>
      <c r="W23" t="e">
        <v>#N/A</v>
      </c>
      <c r="X23" t="e">
        <v>#N/A</v>
      </c>
      <c r="Y23" t="e">
        <v>#N/A</v>
      </c>
      <c r="Z23" t="e">
        <v>#N/A</v>
      </c>
      <c r="AA23" t="e">
        <v>#N/A</v>
      </c>
      <c r="AB23" t="e">
        <v>#N/A</v>
      </c>
      <c r="AC23" t="e">
        <v>#N/A</v>
      </c>
      <c r="AD23" t="e">
        <v>#N/A</v>
      </c>
      <c r="AE23" t="e">
        <v>#N/A</v>
      </c>
      <c r="AF23" t="e">
        <v>#N/A</v>
      </c>
      <c r="AG23" s="454" t="e">
        <v>#N/A</v>
      </c>
      <c r="AH23" t="e">
        <v>#N/A</v>
      </c>
      <c r="AI23" t="e">
        <v>#N/A</v>
      </c>
      <c r="AJ23" t="e">
        <v>#N/A</v>
      </c>
      <c r="AK23" t="e">
        <v>#N/A</v>
      </c>
      <c r="AL23" t="e">
        <v>#N/A</v>
      </c>
      <c r="AM23" t="e">
        <v>#N/A</v>
      </c>
      <c r="AN23" t="e">
        <v>#N/A</v>
      </c>
      <c r="AO23" t="e">
        <v>#N/A</v>
      </c>
      <c r="AP23" t="e">
        <v>#N/A</v>
      </c>
      <c r="AQ23" s="769" t="e" cm="1">
        <f t="array" ref="AQ23">INDEX(W23:AP23,ROWS($1:11))</f>
        <v>#N/A</v>
      </c>
    </row>
    <row r="24" spans="2:43">
      <c r="B24" t="s">
        <v>1073</v>
      </c>
      <c r="E24" s="733">
        <f>K74</f>
        <v>41.260664076469901</v>
      </c>
      <c r="F24" t="s">
        <v>1010</v>
      </c>
      <c r="J24" s="733"/>
      <c r="N24" s="22"/>
      <c r="O24" s="22"/>
      <c r="P24" s="22"/>
      <c r="Q24" s="22"/>
      <c r="R24" s="837" t="e">
        <f>VLOOKUP(O24,Hypothèses!$C$265:$E$285,3)</f>
        <v>#N/A</v>
      </c>
      <c r="S24" s="823" t="str">
        <f t="shared" si="0"/>
        <v/>
      </c>
      <c r="U24" s="2306"/>
      <c r="V24" s="817" t="e">
        <f t="shared" si="1"/>
        <v>#N/A</v>
      </c>
      <c r="W24" t="e">
        <v>#N/A</v>
      </c>
      <c r="X24" t="e">
        <v>#N/A</v>
      </c>
      <c r="Y24" t="e">
        <v>#N/A</v>
      </c>
      <c r="Z24" t="e">
        <v>#N/A</v>
      </c>
      <c r="AA24" t="e">
        <v>#N/A</v>
      </c>
      <c r="AB24" t="e">
        <v>#N/A</v>
      </c>
      <c r="AC24" t="e">
        <v>#N/A</v>
      </c>
      <c r="AD24" t="e">
        <v>#N/A</v>
      </c>
      <c r="AE24" t="e">
        <v>#N/A</v>
      </c>
      <c r="AF24" t="e">
        <v>#N/A</v>
      </c>
      <c r="AG24" t="e">
        <v>#N/A</v>
      </c>
      <c r="AH24" s="454" t="e">
        <v>#N/A</v>
      </c>
      <c r="AI24" t="e">
        <v>#N/A</v>
      </c>
      <c r="AJ24" t="e">
        <v>#N/A</v>
      </c>
      <c r="AK24" t="e">
        <v>#N/A</v>
      </c>
      <c r="AL24" t="e">
        <v>#N/A</v>
      </c>
      <c r="AM24" t="e">
        <v>#N/A</v>
      </c>
      <c r="AN24" t="e">
        <v>#N/A</v>
      </c>
      <c r="AO24" t="e">
        <v>#N/A</v>
      </c>
      <c r="AP24" t="e">
        <v>#N/A</v>
      </c>
      <c r="AQ24" s="769" t="e" cm="1">
        <f t="array" ref="AQ24">INDEX(W24:AP24,ROWS($1:12))</f>
        <v>#N/A</v>
      </c>
    </row>
    <row r="25" spans="2:43">
      <c r="B25" s="734" t="s">
        <v>1074</v>
      </c>
      <c r="E25" s="733"/>
      <c r="J25" s="733"/>
      <c r="N25" s="827"/>
      <c r="O25" s="827"/>
      <c r="P25" s="827"/>
      <c r="Q25" s="827"/>
      <c r="R25" s="837" t="e">
        <f>VLOOKUP(O25,Hypothèses!$C$265:$E$285,3)</f>
        <v>#N/A</v>
      </c>
      <c r="S25" s="823" t="str">
        <f t="shared" si="0"/>
        <v/>
      </c>
      <c r="U25" s="2306"/>
      <c r="V25" s="817" t="e">
        <f t="shared" si="1"/>
        <v>#N/A</v>
      </c>
      <c r="W25" t="e">
        <v>#N/A</v>
      </c>
      <c r="X25" t="e">
        <v>#N/A</v>
      </c>
      <c r="Y25" t="e">
        <v>#N/A</v>
      </c>
      <c r="Z25" t="e">
        <v>#N/A</v>
      </c>
      <c r="AA25" t="e">
        <v>#N/A</v>
      </c>
      <c r="AB25" t="e">
        <v>#N/A</v>
      </c>
      <c r="AC25" t="e">
        <v>#N/A</v>
      </c>
      <c r="AD25" t="e">
        <v>#N/A</v>
      </c>
      <c r="AE25" t="e">
        <v>#N/A</v>
      </c>
      <c r="AF25" t="e">
        <v>#N/A</v>
      </c>
      <c r="AG25" t="e">
        <v>#N/A</v>
      </c>
      <c r="AH25" t="e">
        <v>#N/A</v>
      </c>
      <c r="AI25" s="454" t="e">
        <v>#N/A</v>
      </c>
      <c r="AJ25" t="e">
        <v>#N/A</v>
      </c>
      <c r="AK25" t="e">
        <v>#N/A</v>
      </c>
      <c r="AL25" t="e">
        <v>#N/A</v>
      </c>
      <c r="AM25" t="e">
        <v>#N/A</v>
      </c>
      <c r="AN25" t="e">
        <v>#N/A</v>
      </c>
      <c r="AO25" t="e">
        <v>#N/A</v>
      </c>
      <c r="AP25" t="e">
        <v>#N/A</v>
      </c>
      <c r="AQ25" s="769" t="e" cm="1">
        <f t="array" ref="AQ25">INDEX(W25:AP25,ROWS($1:13))</f>
        <v>#N/A</v>
      </c>
    </row>
    <row r="26" spans="2:43">
      <c r="B26" t="s">
        <v>1072</v>
      </c>
      <c r="E26" s="733">
        <f>K109</f>
        <v>93.30481274548815</v>
      </c>
      <c r="F26" t="s">
        <v>1056</v>
      </c>
      <c r="J26" s="733"/>
      <c r="N26" s="22"/>
      <c r="O26" s="22"/>
      <c r="P26" s="22"/>
      <c r="Q26" s="22"/>
      <c r="R26" s="837" t="e">
        <f>VLOOKUP(O26,Hypothèses!$C$265:$E$285,3)</f>
        <v>#N/A</v>
      </c>
      <c r="S26" s="823" t="str">
        <f t="shared" si="0"/>
        <v/>
      </c>
      <c r="U26" s="2306"/>
      <c r="V26" s="817" t="e">
        <f t="shared" si="1"/>
        <v>#N/A</v>
      </c>
      <c r="W26" t="e">
        <v>#N/A</v>
      </c>
      <c r="X26" t="e">
        <v>#N/A</v>
      </c>
      <c r="Y26" t="e">
        <v>#N/A</v>
      </c>
      <c r="Z26" t="e">
        <v>#N/A</v>
      </c>
      <c r="AA26" t="e">
        <v>#N/A</v>
      </c>
      <c r="AB26" t="e">
        <v>#N/A</v>
      </c>
      <c r="AC26" t="e">
        <v>#N/A</v>
      </c>
      <c r="AD26" t="e">
        <v>#N/A</v>
      </c>
      <c r="AE26" t="e">
        <v>#N/A</v>
      </c>
      <c r="AF26" t="e">
        <v>#N/A</v>
      </c>
      <c r="AG26" t="e">
        <v>#N/A</v>
      </c>
      <c r="AH26" t="e">
        <v>#N/A</v>
      </c>
      <c r="AI26" t="e">
        <v>#N/A</v>
      </c>
      <c r="AJ26" s="454" t="e">
        <v>#N/A</v>
      </c>
      <c r="AK26" t="e">
        <v>#N/A</v>
      </c>
      <c r="AL26" t="e">
        <v>#N/A</v>
      </c>
      <c r="AM26" t="e">
        <v>#N/A</v>
      </c>
      <c r="AN26" t="e">
        <v>#N/A</v>
      </c>
      <c r="AO26" t="e">
        <v>#N/A</v>
      </c>
      <c r="AP26" t="e">
        <v>#N/A</v>
      </c>
      <c r="AQ26" s="769" t="e" cm="1">
        <f t="array" ref="AQ26">INDEX(W26:AP26,ROWS($1:14))</f>
        <v>#N/A</v>
      </c>
    </row>
    <row r="27" spans="2:43" ht="15" customHeight="1">
      <c r="B27" t="s">
        <v>1073</v>
      </c>
      <c r="E27" s="733">
        <f>K110</f>
        <v>625.7611677413405</v>
      </c>
      <c r="F27" t="s">
        <v>1010</v>
      </c>
      <c r="J27" s="733"/>
      <c r="N27" s="22"/>
      <c r="O27" s="22"/>
      <c r="P27" s="22"/>
      <c r="Q27" s="22"/>
      <c r="R27" s="837" t="e">
        <f>VLOOKUP(O27,Hypothèses!$C$265:$E$285,3)</f>
        <v>#N/A</v>
      </c>
      <c r="S27" s="823" t="str">
        <f t="shared" si="0"/>
        <v/>
      </c>
      <c r="U27" s="2306"/>
      <c r="V27" s="81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4" t="e">
        <v>#N/A</v>
      </c>
      <c r="AL27" t="e">
        <v>#N/A</v>
      </c>
      <c r="AM27" t="e">
        <v>#N/A</v>
      </c>
      <c r="AN27" t="e">
        <v>#N/A</v>
      </c>
      <c r="AO27" t="e">
        <v>#N/A</v>
      </c>
      <c r="AP27" t="e">
        <v>#N/A</v>
      </c>
      <c r="AQ27" s="769" t="e" cm="1">
        <f t="array" ref="AQ27">INDEX(W27:AP27,ROWS($1:15))</f>
        <v>#N/A</v>
      </c>
    </row>
    <row r="28" spans="2:43">
      <c r="J28" s="733"/>
      <c r="N28" s="22"/>
      <c r="O28" s="22"/>
      <c r="P28" s="22"/>
      <c r="Q28" s="22"/>
      <c r="R28" s="837" t="e">
        <f>VLOOKUP(O28,Hypothèses!$C$265:$E$285,3)</f>
        <v>#N/A</v>
      </c>
      <c r="S28" s="823" t="str">
        <f t="shared" si="0"/>
        <v/>
      </c>
      <c r="U28" s="2306"/>
      <c r="V28" s="81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4" t="e">
        <v>#N/A</v>
      </c>
      <c r="AM28" t="e">
        <v>#N/A</v>
      </c>
      <c r="AN28" t="e">
        <v>#N/A</v>
      </c>
      <c r="AO28" t="e">
        <v>#N/A</v>
      </c>
      <c r="AP28" t="e">
        <v>#N/A</v>
      </c>
      <c r="AQ28" s="769" t="e" cm="1">
        <f t="array" ref="AQ28">INDEX(W28:AP28,ROWS($1:16))</f>
        <v>#N/A</v>
      </c>
    </row>
    <row r="29" spans="2:43">
      <c r="B29" t="s">
        <v>1177</v>
      </c>
      <c r="J29" s="733"/>
      <c r="N29" s="22"/>
      <c r="O29" s="22"/>
      <c r="P29" s="22"/>
      <c r="Q29" s="22"/>
      <c r="R29" s="837" t="e">
        <f>VLOOKUP(O29,Hypothèses!$C$265:$E$285,3)</f>
        <v>#N/A</v>
      </c>
      <c r="S29" s="823" t="str">
        <f t="shared" si="0"/>
        <v/>
      </c>
      <c r="U29" s="2306"/>
      <c r="V29" s="81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4" t="e">
        <v>#N/A</v>
      </c>
      <c r="AN29" t="e">
        <v>#N/A</v>
      </c>
      <c r="AO29" t="e">
        <v>#N/A</v>
      </c>
      <c r="AP29" t="e">
        <v>#N/A</v>
      </c>
      <c r="AQ29" s="769" t="e" cm="1">
        <f t="array" ref="AQ29">INDEX(W29:AP29,ROWS($1:17))</f>
        <v>#N/A</v>
      </c>
    </row>
    <row r="30" spans="2:43">
      <c r="B30" s="214" t="s">
        <v>1151</v>
      </c>
      <c r="E30" s="766">
        <f>E27-E24</f>
        <v>584.50050366487062</v>
      </c>
      <c r="F30" t="s">
        <v>1010</v>
      </c>
      <c r="J30" s="733"/>
      <c r="N30" s="824"/>
      <c r="O30" s="824"/>
      <c r="P30" s="824"/>
      <c r="Q30" s="824"/>
      <c r="R30" s="837" t="e">
        <f>VLOOKUP(O30,Hypothèses!$C$265:$E$285,3)</f>
        <v>#N/A</v>
      </c>
      <c r="S30" s="823" t="str">
        <f t="shared" si="0"/>
        <v/>
      </c>
      <c r="U30" s="2306"/>
      <c r="V30" s="81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4" t="e">
        <v>#N/A</v>
      </c>
      <c r="AO30" t="e">
        <v>#N/A</v>
      </c>
      <c r="AP30" t="e">
        <v>#N/A</v>
      </c>
      <c r="AQ30" s="769" t="e" cm="1">
        <f t="array" ref="AQ30">INDEX(W30:AP30,ROWS($1:18))</f>
        <v>#N/A</v>
      </c>
    </row>
    <row r="31" spans="2:43">
      <c r="B31" s="214"/>
      <c r="E31" s="766">
        <f>E30*3.41/3.28</f>
        <v>607.66668216378332</v>
      </c>
      <c r="F31" t="s">
        <v>1153</v>
      </c>
      <c r="J31" s="733"/>
      <c r="N31" s="828"/>
      <c r="O31" s="828"/>
      <c r="P31" s="828"/>
      <c r="Q31" s="828"/>
      <c r="R31" s="837" t="e">
        <f>VLOOKUP(O31,Hypothèses!$C$265:$E$285,3)</f>
        <v>#N/A</v>
      </c>
      <c r="S31" s="823" t="str">
        <f t="shared" si="0"/>
        <v/>
      </c>
      <c r="U31" s="2306"/>
      <c r="V31" s="81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4" t="e">
        <v>#N/A</v>
      </c>
      <c r="AP31" t="e">
        <v>#N/A</v>
      </c>
      <c r="AQ31" s="769" t="e" cm="1">
        <f t="array" ref="AQ31">INDEX(W31:AP31,ROWS($1:19))</f>
        <v>#N/A</v>
      </c>
    </row>
    <row r="32" spans="2:43">
      <c r="B32" s="214" t="s">
        <v>1152</v>
      </c>
      <c r="E32" s="766">
        <f>K108-K71</f>
        <v>2171.6188603130026</v>
      </c>
      <c r="F32" t="s">
        <v>1154</v>
      </c>
      <c r="J32" s="733"/>
      <c r="N32" s="735"/>
      <c r="U32" s="2306"/>
      <c r="V32" s="81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4" t="e">
        <v>#N/A</v>
      </c>
      <c r="AQ32" s="769" t="e" cm="1">
        <f t="array" ref="AQ32">INDEX(W32:AP32,ROWS($1:20))</f>
        <v>#N/A</v>
      </c>
    </row>
    <row r="33" spans="2:33">
      <c r="B33" s="214"/>
      <c r="E33" s="766">
        <f>E32*3.41/3.28^2</f>
        <v>688.31985366479591</v>
      </c>
      <c r="F33" t="s">
        <v>1155</v>
      </c>
      <c r="J33" s="733"/>
      <c r="N33" s="735"/>
      <c r="U33" s="848"/>
      <c r="V33" s="732"/>
    </row>
    <row r="34" spans="2:33">
      <c r="B34" s="214"/>
      <c r="E34" s="733"/>
      <c r="J34" s="733"/>
      <c r="N34" s="2295" t="s">
        <v>1219</v>
      </c>
      <c r="O34" s="2295"/>
      <c r="P34" s="2295"/>
      <c r="Q34" s="2295"/>
      <c r="R34" s="2295"/>
      <c r="S34" s="2295"/>
      <c r="T34" s="2295"/>
      <c r="U34" s="2295"/>
      <c r="V34" s="2295"/>
      <c r="W34" s="2295"/>
      <c r="X34" s="2295"/>
      <c r="Y34" s="2295"/>
      <c r="Z34" s="2295"/>
      <c r="AA34" s="2295"/>
      <c r="AB34" s="2295"/>
      <c r="AC34" s="2295"/>
      <c r="AD34" s="2295"/>
      <c r="AE34" s="2295"/>
      <c r="AF34" s="2295"/>
      <c r="AG34" s="2295"/>
    </row>
    <row r="35" spans="2:33" ht="17.25">
      <c r="B35" s="734" t="s">
        <v>1480</v>
      </c>
      <c r="N35" s="2296" t="s">
        <v>1136</v>
      </c>
      <c r="O35" s="829" t="s">
        <v>1205</v>
      </c>
      <c r="P35" s="829" t="s">
        <v>1138</v>
      </c>
      <c r="Q35" s="2310" t="s">
        <v>1148</v>
      </c>
      <c r="R35" s="829" t="s">
        <v>1203</v>
      </c>
      <c r="S35" s="829" t="s">
        <v>1135</v>
      </c>
      <c r="W35" s="2299" t="s">
        <v>1208</v>
      </c>
      <c r="X35" s="2299"/>
      <c r="Y35" s="2299"/>
      <c r="Z35" s="2299"/>
      <c r="AA35" s="2299"/>
      <c r="AB35" s="2299"/>
      <c r="AC35" s="2299"/>
      <c r="AD35" s="2299"/>
      <c r="AE35" s="2299"/>
      <c r="AF35" s="2299"/>
    </row>
    <row r="36" spans="2:33" ht="15" customHeight="1">
      <c r="E36" t="s">
        <v>1012</v>
      </c>
      <c r="G36">
        <v>1</v>
      </c>
      <c r="H36">
        <v>2</v>
      </c>
      <c r="I36">
        <v>3</v>
      </c>
      <c r="J36">
        <v>4</v>
      </c>
      <c r="K36">
        <v>5</v>
      </c>
      <c r="N36" s="2296"/>
      <c r="O36" s="830" t="s">
        <v>1220</v>
      </c>
      <c r="P36" s="830" t="s">
        <v>1142</v>
      </c>
      <c r="Q36" s="2310"/>
      <c r="R36" s="831" t="s">
        <v>1158</v>
      </c>
      <c r="S36" s="830" t="s">
        <v>1213</v>
      </c>
      <c r="W36" s="2300" t="s">
        <v>985</v>
      </c>
      <c r="X36" s="2300"/>
      <c r="Y36" s="2300"/>
      <c r="Z36" s="2300"/>
      <c r="AA36" s="2300"/>
      <c r="AB36" s="2300"/>
      <c r="AC36" s="2300"/>
      <c r="AD36" s="2300"/>
      <c r="AE36" s="2300"/>
      <c r="AF36" s="2300"/>
      <c r="AG36" s="2301" t="s">
        <v>1156</v>
      </c>
    </row>
    <row r="37" spans="2:33" ht="15" customHeight="1" thickBot="1">
      <c r="B37" t="s">
        <v>1072</v>
      </c>
      <c r="E37" t="s">
        <v>1013</v>
      </c>
      <c r="F37" t="s">
        <v>1056</v>
      </c>
      <c r="G37" s="733">
        <f>E11+1</f>
        <v>0.58571428571428596</v>
      </c>
      <c r="H37" s="160">
        <f>G73</f>
        <v>3.55197145507627</v>
      </c>
      <c r="I37" s="160">
        <f t="shared" ref="I37:K37" si="2">H73</f>
        <v>3.5470911730788117</v>
      </c>
      <c r="J37" s="160">
        <f t="shared" si="2"/>
        <v>3.5471027360189566</v>
      </c>
      <c r="K37" s="160">
        <f t="shared" si="2"/>
        <v>3.5471027086145597</v>
      </c>
      <c r="L37" s="160"/>
      <c r="M37" s="160"/>
      <c r="N37" s="836" t="e" cm="1" vm="2">
        <f t="array" ref="N37">_xlfn._xlws.FILTER(Isolation!$B$32:$E$41,Isolation!$E$32:'Isolation'!$E$41=P6&amp;"_"&amp;P7)</f>
        <v>#VALUE!</v>
      </c>
      <c r="O37" s="22"/>
      <c r="P37" s="22"/>
      <c r="Q37" s="22"/>
      <c r="R37" s="840" t="e" vm="1">
        <f>VLOOKUP(N37,Isolation!$B$32:$R$41,9)</f>
        <v>#VALUE!</v>
      </c>
      <c r="S37" s="22" t="e" vm="1">
        <f t="shared" ref="S37:S46" si="3">IF(N37="","",AG38)</f>
        <v>#VALUE!</v>
      </c>
      <c r="V37" s="774">
        <f>$E$32</f>
        <v>2171.6188603130026</v>
      </c>
      <c r="W37" s="818" cm="1">
        <f t="array" ref="W37:AF37">TRANSPOSE(P37:P46)</f>
        <v>0</v>
      </c>
      <c r="X37" s="818">
        <v>0</v>
      </c>
      <c r="Y37" s="818">
        <v>0</v>
      </c>
      <c r="Z37" s="818">
        <v>0</v>
      </c>
      <c r="AA37" s="818">
        <v>0</v>
      </c>
      <c r="AB37" s="818">
        <v>0</v>
      </c>
      <c r="AC37" s="818">
        <v>0</v>
      </c>
      <c r="AD37" s="818">
        <v>0</v>
      </c>
      <c r="AE37" s="818">
        <v>0</v>
      </c>
      <c r="AF37" s="818">
        <v>0</v>
      </c>
      <c r="AG37" s="2308"/>
    </row>
    <row r="38" spans="2:33">
      <c r="B38" t="s">
        <v>1075</v>
      </c>
      <c r="E38" t="s">
        <v>1014</v>
      </c>
      <c r="F38" t="s">
        <v>1056</v>
      </c>
      <c r="G38" s="733">
        <f>E10-1</f>
        <v>92.333333333333329</v>
      </c>
      <c r="H38" s="160">
        <f>G72</f>
        <v>93.331456810567502</v>
      </c>
      <c r="I38" s="160">
        <f t="shared" ref="I38:K38" si="4">H72</f>
        <v>93.331452773057492</v>
      </c>
      <c r="J38" s="160">
        <f t="shared" si="4"/>
        <v>93.331452778183177</v>
      </c>
      <c r="K38" s="160">
        <f t="shared" si="4"/>
        <v>93.331452778171027</v>
      </c>
      <c r="L38" s="160"/>
      <c r="M38" s="733"/>
      <c r="N38" s="836"/>
      <c r="O38" s="22"/>
      <c r="P38" s="22"/>
      <c r="Q38" s="22"/>
      <c r="R38" s="840" t="e">
        <f>VLOOKUP(N38,Isolation!$B$32:$R$41,9)</f>
        <v>#N/A</v>
      </c>
      <c r="S38" s="22" t="str">
        <f t="shared" si="3"/>
        <v/>
      </c>
      <c r="U38" s="2294" t="s">
        <v>1204</v>
      </c>
      <c r="V38" s="821" t="e" vm="1">
        <f t="shared" ref="V38:V47" si="5">R37</f>
        <v>#VALUE!</v>
      </c>
      <c r="W38" s="454"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38" t="e" cm="1" vm="1">
        <f t="array" ref="AG38">INDEX(W38:AF38,ROWS($1:1))</f>
        <v>#VALUE!</v>
      </c>
    </row>
    <row r="39" spans="2:33">
      <c r="B39" s="4" t="s">
        <v>1076</v>
      </c>
      <c r="N39" s="836"/>
      <c r="O39" s="22"/>
      <c r="P39" s="22"/>
      <c r="Q39" s="22"/>
      <c r="R39" s="840" t="e">
        <f>VLOOKUP(N39,Isolation!$B$32:$R$41,9)</f>
        <v>#N/A</v>
      </c>
      <c r="S39" s="22" t="str">
        <f t="shared" si="3"/>
        <v/>
      </c>
      <c r="U39" s="2294"/>
      <c r="V39" s="821" t="e">
        <f t="shared" si="5"/>
        <v>#N/A</v>
      </c>
      <c r="W39" t="e">
        <v>#N/A</v>
      </c>
      <c r="X39" s="454" t="e">
        <v>#N/A</v>
      </c>
      <c r="Y39" t="e">
        <v>#N/A</v>
      </c>
      <c r="Z39" t="e">
        <v>#N/A</v>
      </c>
      <c r="AA39" t="e">
        <v>#N/A</v>
      </c>
      <c r="AB39" t="e">
        <v>#N/A</v>
      </c>
      <c r="AC39" t="e">
        <v>#N/A</v>
      </c>
      <c r="AD39" t="e">
        <v>#N/A</v>
      </c>
      <c r="AE39" t="e">
        <v>#N/A</v>
      </c>
      <c r="AF39" t="e">
        <v>#N/A</v>
      </c>
      <c r="AG39" s="769" t="e" cm="1">
        <f t="array" ref="AG39">INDEX(W39:AF39,ROWS($1:2))</f>
        <v>#N/A</v>
      </c>
    </row>
    <row r="40" spans="2:33">
      <c r="B40" t="s">
        <v>1077</v>
      </c>
      <c r="E40" t="s">
        <v>1015</v>
      </c>
      <c r="F40" t="s">
        <v>1056</v>
      </c>
      <c r="G40">
        <f>(G37+$E$11)/2</f>
        <v>8.5714285714285965E-2</v>
      </c>
      <c r="H40" s="160">
        <f t="shared" ref="H40:K40" si="6">(H37+$E$11)/2</f>
        <v>1.5688428703952779</v>
      </c>
      <c r="I40" s="160">
        <f t="shared" si="6"/>
        <v>1.5664027293965488</v>
      </c>
      <c r="J40" s="160">
        <f t="shared" si="6"/>
        <v>1.5664085108666213</v>
      </c>
      <c r="K40" s="160">
        <f t="shared" si="6"/>
        <v>1.5664084971644228</v>
      </c>
      <c r="L40" s="733"/>
      <c r="M40" s="733"/>
      <c r="N40" s="836"/>
      <c r="O40" s="22"/>
      <c r="P40" s="22"/>
      <c r="Q40" s="22"/>
      <c r="R40" s="840" t="e">
        <f>VLOOKUP(N40,Isolation!$B$32:$R$41,9)</f>
        <v>#N/A</v>
      </c>
      <c r="S40" s="22" t="str">
        <f t="shared" si="3"/>
        <v/>
      </c>
      <c r="U40" s="2294"/>
      <c r="V40" s="821" t="e">
        <f t="shared" si="5"/>
        <v>#N/A</v>
      </c>
      <c r="W40" t="e">
        <v>#N/A</v>
      </c>
      <c r="X40" t="e">
        <v>#N/A</v>
      </c>
      <c r="Y40" s="454" t="e">
        <v>#N/A</v>
      </c>
      <c r="Z40" t="e">
        <v>#N/A</v>
      </c>
      <c r="AA40" t="e">
        <v>#N/A</v>
      </c>
      <c r="AB40" t="e">
        <v>#N/A</v>
      </c>
      <c r="AC40" t="e">
        <v>#N/A</v>
      </c>
      <c r="AD40" t="e">
        <v>#N/A</v>
      </c>
      <c r="AE40" t="e">
        <v>#N/A</v>
      </c>
      <c r="AF40" t="e">
        <v>#N/A</v>
      </c>
      <c r="AG40" s="769" t="e" cm="1">
        <f t="array" ref="AG40">INDEX(W40:AF40,ROWS($1:3))</f>
        <v>#N/A</v>
      </c>
    </row>
    <row r="41" spans="2:33">
      <c r="F41" t="s">
        <v>1016</v>
      </c>
      <c r="G41">
        <f>G40+273.15</f>
        <v>273.23571428571427</v>
      </c>
      <c r="H41" s="160">
        <f t="shared" ref="H41:K41" si="7">H40+273.15</f>
        <v>274.71884287039524</v>
      </c>
      <c r="I41" s="160">
        <f t="shared" si="7"/>
        <v>274.71640272939652</v>
      </c>
      <c r="J41" s="160">
        <f t="shared" si="7"/>
        <v>274.71640851086659</v>
      </c>
      <c r="K41" s="160">
        <f t="shared" si="7"/>
        <v>274.71640849716442</v>
      </c>
      <c r="L41" s="160"/>
      <c r="M41" s="160"/>
      <c r="N41" s="836"/>
      <c r="O41" s="22"/>
      <c r="P41" s="22"/>
      <c r="Q41" s="22"/>
      <c r="R41" s="840" t="e">
        <f>VLOOKUP(N41,Isolation!$B$32:$R$41,9)</f>
        <v>#N/A</v>
      </c>
      <c r="S41" s="22" t="str">
        <f t="shared" si="3"/>
        <v/>
      </c>
      <c r="U41" s="2294"/>
      <c r="V41" s="821" t="e">
        <f t="shared" si="5"/>
        <v>#N/A</v>
      </c>
      <c r="W41" t="e">
        <v>#N/A</v>
      </c>
      <c r="X41" t="e">
        <v>#N/A</v>
      </c>
      <c r="Y41" t="e">
        <v>#N/A</v>
      </c>
      <c r="Z41" s="454" t="e">
        <v>#N/A</v>
      </c>
      <c r="AA41" t="e">
        <v>#N/A</v>
      </c>
      <c r="AB41" t="e">
        <v>#N/A</v>
      </c>
      <c r="AC41" t="e">
        <v>#N/A</v>
      </c>
      <c r="AD41" t="e">
        <v>#N/A</v>
      </c>
      <c r="AE41" t="e">
        <v>#N/A</v>
      </c>
      <c r="AF41" t="e">
        <v>#N/A</v>
      </c>
      <c r="AG41" s="769" t="e" cm="1">
        <f t="array" ref="AG41">INDEX(W41:AF41,ROWS($1:4))</f>
        <v>#N/A</v>
      </c>
    </row>
    <row r="42" spans="2:33">
      <c r="B42" t="s">
        <v>1109</v>
      </c>
      <c r="E42" t="s">
        <v>1017</v>
      </c>
      <c r="F42" t="s">
        <v>1018</v>
      </c>
      <c r="G42" s="735">
        <f>(Propriété_air!$Q$22*G41^4+Propriété_air!$R$22*G41^3+Propriété_air!$S$22*G41^2+Propriété_air!$T$22*G41+Propriété_air!$U$22)/10^3</f>
        <v>2.4117050275889996E-2</v>
      </c>
      <c r="H42" s="735">
        <f>(Propriété_air!$Q$22*H41^4+Propriété_air!$R$22*H41^3+Propriété_air!$S$22*H41^2+Propriété_air!$T$22*H41+Propriété_air!$U$22)/10^3</f>
        <v>2.4236736058398069E-2</v>
      </c>
      <c r="I42" s="735">
        <f>(Propriété_air!$Q$22*I41^4+Propriété_air!$R$22*I41^3+Propriété_air!$S$22*I41^2+Propriété_air!$T$22*I41+Propriété_air!$U$22)/10^3</f>
        <v>2.4236539250617903E-2</v>
      </c>
      <c r="J42" s="735">
        <f>(Propriété_air!$Q$22*J41^4+Propriété_air!$R$22*J41^3+Propriété_air!$S$22*J41^2+Propriété_air!$T$22*J41+Propriété_air!$U$22)/10^3</f>
        <v>2.4236539716918543E-2</v>
      </c>
      <c r="K42" s="735">
        <f>(Propriété_air!$Q$22*K41^4+Propriété_air!$R$22*K41^3+Propriété_air!$S$22*K41^2+Propriété_air!$T$22*K41+Propriété_air!$U$22)/10^3</f>
        <v>2.4236539715813403E-2</v>
      </c>
      <c r="L42" s="735"/>
      <c r="M42" s="735"/>
      <c r="N42" s="836"/>
      <c r="O42" s="22"/>
      <c r="P42" s="22"/>
      <c r="Q42" s="22"/>
      <c r="R42" s="840" t="e">
        <f>VLOOKUP(N42,Isolation!$B$32:$R$41,9)</f>
        <v>#N/A</v>
      </c>
      <c r="S42" s="22" t="str">
        <f t="shared" si="3"/>
        <v/>
      </c>
      <c r="U42" s="2294"/>
      <c r="V42" s="821" t="e">
        <f t="shared" si="5"/>
        <v>#N/A</v>
      </c>
      <c r="W42" t="e">
        <v>#N/A</v>
      </c>
      <c r="X42" t="e">
        <v>#N/A</v>
      </c>
      <c r="Y42" t="e">
        <v>#N/A</v>
      </c>
      <c r="Z42" t="e">
        <v>#N/A</v>
      </c>
      <c r="AA42" s="454" t="e">
        <v>#N/A</v>
      </c>
      <c r="AB42" t="e">
        <v>#N/A</v>
      </c>
      <c r="AC42" t="e">
        <v>#N/A</v>
      </c>
      <c r="AD42" t="e">
        <v>#N/A</v>
      </c>
      <c r="AE42" t="e">
        <v>#N/A</v>
      </c>
      <c r="AF42" t="e">
        <v>#N/A</v>
      </c>
      <c r="AG42" s="769" t="e" cm="1">
        <f t="array" ref="AG42">INDEX(W42:AF42,ROWS($1:5))</f>
        <v>#N/A</v>
      </c>
    </row>
    <row r="43" spans="2:33">
      <c r="B43" t="s">
        <v>1110</v>
      </c>
      <c r="E43" t="s">
        <v>1019</v>
      </c>
      <c r="F43" t="s">
        <v>1057</v>
      </c>
      <c r="G43" s="736">
        <f>(Propriété_air!$Q$10*G41^4+Propriété_air!$R$10*G41^3+Propriété_air!$S$10*G41^2+Propriété_air!$T$10*G41+Propriété_air!$U$10)/10^7</f>
        <v>1.7159453569518444E-5</v>
      </c>
      <c r="H43" s="736">
        <f>(Propriété_air!$Q$10*H41^4+Propriété_air!$R$10*H41^3+Propriété_air!$S$10*H41^2+Propriété_air!$T$10*H41+Propriété_air!$U$10)/10^7</f>
        <v>1.7234042602949317E-5</v>
      </c>
      <c r="I43" s="736">
        <f>(Propriété_air!$Q$10*I41^4+Propriété_air!$R$10*I41^3+Propriété_air!$S$10*I41^2+Propriété_air!$T$10*I41+Propriété_air!$U$10)/10^7</f>
        <v>1.7233920019756656E-5</v>
      </c>
      <c r="J43" s="736">
        <f>(Propriété_air!$Q$10*J41^4+Propriété_air!$R$10*J41^3+Propriété_air!$S$10*J41^2+Propriété_air!$T$10*J41+Propriété_air!$U$10)/10^7</f>
        <v>1.7233920310195753E-5</v>
      </c>
      <c r="K43" s="736">
        <f>(Propriété_air!$Q$10*K41^4+Propriété_air!$R$10*K41^3+Propriété_air!$S$10*K41^2+Propriété_air!$T$10*K41+Propriété_air!$U$10)/10^7</f>
        <v>1.723392030950741E-5</v>
      </c>
      <c r="L43" s="736"/>
      <c r="M43" s="741"/>
      <c r="N43" s="836"/>
      <c r="O43" s="22"/>
      <c r="P43" s="22"/>
      <c r="Q43" s="22"/>
      <c r="R43" s="840" t="e">
        <f>VLOOKUP(N43,Isolation!$B$32:$R$41,9)</f>
        <v>#N/A</v>
      </c>
      <c r="S43" s="22" t="str">
        <f t="shared" si="3"/>
        <v/>
      </c>
      <c r="U43" s="2294"/>
      <c r="V43" s="821" t="e">
        <f t="shared" si="5"/>
        <v>#N/A</v>
      </c>
      <c r="W43" t="e">
        <v>#N/A</v>
      </c>
      <c r="X43" t="e">
        <v>#N/A</v>
      </c>
      <c r="Y43" t="e">
        <v>#N/A</v>
      </c>
      <c r="Z43" t="e">
        <v>#N/A</v>
      </c>
      <c r="AA43" t="e">
        <v>#N/A</v>
      </c>
      <c r="AB43" s="454" t="e">
        <v>#N/A</v>
      </c>
      <c r="AC43" t="e">
        <v>#N/A</v>
      </c>
      <c r="AD43" t="e">
        <v>#N/A</v>
      </c>
      <c r="AE43" t="e">
        <v>#N/A</v>
      </c>
      <c r="AF43" t="e">
        <v>#N/A</v>
      </c>
      <c r="AG43" s="769" t="e" cm="1">
        <f t="array" ref="AG43">INDEX(W43:AF43,ROWS($1:6))</f>
        <v>#N/A</v>
      </c>
    </row>
    <row r="44" spans="2:33">
      <c r="B44" t="s">
        <v>1020</v>
      </c>
      <c r="E44" t="s">
        <v>1021</v>
      </c>
      <c r="G44" s="724">
        <f>Propriété_air!$Q$34*G41^4+Propriété_air!$R$34*G41^3+Propriété_air!$S$34*G41^2+Propriété_air!$T$34*G41+Propriété_air!$U$34</f>
        <v>0.71424862584199311</v>
      </c>
      <c r="H44" s="724">
        <f>Propriété_air!$Q$34*H41^4+Propriété_air!$R$34*H41^3+Propriété_air!$S$34*H41^2+Propriété_air!$T$34*H41+Propriété_air!$U$34</f>
        <v>0.7138378911405151</v>
      </c>
      <c r="I44" s="724">
        <f>Propriété_air!$Q$34*I41^4+Propriété_air!$R$34*I41^3+Propriété_air!$S$34*I41^2+Propriété_air!$T$34*I41+Propriété_air!$U$34</f>
        <v>0.71383856440677218</v>
      </c>
      <c r="J44" s="724">
        <f>Propriété_air!$Q$34*J41^4+Propriété_air!$R$34*J41^3+Propriété_air!$S$34*J41^2+Propriété_air!$T$34*J41+Propriété_air!$U$34</f>
        <v>0.71383856281158053</v>
      </c>
      <c r="K44" s="724">
        <f>Propriété_air!$Q$34*K41^4+Propriété_air!$R$34*K41^3+Propriété_air!$S$34*K41^2+Propriété_air!$T$34*K41+Propriété_air!$U$34</f>
        <v>0.71383856281536118</v>
      </c>
      <c r="L44" s="724"/>
      <c r="M44" s="724"/>
      <c r="N44" s="836"/>
      <c r="O44" s="22"/>
      <c r="P44" s="22"/>
      <c r="Q44" s="22"/>
      <c r="R44" s="840" t="e">
        <f>VLOOKUP(N44,Isolation!$B$32:$R$41,9)</f>
        <v>#N/A</v>
      </c>
      <c r="S44" s="22" t="str">
        <f t="shared" si="3"/>
        <v/>
      </c>
      <c r="U44" s="2294"/>
      <c r="V44" s="821" t="e">
        <f t="shared" si="5"/>
        <v>#N/A</v>
      </c>
      <c r="W44" t="e">
        <v>#N/A</v>
      </c>
      <c r="X44" t="e">
        <v>#N/A</v>
      </c>
      <c r="Y44" t="e">
        <v>#N/A</v>
      </c>
      <c r="Z44" t="e">
        <v>#N/A</v>
      </c>
      <c r="AA44" t="e">
        <v>#N/A</v>
      </c>
      <c r="AB44" t="e">
        <v>#N/A</v>
      </c>
      <c r="AC44" s="454" t="e">
        <v>#N/A</v>
      </c>
      <c r="AD44" t="e">
        <v>#N/A</v>
      </c>
      <c r="AE44" t="e">
        <v>#N/A</v>
      </c>
      <c r="AF44" t="e">
        <v>#N/A</v>
      </c>
      <c r="AG44" s="769" t="e" cm="1">
        <f t="array" ref="AG44">INDEX(W44:AF44,ROWS($1:7))</f>
        <v>#N/A</v>
      </c>
    </row>
    <row r="45" spans="2:33">
      <c r="B45" t="s">
        <v>1111</v>
      </c>
      <c r="E45" t="s">
        <v>1022</v>
      </c>
      <c r="F45" t="s">
        <v>1023</v>
      </c>
      <c r="G45">
        <f>1/G41</f>
        <v>3.6598436723917081E-3</v>
      </c>
      <c r="H45">
        <f t="shared" ref="H45:K45" si="8">1/H41</f>
        <v>3.6400852214996129E-3</v>
      </c>
      <c r="I45">
        <f t="shared" si="8"/>
        <v>3.6401175541928908E-3</v>
      </c>
      <c r="J45">
        <f t="shared" si="8"/>
        <v>3.6401174775857787E-3</v>
      </c>
      <c r="K45">
        <f t="shared" si="8"/>
        <v>3.6401174777673387E-3</v>
      </c>
      <c r="L45" s="741"/>
      <c r="M45" s="244"/>
      <c r="N45" s="836"/>
      <c r="O45" s="22"/>
      <c r="P45" s="22"/>
      <c r="Q45" s="22"/>
      <c r="R45" s="840" t="e">
        <f>VLOOKUP(N45,Isolation!$B$32:$R$41,9)</f>
        <v>#N/A</v>
      </c>
      <c r="S45" s="22" t="str">
        <f t="shared" si="3"/>
        <v/>
      </c>
      <c r="U45" s="2294"/>
      <c r="V45" s="821" t="e">
        <f t="shared" si="5"/>
        <v>#N/A</v>
      </c>
      <c r="W45" t="e">
        <v>#N/A</v>
      </c>
      <c r="X45" t="e">
        <v>#N/A</v>
      </c>
      <c r="Y45" t="e">
        <v>#N/A</v>
      </c>
      <c r="Z45" t="e">
        <v>#N/A</v>
      </c>
      <c r="AA45" t="e">
        <v>#N/A</v>
      </c>
      <c r="AB45" t="e">
        <v>#N/A</v>
      </c>
      <c r="AC45" t="e">
        <v>#N/A</v>
      </c>
      <c r="AD45" s="454" t="e">
        <v>#N/A</v>
      </c>
      <c r="AE45" t="e">
        <v>#N/A</v>
      </c>
      <c r="AF45" t="e">
        <v>#N/A</v>
      </c>
      <c r="AG45" s="769" t="e" cm="1">
        <f t="array" ref="AG45">INDEX(W45:AF45,ROWS($1:8))</f>
        <v>#N/A</v>
      </c>
    </row>
    <row r="46" spans="2:33">
      <c r="B46" t="s">
        <v>1112</v>
      </c>
      <c r="E46" t="s">
        <v>1024</v>
      </c>
      <c r="F46" t="s">
        <v>1058</v>
      </c>
      <c r="G46" s="735">
        <f>Propriété_air!$Q$45/G41</f>
        <v>1.2919409387712206</v>
      </c>
      <c r="H46" s="735">
        <f>Propriété_air!$Q$45/H41</f>
        <v>1.2849661185659857</v>
      </c>
      <c r="I46" s="735">
        <f>Propriété_air!$Q$45/I41</f>
        <v>1.2849775321491455</v>
      </c>
      <c r="J46" s="735">
        <f>Propriété_air!$Q$45/J41</f>
        <v>1.2849775051064973</v>
      </c>
      <c r="K46" s="735">
        <f>Propriété_air!$Q$45/K41</f>
        <v>1.284977505170589</v>
      </c>
      <c r="L46" s="735"/>
      <c r="M46" s="741"/>
      <c r="N46" s="836"/>
      <c r="O46" s="22"/>
      <c r="P46" s="22"/>
      <c r="Q46" s="22"/>
      <c r="R46" s="840" t="e">
        <f>VLOOKUP(N46,Isolation!$B$32:$R$41,9)</f>
        <v>#N/A</v>
      </c>
      <c r="S46" s="22" t="str">
        <f t="shared" si="3"/>
        <v/>
      </c>
      <c r="U46" s="2294"/>
      <c r="V46" s="821" t="e">
        <f t="shared" si="5"/>
        <v>#N/A</v>
      </c>
      <c r="W46" t="e">
        <v>#N/A</v>
      </c>
      <c r="X46" t="e">
        <v>#N/A</v>
      </c>
      <c r="Y46" t="e">
        <v>#N/A</v>
      </c>
      <c r="Z46" t="e">
        <v>#N/A</v>
      </c>
      <c r="AA46" t="e">
        <v>#N/A</v>
      </c>
      <c r="AB46" t="e">
        <v>#N/A</v>
      </c>
      <c r="AC46" t="e">
        <v>#N/A</v>
      </c>
      <c r="AD46" t="e">
        <v>#N/A</v>
      </c>
      <c r="AE46" s="454" t="e">
        <v>#N/A</v>
      </c>
      <c r="AF46" t="e">
        <v>#N/A</v>
      </c>
      <c r="AG46" s="769" t="e" cm="1">
        <f t="array" ref="AG46">INDEX(W46:AF46,ROWS($1:9))</f>
        <v>#N/A</v>
      </c>
    </row>
    <row r="47" spans="2:33" ht="15.75" thickBot="1">
      <c r="B47" t="s">
        <v>1025</v>
      </c>
      <c r="E47" t="s">
        <v>1026</v>
      </c>
      <c r="F47" t="s">
        <v>1027</v>
      </c>
      <c r="G47" s="736">
        <f>(Propriété_air!$Q$16*G41^4+Propriété_air!$R$16*G41^3+Propriété_air!$S$16*G41^2+Propriété_air!$T$16*G41+Propriété_air!$U$16)/10^6</f>
        <v>1.3465276468804519E-5</v>
      </c>
      <c r="H47" s="736">
        <f>(Propriété_air!$Q$16*H41^4+Propriété_air!$R$16*H41^3+Propriété_air!$S$16*H41^2+Propriété_air!$T$16*H41+Propriété_air!$U$16)/10^6</f>
        <v>1.3596346859965319E-5</v>
      </c>
      <c r="I47" s="736">
        <f>(Propriété_air!$Q$16*I41^4+Propriété_air!$R$16*I41^3+Propriété_air!$S$16*I41^2+Propriété_air!$T$16*I41+Propriété_air!$U$16)/10^6</f>
        <v>1.3596130800938365E-5</v>
      </c>
      <c r="J47" s="736">
        <f>(Propriété_air!$Q$16*J41^4+Propriété_air!$R$16*J41^3+Propriété_air!$S$16*J41^2+Propriété_air!$T$16*J41+Propriété_air!$U$16)/10^6</f>
        <v>1.3596131312849305E-5</v>
      </c>
      <c r="K47" s="736">
        <f>(Propriété_air!$Q$16*K41^4+Propriété_air!$R$16*K41^3+Propriété_air!$S$16*K41^2+Propriété_air!$T$16*K41+Propriété_air!$U$16)/10^6</f>
        <v>1.3596131311636067E-5</v>
      </c>
      <c r="L47" s="736"/>
      <c r="M47" s="735"/>
      <c r="N47" s="160"/>
      <c r="U47" s="2294"/>
      <c r="V47" s="821" t="e">
        <f t="shared" si="5"/>
        <v>#N/A</v>
      </c>
      <c r="W47" t="e">
        <v>#N/A</v>
      </c>
      <c r="X47" t="e">
        <v>#N/A</v>
      </c>
      <c r="Y47" t="e">
        <v>#N/A</v>
      </c>
      <c r="Z47" t="e">
        <v>#N/A</v>
      </c>
      <c r="AA47" t="e">
        <v>#N/A</v>
      </c>
      <c r="AB47" t="e">
        <v>#N/A</v>
      </c>
      <c r="AC47" t="e">
        <v>#N/A</v>
      </c>
      <c r="AD47" t="e">
        <v>#N/A</v>
      </c>
      <c r="AE47" t="e">
        <v>#N/A</v>
      </c>
      <c r="AF47" s="454" t="e">
        <v>#N/A</v>
      </c>
      <c r="AG47" s="839" t="e" cm="1">
        <f t="array" ref="AG47">INDEX(W47:AF47,ROWS($1:10))</f>
        <v>#N/A</v>
      </c>
    </row>
    <row r="48" spans="2:33">
      <c r="B48" t="s">
        <v>1113</v>
      </c>
      <c r="E48" t="s">
        <v>1028</v>
      </c>
      <c r="F48" t="s">
        <v>1029</v>
      </c>
      <c r="G48" s="160">
        <f>Propriété_air!$Q$4*G41^4+Propriété_air!$R$4*G41^3+Propriété_air!$S$4*G41^2+Propriété_air!$T$4*G41+Propriété_air!$U$4</f>
        <v>1.0045447581006435</v>
      </c>
      <c r="H48" s="160">
        <f>Propriété_air!$Q$4*H41^4+Propriété_air!$R$4*H41^3+Propriété_air!$S$4*H41^2+Propriété_air!$T$4*H41+Propriété_air!$U$4</f>
        <v>1.0045449258176629</v>
      </c>
      <c r="I48" s="160">
        <f>Propriété_air!$Q$4*I41^4+Propriété_air!$R$4*I41^3+Propriété_air!$S$4*I41^2+Propriété_air!$T$4*I41+Propriété_air!$U$4</f>
        <v>1.00454492313879</v>
      </c>
      <c r="J48" s="160">
        <f>Propriété_air!$Q$4*J41^4+Propriété_air!$R$4*J41^3+Propriété_air!$S$4*J41^2+Propriété_air!$T$4*J41+Propriété_air!$U$4</f>
        <v>1.0045449231451278</v>
      </c>
      <c r="K48" s="160">
        <f>Propriété_air!$Q$4*K41^4+Propriété_air!$R$4*K41^3+Propriété_air!$S$4*K41^2+Propriété_air!$T$4*K41+Propriété_air!$U$4</f>
        <v>1.0045449231451127</v>
      </c>
      <c r="L48" s="160"/>
      <c r="M48" s="735"/>
      <c r="N48" s="724"/>
    </row>
    <row r="49" spans="2:33">
      <c r="B49" t="s">
        <v>1030</v>
      </c>
      <c r="E49" t="s">
        <v>1031</v>
      </c>
      <c r="F49" t="s">
        <v>1059</v>
      </c>
      <c r="G49" s="736">
        <f>(Propriété_air!$Q$28*G41^4+Propriété_air!$R$28*G41^3+Propriété_air!$S$28*G41^2+Propriété_air!$T$28*G41+Propriété_air!$U$28)/10^6</f>
        <v>1.8760963114524117E-5</v>
      </c>
      <c r="H49" s="736">
        <f>(Propriété_air!$Q$28*H41^4+Propriété_air!$R$28*H41^3+Propriété_air!$S$28*H41^2+Propriété_air!$T$28*H41+Propriété_air!$U$28)/10^6</f>
        <v>1.895994552306476E-5</v>
      </c>
      <c r="I49" s="736">
        <f>(Propriété_air!$Q$28*I41^4+Propriété_air!$R$28*I41^3+Propriété_air!$S$28*I41^2+Propriété_air!$T$28*I41+Propriété_air!$U$28)/10^6</f>
        <v>1.8959617441145767E-5</v>
      </c>
      <c r="J49" s="736">
        <f>(Propriété_air!$Q$28*J41^4+Propriété_air!$R$28*J41^3+Propriété_air!$S$28*J41^2+Propriété_air!$T$28*J41+Propriété_air!$U$28)/10^6</f>
        <v>1.8959618218473446E-5</v>
      </c>
      <c r="K49" s="736">
        <f>(Propriété_air!$Q$28*K41^4+Propriété_air!$R$28*K41^3+Propriété_air!$S$28*K41^2+Propriété_air!$T$28*K41+Propriété_air!$U$28)/10^6</f>
        <v>1.895961821663117E-5</v>
      </c>
      <c r="L49" s="736"/>
      <c r="M49" s="737"/>
      <c r="N49" s="2295" t="s">
        <v>1202</v>
      </c>
      <c r="O49" s="2295"/>
      <c r="P49" s="2295"/>
      <c r="Q49" s="2295"/>
      <c r="R49" s="2295"/>
      <c r="S49" s="2295"/>
      <c r="T49" s="2295"/>
      <c r="U49" s="2295"/>
      <c r="V49" s="2295"/>
      <c r="W49" s="2295"/>
      <c r="X49" s="2295"/>
      <c r="Y49" s="2295"/>
      <c r="Z49" s="2295"/>
      <c r="AA49" s="2295"/>
      <c r="AB49" s="2295"/>
      <c r="AC49" s="2295"/>
      <c r="AD49" s="2295"/>
      <c r="AE49" s="2295"/>
      <c r="AF49" s="2295"/>
      <c r="AG49" s="2295"/>
    </row>
    <row r="50" spans="2:33" ht="17.25">
      <c r="B50" t="s">
        <v>1032</v>
      </c>
      <c r="E50" t="s">
        <v>1033</v>
      </c>
      <c r="G50" s="743">
        <f>($E$18/1000)*$E$12/G47</f>
        <v>31622.492192156529</v>
      </c>
      <c r="H50" s="743">
        <f t="shared" ref="H50:K50" si="9">($E$18/1000)*$E$12/H47</f>
        <v>31317.647628848892</v>
      </c>
      <c r="I50" s="743">
        <f t="shared" si="9"/>
        <v>31318.145304295842</v>
      </c>
      <c r="J50" s="743">
        <f t="shared" si="9"/>
        <v>31318.144125129445</v>
      </c>
      <c r="K50" s="743">
        <f t="shared" si="9"/>
        <v>31318.14412792409</v>
      </c>
      <c r="L50" s="743"/>
      <c r="M50" s="743"/>
      <c r="N50" s="2296" t="s">
        <v>1136</v>
      </c>
      <c r="O50" s="829" t="s">
        <v>1205</v>
      </c>
      <c r="P50" s="829" t="s">
        <v>1138</v>
      </c>
      <c r="Q50" s="2310" t="s">
        <v>1148</v>
      </c>
      <c r="R50" s="829" t="s">
        <v>1203</v>
      </c>
      <c r="S50" s="829" t="s">
        <v>1135</v>
      </c>
      <c r="W50" s="2299" t="s">
        <v>1208</v>
      </c>
      <c r="X50" s="2299"/>
      <c r="Y50" s="2299"/>
      <c r="Z50" s="2299"/>
      <c r="AA50" s="2299"/>
      <c r="AB50" s="2299"/>
      <c r="AC50" s="2299"/>
      <c r="AD50" s="2299"/>
      <c r="AE50" s="2299"/>
      <c r="AF50" s="2299"/>
    </row>
    <row r="51" spans="2:33" ht="17.25">
      <c r="B51" t="s">
        <v>1034</v>
      </c>
      <c r="E51" t="s">
        <v>1035</v>
      </c>
      <c r="G51" s="743">
        <f>9.81*G45*ABS(G37-$E$11)*($E$18/1000)^3/(G47*G49)</f>
        <v>982530.5848644881</v>
      </c>
      <c r="H51" s="743">
        <f t="shared" ref="H51:K51" si="10">9.81*H45*ABS(H37-$E$11)*($E$18/1000)^3/(H47*H49)</f>
        <v>3798280.6267952388</v>
      </c>
      <c r="I51" s="743">
        <f t="shared" si="10"/>
        <v>3793766.6606065352</v>
      </c>
      <c r="J51" s="743">
        <f t="shared" si="10"/>
        <v>3793777.3560830969</v>
      </c>
      <c r="K51" s="743">
        <f t="shared" si="10"/>
        <v>3793777.3307346059</v>
      </c>
      <c r="L51" s="743"/>
      <c r="M51" s="743"/>
      <c r="N51" s="2296"/>
      <c r="O51" s="830" t="s">
        <v>1220</v>
      </c>
      <c r="P51" s="830" t="s">
        <v>1142</v>
      </c>
      <c r="Q51" s="2310"/>
      <c r="R51" s="831" t="s">
        <v>1158</v>
      </c>
      <c r="S51" s="830" t="s">
        <v>1213</v>
      </c>
      <c r="W51" s="2300" t="s">
        <v>985</v>
      </c>
      <c r="X51" s="2300"/>
      <c r="Y51" s="2300"/>
      <c r="Z51" s="2300"/>
      <c r="AA51" s="2300"/>
      <c r="AB51" s="2300"/>
      <c r="AC51" s="2300"/>
      <c r="AD51" s="2300"/>
      <c r="AE51" s="2300"/>
      <c r="AF51" s="2300"/>
      <c r="AG51" s="2301" t="s">
        <v>1156</v>
      </c>
    </row>
    <row r="52" spans="2:33" ht="15.75" thickBot="1">
      <c r="N52" s="836" t="e" cm="1" vm="2">
        <f t="array" ref="N52">_xlfn._xlws.FILTER(Isolation!$B$47:$E$56,Isolation!$E$47:'Isolation'!$E$56=P6&amp;"_"&amp;P7)</f>
        <v>#VALUE!</v>
      </c>
      <c r="O52" s="22"/>
      <c r="P52" s="22"/>
      <c r="Q52" s="22"/>
      <c r="R52" s="840" t="e" vm="1">
        <f>VLOOKUP(N52,Isolation!$B$46:$R$576,9)</f>
        <v>#VALUE!</v>
      </c>
      <c r="S52" s="22" t="e" vm="1">
        <f t="shared" ref="S52:S61" si="11">IF(N52="","",AG53)</f>
        <v>#VALUE!</v>
      </c>
      <c r="V52" s="774">
        <f>$E$32</f>
        <v>2171.6188603130026</v>
      </c>
      <c r="W52" s="818" cm="1">
        <f t="array" ref="W52:AF52">TRANSPOSE(P52:P61)</f>
        <v>0</v>
      </c>
      <c r="X52" s="818">
        <v>0</v>
      </c>
      <c r="Y52" s="818">
        <v>0</v>
      </c>
      <c r="Z52" s="818">
        <v>0</v>
      </c>
      <c r="AA52" s="818">
        <v>0</v>
      </c>
      <c r="AB52" s="818">
        <v>0</v>
      </c>
      <c r="AC52" s="818">
        <v>0</v>
      </c>
      <c r="AD52" s="818">
        <v>0</v>
      </c>
      <c r="AE52" s="818">
        <v>0</v>
      </c>
      <c r="AF52" s="818">
        <v>0</v>
      </c>
      <c r="AG52" s="2308"/>
    </row>
    <row r="53" spans="2:33">
      <c r="B53" s="4" t="s">
        <v>1114</v>
      </c>
      <c r="N53" s="836"/>
      <c r="O53" s="22"/>
      <c r="P53" s="22"/>
      <c r="Q53" s="22"/>
      <c r="R53" s="840" t="e">
        <f>VLOOKUP(N53,Isolation!$B$46:$R$576,9)</f>
        <v>#N/A</v>
      </c>
      <c r="S53" s="22" t="str">
        <f t="shared" si="11"/>
        <v/>
      </c>
      <c r="U53" s="2294" t="s">
        <v>1204</v>
      </c>
      <c r="V53" s="821" t="e" vm="1">
        <f t="shared" ref="V53:V62" si="12">R52</f>
        <v>#VALUE!</v>
      </c>
      <c r="W53" s="454"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38" t="e" cm="1" vm="1">
        <f t="array" ref="AG53">INDEX(W53:AF53,ROWS($1:1))</f>
        <v>#VALUE!</v>
      </c>
    </row>
    <row r="54" spans="2:33">
      <c r="B54" t="s">
        <v>1036</v>
      </c>
      <c r="E54" t="s">
        <v>1037</v>
      </c>
      <c r="F54" t="s">
        <v>1060</v>
      </c>
      <c r="G54" s="160">
        <f>'Facteurs conversion'!$C$30*$E$16*((G37+273.15)^4-($E$11+273.15)^4)/((G37+273.15)-($E$11+273.15))</f>
        <v>4.1641665002390642</v>
      </c>
      <c r="H54" s="160">
        <f>'Facteurs conversion'!$C$30*$E$16*((H37+273.15)^4-($E$11+273.15)^4)/((H37+273.15)-($E$11+273.15))</f>
        <v>4.2325511355101888</v>
      </c>
      <c r="I54" s="160">
        <f>'Facteurs conversion'!$C$30*$E$16*((I37+273.15)^4-($E$11+273.15)^4)/((I37+273.15)-($E$11+273.15))</f>
        <v>4.23243781338443</v>
      </c>
      <c r="J54" s="160">
        <f>'Facteurs conversion'!$C$30*$E$16*((J37+273.15)^4-($E$11+273.15)^4)/((J37+273.15)-($E$11+273.15))</f>
        <v>4.2324380818774152</v>
      </c>
      <c r="K54" s="160">
        <f>'Facteurs conversion'!$C$30*$E$16*((K37+273.15)^4-($E$11+273.15)^4)/((K37+273.15)-($E$11+273.15))</f>
        <v>4.2324380812410913</v>
      </c>
      <c r="L54" s="160"/>
      <c r="M54" s="735"/>
      <c r="N54" s="836"/>
      <c r="O54" s="22"/>
      <c r="P54" s="22"/>
      <c r="Q54" s="22"/>
      <c r="R54" s="840" t="e">
        <f>VLOOKUP(N54,Isolation!$B$46:$R$576,9)</f>
        <v>#N/A</v>
      </c>
      <c r="S54" s="22" t="str">
        <f t="shared" si="11"/>
        <v/>
      </c>
      <c r="U54" s="2294"/>
      <c r="V54" s="821" t="e">
        <f t="shared" si="12"/>
        <v>#N/A</v>
      </c>
      <c r="W54" t="e">
        <v>#N/A</v>
      </c>
      <c r="X54" s="454" t="e">
        <v>#N/A</v>
      </c>
      <c r="Y54" t="e">
        <v>#N/A</v>
      </c>
      <c r="Z54" t="e">
        <v>#N/A</v>
      </c>
      <c r="AA54" t="e">
        <v>#N/A</v>
      </c>
      <c r="AB54" t="e">
        <v>#N/A</v>
      </c>
      <c r="AC54" t="e">
        <v>#N/A</v>
      </c>
      <c r="AD54" t="e">
        <v>#N/A</v>
      </c>
      <c r="AE54" t="e">
        <v>#N/A</v>
      </c>
      <c r="AF54" t="e">
        <v>#N/A</v>
      </c>
      <c r="AG54" s="769" t="e" cm="1">
        <f t="array" ref="AG54">INDEX(W54:AF54,ROWS($1:2))</f>
        <v>#N/A</v>
      </c>
    </row>
    <row r="55" spans="2:33">
      <c r="B55" t="s">
        <v>1038</v>
      </c>
      <c r="N55" s="836"/>
      <c r="O55" s="22"/>
      <c r="P55" s="22"/>
      <c r="Q55" s="22"/>
      <c r="R55" s="840" t="e">
        <f>VLOOKUP(N55,Isolation!$B$46:$R$576,9)</f>
        <v>#N/A</v>
      </c>
      <c r="S55" s="22" t="str">
        <f t="shared" si="11"/>
        <v/>
      </c>
      <c r="U55" s="2294"/>
      <c r="V55" s="821" t="e">
        <f t="shared" si="12"/>
        <v>#N/A</v>
      </c>
      <c r="W55" t="e">
        <v>#N/A</v>
      </c>
      <c r="X55" t="e">
        <v>#N/A</v>
      </c>
      <c r="Y55" s="454" t="e">
        <v>#N/A</v>
      </c>
      <c r="Z55" t="e">
        <v>#N/A</v>
      </c>
      <c r="AA55" t="e">
        <v>#N/A</v>
      </c>
      <c r="AB55" t="e">
        <v>#N/A</v>
      </c>
      <c r="AC55" t="e">
        <v>#N/A</v>
      </c>
      <c r="AD55" t="e">
        <v>#N/A</v>
      </c>
      <c r="AE55" t="e">
        <v>#N/A</v>
      </c>
      <c r="AF55" t="e">
        <v>#N/A</v>
      </c>
      <c r="AG55" s="769" t="e" cm="1">
        <f t="array" ref="AG55">INDEX(W55:AF55,ROWS($1:3))</f>
        <v>#N/A</v>
      </c>
    </row>
    <row r="56" spans="2:33">
      <c r="B56" t="s">
        <v>1115</v>
      </c>
      <c r="E56" t="s">
        <v>1039</v>
      </c>
      <c r="G56" s="733">
        <f>0.3+(0.62*G50^0.5*G44^(1/3))*(1+(G50/282000)^(5/8))^(4/5)/(1 + (0.4/G44)^(2/3))^(1/4)</f>
        <v>104.10660153863599</v>
      </c>
      <c r="H56" s="733">
        <f>0.3+(0.62*H50^0.5*H44^(1/3))*(1+(H50/282000)^(5/8))^(4/5)/(1 + (0.4/H44)^(2/3))^(1/4)</f>
        <v>103.47995987367165</v>
      </c>
      <c r="I56" s="733">
        <f t="shared" ref="I56:K56" si="13">0.3+(0.62*I50^0.5*I44^(1/3))*(1+(I50/282000)^(5/8))^(4/5)/(1 + (0.4/I44)^(2/3))^(1/4)</f>
        <v>103.48098434049925</v>
      </c>
      <c r="J56" s="733">
        <f t="shared" si="13"/>
        <v>103.48098191318627</v>
      </c>
      <c r="K56" s="733">
        <f t="shared" si="13"/>
        <v>103.48098191893902</v>
      </c>
      <c r="L56" s="733"/>
      <c r="M56" s="733"/>
      <c r="N56" s="836"/>
      <c r="O56" s="22"/>
      <c r="P56" s="22"/>
      <c r="Q56" s="22"/>
      <c r="R56" s="840" t="e">
        <f>VLOOKUP(N56,Isolation!$B$46:$R$576,9)</f>
        <v>#N/A</v>
      </c>
      <c r="S56" s="22" t="str">
        <f t="shared" si="11"/>
        <v/>
      </c>
      <c r="U56" s="2294"/>
      <c r="V56" s="821" t="e">
        <f t="shared" si="12"/>
        <v>#N/A</v>
      </c>
      <c r="W56" t="e">
        <v>#N/A</v>
      </c>
      <c r="X56" t="e">
        <v>#N/A</v>
      </c>
      <c r="Y56" t="e">
        <v>#N/A</v>
      </c>
      <c r="Z56" s="454" t="e">
        <v>#N/A</v>
      </c>
      <c r="AA56" t="e">
        <v>#N/A</v>
      </c>
      <c r="AB56" t="e">
        <v>#N/A</v>
      </c>
      <c r="AC56" t="e">
        <v>#N/A</v>
      </c>
      <c r="AD56" t="e">
        <v>#N/A</v>
      </c>
      <c r="AE56" t="e">
        <v>#N/A</v>
      </c>
      <c r="AF56" t="e">
        <v>#N/A</v>
      </c>
      <c r="AG56" s="769" t="e" cm="1">
        <f t="array" ref="AG56">INDEX(W56:AF56,ROWS($1:4))</f>
        <v>#N/A</v>
      </c>
    </row>
    <row r="57" spans="2:33">
      <c r="E57" t="s">
        <v>1040</v>
      </c>
      <c r="F57" t="s">
        <v>1060</v>
      </c>
      <c r="G57" s="160">
        <f>G56*G42/($E$18/1000)</f>
        <v>13.179759282726147</v>
      </c>
      <c r="H57" s="160">
        <f t="shared" ref="H57:K57" si="14">H56*H42/($E$18/1000)</f>
        <v>13.165440812555396</v>
      </c>
      <c r="I57" s="160">
        <f t="shared" si="14"/>
        <v>13.165464244940088</v>
      </c>
      <c r="J57" s="160">
        <f t="shared" si="14"/>
        <v>13.165464189420831</v>
      </c>
      <c r="K57" s="160">
        <f t="shared" si="14"/>
        <v>13.165464189552409</v>
      </c>
      <c r="L57" s="160"/>
      <c r="M57" s="735"/>
      <c r="N57" s="836"/>
      <c r="O57" s="22"/>
      <c r="P57" s="22"/>
      <c r="Q57" s="22"/>
      <c r="R57" s="840" t="e">
        <f>VLOOKUP(N57,Isolation!$B$46:$R$576,9)</f>
        <v>#N/A</v>
      </c>
      <c r="S57" s="22" t="str">
        <f t="shared" si="11"/>
        <v/>
      </c>
      <c r="U57" s="2294"/>
      <c r="V57" s="821" t="e">
        <f t="shared" si="12"/>
        <v>#N/A</v>
      </c>
      <c r="W57" t="e">
        <v>#N/A</v>
      </c>
      <c r="X57" t="e">
        <v>#N/A</v>
      </c>
      <c r="Y57" t="e">
        <v>#N/A</v>
      </c>
      <c r="Z57" t="e">
        <v>#N/A</v>
      </c>
      <c r="AA57" s="454" t="e">
        <v>#N/A</v>
      </c>
      <c r="AB57" t="e">
        <v>#N/A</v>
      </c>
      <c r="AC57" t="e">
        <v>#N/A</v>
      </c>
      <c r="AD57" t="e">
        <v>#N/A</v>
      </c>
      <c r="AE57" t="e">
        <v>#N/A</v>
      </c>
      <c r="AF57" t="e">
        <v>#N/A</v>
      </c>
      <c r="AG57" s="769" t="e" cm="1">
        <f t="array" ref="AG57">INDEX(W57:AF57,ROWS($1:5))</f>
        <v>#N/A</v>
      </c>
    </row>
    <row r="58" spans="2:33">
      <c r="B58" t="s">
        <v>1041</v>
      </c>
      <c r="E58" t="s">
        <v>1042</v>
      </c>
      <c r="G58" s="160">
        <f>(0.6 + 0.387*G51^(1/6)/( 1 +(0.559/G44)^(9/16))^(8/27))^2</f>
        <v>14.476764421837411</v>
      </c>
      <c r="H58" s="160">
        <f t="shared" ref="H58:K58" si="15">(0.6 + 0.387*H51^(1/6)/( 1 +(0.559/H44)^(9/16))^(8/27))^2</f>
        <v>21.296018913610354</v>
      </c>
      <c r="I58" s="160">
        <f t="shared" si="15"/>
        <v>21.288679248979996</v>
      </c>
      <c r="J58" s="160">
        <f t="shared" si="15"/>
        <v>21.288696646827795</v>
      </c>
      <c r="K58" s="160">
        <f t="shared" si="15"/>
        <v>21.288696605594602</v>
      </c>
      <c r="L58" s="160"/>
      <c r="M58" s="160"/>
      <c r="N58" s="836"/>
      <c r="O58" s="22"/>
      <c r="P58" s="22"/>
      <c r="Q58" s="22"/>
      <c r="R58" s="840" t="e">
        <f>VLOOKUP(N58,Isolation!$B$46:$R$576,9)</f>
        <v>#N/A</v>
      </c>
      <c r="S58" s="22" t="str">
        <f t="shared" si="11"/>
        <v/>
      </c>
      <c r="U58" s="2294"/>
      <c r="V58" s="821" t="e">
        <f t="shared" si="12"/>
        <v>#N/A</v>
      </c>
      <c r="W58" t="e">
        <v>#N/A</v>
      </c>
      <c r="X58" t="e">
        <v>#N/A</v>
      </c>
      <c r="Y58" t="e">
        <v>#N/A</v>
      </c>
      <c r="Z58" t="e">
        <v>#N/A</v>
      </c>
      <c r="AA58" t="e">
        <v>#N/A</v>
      </c>
      <c r="AB58" s="454" t="e">
        <v>#N/A</v>
      </c>
      <c r="AC58" t="e">
        <v>#N/A</v>
      </c>
      <c r="AD58" t="e">
        <v>#N/A</v>
      </c>
      <c r="AE58" t="e">
        <v>#N/A</v>
      </c>
      <c r="AF58" t="e">
        <v>#N/A</v>
      </c>
      <c r="AG58" s="769" t="e" cm="1">
        <f t="array" ref="AG58">INDEX(W58:AF58,ROWS($1:6))</f>
        <v>#N/A</v>
      </c>
    </row>
    <row r="59" spans="2:33">
      <c r="E59" t="s">
        <v>1043</v>
      </c>
      <c r="F59" t="s">
        <v>1060</v>
      </c>
      <c r="G59" s="160">
        <f>G58*G42/($E$18/1000)</f>
        <v>1.83273939839196</v>
      </c>
      <c r="H59" s="160">
        <f t="shared" ref="H59:K59" si="16">H58*H42/($E$18/1000)</f>
        <v>2.7094277664242901</v>
      </c>
      <c r="I59" s="160">
        <f t="shared" si="16"/>
        <v>2.7084719696153203</v>
      </c>
      <c r="J59" s="160">
        <f t="shared" si="16"/>
        <v>2.7084742351825324</v>
      </c>
      <c r="K59" s="160">
        <f t="shared" si="16"/>
        <v>2.7084742298130999</v>
      </c>
      <c r="L59" s="160"/>
      <c r="M59" s="735"/>
      <c r="N59" s="836"/>
      <c r="O59" s="22"/>
      <c r="P59" s="22"/>
      <c r="Q59" s="22"/>
      <c r="R59" s="840" t="e">
        <f>VLOOKUP(N59,Isolation!$B$46:$R$576,9)</f>
        <v>#N/A</v>
      </c>
      <c r="S59" s="22" t="str">
        <f t="shared" si="11"/>
        <v/>
      </c>
      <c r="U59" s="2294"/>
      <c r="V59" s="821" t="e">
        <f t="shared" si="12"/>
        <v>#N/A</v>
      </c>
      <c r="W59" t="e">
        <v>#N/A</v>
      </c>
      <c r="X59" t="e">
        <v>#N/A</v>
      </c>
      <c r="Y59" t="e">
        <v>#N/A</v>
      </c>
      <c r="Z59" t="e">
        <v>#N/A</v>
      </c>
      <c r="AA59" t="e">
        <v>#N/A</v>
      </c>
      <c r="AB59" t="e">
        <v>#N/A</v>
      </c>
      <c r="AC59" s="454" t="e">
        <v>#N/A</v>
      </c>
      <c r="AD59" t="e">
        <v>#N/A</v>
      </c>
      <c r="AE59" t="e">
        <v>#N/A</v>
      </c>
      <c r="AF59" t="e">
        <v>#N/A</v>
      </c>
      <c r="AG59" s="769" t="e" cm="1">
        <f t="array" ref="AG59">INDEX(W59:AF59,ROWS($1:7))</f>
        <v>#N/A</v>
      </c>
    </row>
    <row r="60" spans="2:33">
      <c r="B60" t="s">
        <v>1116</v>
      </c>
      <c r="E60" t="s">
        <v>1044</v>
      </c>
      <c r="G60" s="733">
        <f>(G56^4+G58^4)^(1/4)</f>
        <v>104.11633193075507</v>
      </c>
      <c r="H60" s="733">
        <f t="shared" ref="H60:K60" si="17">(H56^4+H58^4)^(1/4)</f>
        <v>103.52633370957156</v>
      </c>
      <c r="I60" s="733">
        <f t="shared" si="17"/>
        <v>103.5272929472366</v>
      </c>
      <c r="J60" s="733">
        <f t="shared" si="17"/>
        <v>103.52729067445807</v>
      </c>
      <c r="K60" s="733">
        <f t="shared" si="17"/>
        <v>103.52729067984464</v>
      </c>
      <c r="L60" s="733"/>
      <c r="M60" s="733"/>
      <c r="N60" s="836"/>
      <c r="O60" s="22"/>
      <c r="P60" s="22"/>
      <c r="Q60" s="22"/>
      <c r="R60" s="840" t="e">
        <f>VLOOKUP(N60,Isolation!$B$46:$R$576,9)</f>
        <v>#N/A</v>
      </c>
      <c r="S60" s="22" t="str">
        <f t="shared" si="11"/>
        <v/>
      </c>
      <c r="U60" s="2294"/>
      <c r="V60" s="821" t="e">
        <f t="shared" si="12"/>
        <v>#N/A</v>
      </c>
      <c r="W60" t="e">
        <v>#N/A</v>
      </c>
      <c r="X60" t="e">
        <v>#N/A</v>
      </c>
      <c r="Y60" t="e">
        <v>#N/A</v>
      </c>
      <c r="Z60" t="e">
        <v>#N/A</v>
      </c>
      <c r="AA60" t="e">
        <v>#N/A</v>
      </c>
      <c r="AB60" t="e">
        <v>#N/A</v>
      </c>
      <c r="AC60" t="e">
        <v>#N/A</v>
      </c>
      <c r="AD60" s="454" t="e">
        <v>#N/A</v>
      </c>
      <c r="AE60" t="e">
        <v>#N/A</v>
      </c>
      <c r="AF60" t="e">
        <v>#N/A</v>
      </c>
      <c r="AG60" s="769" t="e" cm="1">
        <f t="array" ref="AG60">INDEX(W60:AF60,ROWS($1:8))</f>
        <v>#N/A</v>
      </c>
    </row>
    <row r="61" spans="2:33">
      <c r="E61" t="s">
        <v>1045</v>
      </c>
      <c r="F61" t="s">
        <v>1060</v>
      </c>
      <c r="G61" s="160">
        <f>G60*G42/($E$18/1000)</f>
        <v>13.180991137612969</v>
      </c>
      <c r="H61" s="160">
        <f t="shared" ref="H61:K61" si="18">H60*H42/($E$18/1000)</f>
        <v>13.171340814763909</v>
      </c>
      <c r="I61" s="160">
        <f t="shared" si="18"/>
        <v>13.171355900398519</v>
      </c>
      <c r="J61" s="160">
        <f t="shared" si="18"/>
        <v>13.171355864653405</v>
      </c>
      <c r="K61" s="160">
        <f t="shared" si="18"/>
        <v>13.171355864738128</v>
      </c>
      <c r="L61" s="160"/>
      <c r="M61" s="160"/>
      <c r="N61" s="836"/>
      <c r="O61" s="22"/>
      <c r="P61" s="22"/>
      <c r="Q61" s="22"/>
      <c r="R61" s="840" t="e">
        <f>VLOOKUP(N61,Isolation!$B$46:$R$576,9)</f>
        <v>#N/A</v>
      </c>
      <c r="S61" s="22" t="str">
        <f t="shared" si="11"/>
        <v/>
      </c>
      <c r="U61" s="2294"/>
      <c r="V61" s="821" t="e">
        <f t="shared" si="12"/>
        <v>#N/A</v>
      </c>
      <c r="W61" t="e">
        <v>#N/A</v>
      </c>
      <c r="X61" t="e">
        <v>#N/A</v>
      </c>
      <c r="Y61" t="e">
        <v>#N/A</v>
      </c>
      <c r="Z61" t="e">
        <v>#N/A</v>
      </c>
      <c r="AA61" t="e">
        <v>#N/A</v>
      </c>
      <c r="AB61" t="e">
        <v>#N/A</v>
      </c>
      <c r="AC61" t="e">
        <v>#N/A</v>
      </c>
      <c r="AD61" t="e">
        <v>#N/A</v>
      </c>
      <c r="AE61" s="454" t="e">
        <v>#N/A</v>
      </c>
      <c r="AF61" t="e">
        <v>#N/A</v>
      </c>
      <c r="AG61" s="769" t="e" cm="1">
        <f t="array" ref="AG61">INDEX(W61:AF61,ROWS($1:9))</f>
        <v>#N/A</v>
      </c>
    </row>
    <row r="62" spans="2:33" ht="15.75" thickBot="1">
      <c r="B62" t="s">
        <v>1117</v>
      </c>
      <c r="E62" t="s">
        <v>1046</v>
      </c>
      <c r="F62" t="s">
        <v>1060</v>
      </c>
      <c r="G62" s="160">
        <f>G61+G54</f>
        <v>17.345157637852033</v>
      </c>
      <c r="H62" s="160">
        <f t="shared" ref="H62:K62" si="19">H61+H54</f>
        <v>17.403891950274097</v>
      </c>
      <c r="I62" s="160">
        <f t="shared" si="19"/>
        <v>17.403793713782949</v>
      </c>
      <c r="J62" s="160">
        <f t="shared" si="19"/>
        <v>17.403793946530818</v>
      </c>
      <c r="K62" s="160">
        <f t="shared" si="19"/>
        <v>17.403793945979221</v>
      </c>
      <c r="L62" s="160"/>
      <c r="M62" s="160"/>
      <c r="N62" s="160"/>
      <c r="U62" s="2294"/>
      <c r="V62" s="821" t="e">
        <f t="shared" si="12"/>
        <v>#N/A</v>
      </c>
      <c r="W62" t="e">
        <v>#N/A</v>
      </c>
      <c r="X62" t="e">
        <v>#N/A</v>
      </c>
      <c r="Y62" t="e">
        <v>#N/A</v>
      </c>
      <c r="Z62" t="e">
        <v>#N/A</v>
      </c>
      <c r="AA62" t="e">
        <v>#N/A</v>
      </c>
      <c r="AB62" t="e">
        <v>#N/A</v>
      </c>
      <c r="AC62" t="e">
        <v>#N/A</v>
      </c>
      <c r="AD62" t="e">
        <v>#N/A</v>
      </c>
      <c r="AE62" t="e">
        <v>#N/A</v>
      </c>
      <c r="AF62" s="454" t="e">
        <v>#N/A</v>
      </c>
      <c r="AG62" s="839" t="e" cm="1">
        <f t="array" ref="AG62">INDEX(W62:AF62,ROWS($1:10))</f>
        <v>#N/A</v>
      </c>
    </row>
    <row r="63" spans="2:33">
      <c r="B63" s="4" t="s">
        <v>1118</v>
      </c>
      <c r="G63" s="160"/>
      <c r="H63" s="160"/>
      <c r="I63" s="160"/>
      <c r="J63" s="160"/>
      <c r="K63" s="160"/>
      <c r="N63" s="742"/>
      <c r="O63" s="742"/>
      <c r="P63" s="742"/>
      <c r="Q63" s="742"/>
      <c r="R63" s="742"/>
    </row>
    <row r="64" spans="2:33">
      <c r="B64" t="s">
        <v>1109</v>
      </c>
      <c r="E64" t="s">
        <v>1047</v>
      </c>
      <c r="F64" t="s">
        <v>1018</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95" t="s">
        <v>1510</v>
      </c>
      <c r="O64" s="2295"/>
      <c r="P64" s="2295"/>
      <c r="Q64" s="2295"/>
      <c r="R64" s="2295"/>
      <c r="S64" s="2295"/>
      <c r="T64" s="2295"/>
      <c r="U64" s="2295"/>
      <c r="V64" s="2295"/>
      <c r="W64" s="2295"/>
      <c r="X64" s="2295"/>
      <c r="Y64" s="2295"/>
      <c r="Z64" s="2295"/>
      <c r="AA64" s="2295"/>
      <c r="AB64" s="2295"/>
      <c r="AC64" s="2295"/>
      <c r="AD64" s="2295"/>
      <c r="AE64" s="2295"/>
      <c r="AF64" s="2295"/>
      <c r="AG64" s="2295"/>
    </row>
    <row r="65" spans="2:33" ht="17.25">
      <c r="B65" t="s">
        <v>1119</v>
      </c>
      <c r="E65" t="s">
        <v>1048</v>
      </c>
      <c r="F65" t="s">
        <v>1061</v>
      </c>
      <c r="G65" s="741">
        <f>($E$18/1000)*LN($E$9/$E$8)/(2*G64)</f>
        <v>2.7276881455942807E-5</v>
      </c>
      <c r="H65" s="741">
        <f t="shared" ref="H65:K65" si="20">($E$18/1000)*LN($E$9/$E$8)/(2*H64)</f>
        <v>2.7276881455942807E-5</v>
      </c>
      <c r="I65" s="741">
        <f t="shared" si="20"/>
        <v>2.7276881455942807E-5</v>
      </c>
      <c r="J65" s="741">
        <f t="shared" si="20"/>
        <v>2.7276881455942807E-5</v>
      </c>
      <c r="K65" s="741">
        <f t="shared" si="20"/>
        <v>2.7276881455942807E-5</v>
      </c>
      <c r="L65" s="741"/>
      <c r="M65" s="741"/>
      <c r="N65" s="2296" t="s">
        <v>1136</v>
      </c>
      <c r="O65" s="829" t="s">
        <v>1205</v>
      </c>
      <c r="P65" s="829" t="s">
        <v>1138</v>
      </c>
      <c r="Q65" s="2302" t="s">
        <v>1148</v>
      </c>
      <c r="R65" s="829" t="s">
        <v>1203</v>
      </c>
      <c r="S65" s="829" t="s">
        <v>1135</v>
      </c>
      <c r="W65" s="2299" t="s">
        <v>1208</v>
      </c>
      <c r="X65" s="2299"/>
      <c r="Y65" s="2299"/>
      <c r="Z65" s="2299"/>
      <c r="AA65" s="2299"/>
      <c r="AB65" s="2299"/>
      <c r="AC65" s="2299"/>
      <c r="AD65" s="2299"/>
      <c r="AE65" s="2299"/>
      <c r="AF65" s="2299"/>
    </row>
    <row r="66" spans="2:33" ht="17.25">
      <c r="B66" s="4" t="s">
        <v>1120</v>
      </c>
      <c r="N66" s="2296"/>
      <c r="O66" s="830" t="s">
        <v>1220</v>
      </c>
      <c r="P66" s="830" t="s">
        <v>1142</v>
      </c>
      <c r="Q66" s="2303"/>
      <c r="R66" s="831" t="s">
        <v>1158</v>
      </c>
      <c r="S66" s="830" t="s">
        <v>1213</v>
      </c>
      <c r="W66" s="2300" t="s">
        <v>985</v>
      </c>
      <c r="X66" s="2300"/>
      <c r="Y66" s="2300"/>
      <c r="Z66" s="2300"/>
      <c r="AA66" s="2300"/>
      <c r="AB66" s="2300"/>
      <c r="AC66" s="2300"/>
      <c r="AD66" s="2300"/>
      <c r="AE66" s="2300"/>
      <c r="AF66" s="2300"/>
      <c r="AG66" s="2301" t="s">
        <v>1156</v>
      </c>
    </row>
    <row r="67" spans="2:33" ht="15.75" thickBot="1">
      <c r="B67" t="s">
        <v>1121</v>
      </c>
      <c r="F67" t="s">
        <v>1016</v>
      </c>
      <c r="G67">
        <f>(G37+G38)/2+273.15</f>
        <v>319.60952380952381</v>
      </c>
      <c r="H67">
        <f t="shared" ref="H67:K67" si="21">(H37+H38)/2+273.15</f>
        <v>321.59171413282183</v>
      </c>
      <c r="I67">
        <f t="shared" si="21"/>
        <v>321.58927197306815</v>
      </c>
      <c r="J67">
        <f t="shared" si="21"/>
        <v>321.58927775710106</v>
      </c>
      <c r="K67">
        <f t="shared" si="21"/>
        <v>321.58927774339276</v>
      </c>
      <c r="L67" s="160"/>
      <c r="M67" s="160"/>
      <c r="N67" s="836" t="e" cm="1" vm="2">
        <f t="array" ref="N67">_xlfn._xlws.FILTER(Isolation!B62:E71,Isolation!E62:E71=P6&amp;"_"&amp;P7)</f>
        <v>#VALUE!</v>
      </c>
      <c r="O67" s="22"/>
      <c r="P67" s="22"/>
      <c r="Q67" s="22"/>
      <c r="R67" s="840" t="e" vm="1">
        <f>VLOOKUP(N67,Isolation!B62:R71,9)</f>
        <v>#VALUE!</v>
      </c>
      <c r="S67" s="22" t="e" vm="1">
        <f>IF(N67="","",AG68)</f>
        <v>#VALUE!</v>
      </c>
      <c r="V67" s="774">
        <f>$E$32</f>
        <v>2171.6188603130026</v>
      </c>
      <c r="W67" s="818" cm="1">
        <f t="array" ref="W67:AF67">TRANSPOSE(P67:P76)</f>
        <v>0</v>
      </c>
      <c r="X67" s="818">
        <v>0</v>
      </c>
      <c r="Y67" s="818">
        <v>0</v>
      </c>
      <c r="Z67" s="818">
        <v>0</v>
      </c>
      <c r="AA67" s="818">
        <v>0</v>
      </c>
      <c r="AB67" s="818">
        <v>0</v>
      </c>
      <c r="AC67" s="818">
        <v>0</v>
      </c>
      <c r="AD67" s="818">
        <v>0</v>
      </c>
      <c r="AE67" s="818">
        <v>0</v>
      </c>
      <c r="AF67" s="818">
        <v>0</v>
      </c>
      <c r="AG67" s="2301"/>
    </row>
    <row r="68" spans="2:33">
      <c r="B68" t="s">
        <v>1109</v>
      </c>
      <c r="E68" t="s">
        <v>1049</v>
      </c>
      <c r="F68" t="s">
        <v>1018</v>
      </c>
      <c r="G68" s="741">
        <f>Propriété_matériau!$G$18*G67^4+Propriété_matériau!$H$18*G67^3+Propriété_matériau!$I$18*G67^2+Propriété_matériau!$J$18*G67+Propriété_matériau!$K$18</f>
        <v>5.5626505671278359E-2</v>
      </c>
      <c r="H68" s="741">
        <f>Propriété_matériau!$G$18*H67^4+Propriété_matériau!$H$18*H67^3+Propriété_matériau!$I$18*H67^2+Propriété_matériau!$J$18*H67+Propriété_matériau!$K$18</f>
        <v>5.5743163565072543E-2</v>
      </c>
      <c r="I68" s="741">
        <f>Propriété_matériau!$G$18*I67^4+Propriété_matériau!$H$18*I67^3+Propriété_matériau!$I$18*I67^2+Propriété_matériau!$J$18*I67+Propriété_matériau!$K$18</f>
        <v>5.5743018806678736E-2</v>
      </c>
      <c r="J68" s="741">
        <f>Propriété_matériau!$G$18*J67^4+Propriété_matériau!$H$18*J67^3+Propriété_matériau!$I$18*J67^2+Propriété_matériau!$J$18*J67+Propriété_matériau!$K$18</f>
        <v>5.5743019149522816E-2</v>
      </c>
      <c r="K68" s="741">
        <f>Propriété_matériau!$G$18*K67^4+Propriété_matériau!$H$18*K67^3+Propriété_matériau!$I$18*K67^2+Propriété_matériau!$J$18*K67+Propriété_matériau!$K$18</f>
        <v>5.574301914871025E-2</v>
      </c>
      <c r="L68" s="741"/>
      <c r="M68" s="741"/>
      <c r="N68" s="836"/>
      <c r="O68" s="22"/>
      <c r="P68" s="22"/>
      <c r="Q68" s="22"/>
      <c r="R68" s="840" t="e">
        <f>VLOOKUP(N68,Isolation!B63:R72,9)</f>
        <v>#N/A</v>
      </c>
      <c r="S68" s="22" t="str">
        <f t="shared" ref="S68:S76" si="22">IF(N68="","",AG69)</f>
        <v/>
      </c>
      <c r="U68" s="2294" t="s">
        <v>1204</v>
      </c>
      <c r="V68" s="821" t="e" vm="1">
        <f>R67</f>
        <v>#VALUE!</v>
      </c>
      <c r="W68" s="454"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38" t="e" cm="1" vm="1">
        <f t="array" ref="AG68">INDEX(W68:AF68,ROWS($1:1))</f>
        <v>#VALUE!</v>
      </c>
    </row>
    <row r="69" spans="2:33">
      <c r="B69" t="s">
        <v>1120</v>
      </c>
      <c r="E69" t="s">
        <v>1050</v>
      </c>
      <c r="F69" t="s">
        <v>1061</v>
      </c>
      <c r="G69" s="160">
        <f>($E$18/1000)*LN($E$18/$E$9)/(2*G68)</f>
        <v>1.3050224723166335</v>
      </c>
      <c r="H69" s="160">
        <f t="shared" ref="H69:K69" si="23">($E$18/1000)*LN($E$18/$E$9)/(2*H68)</f>
        <v>1.3022913540370473</v>
      </c>
      <c r="I69" s="160">
        <f t="shared" si="23"/>
        <v>1.3022947359422385</v>
      </c>
      <c r="J69" s="160">
        <f t="shared" si="23"/>
        <v>1.3022947279325532</v>
      </c>
      <c r="K69" s="160">
        <f t="shared" si="23"/>
        <v>1.3022947279515367</v>
      </c>
      <c r="L69" s="160"/>
      <c r="M69" s="160"/>
      <c r="N69" s="836"/>
      <c r="O69" s="22"/>
      <c r="P69" s="22"/>
      <c r="Q69" s="22"/>
      <c r="R69" s="840" t="e">
        <f>VLOOKUP(N69,Isolation!B64:R73,9)</f>
        <v>#N/A</v>
      </c>
      <c r="S69" s="22" t="str">
        <f t="shared" si="22"/>
        <v/>
      </c>
      <c r="U69" s="2294"/>
      <c r="V69" s="821" t="e">
        <f t="shared" ref="V69:V77" si="24">R68</f>
        <v>#N/A</v>
      </c>
      <c r="W69" t="e">
        <v>#N/A</v>
      </c>
      <c r="X69" s="454" t="e">
        <v>#N/A</v>
      </c>
      <c r="Y69" t="e">
        <v>#N/A</v>
      </c>
      <c r="Z69" t="e">
        <v>#N/A</v>
      </c>
      <c r="AA69" t="e">
        <v>#N/A</v>
      </c>
      <c r="AB69" t="e">
        <v>#N/A</v>
      </c>
      <c r="AC69" t="e">
        <v>#N/A</v>
      </c>
      <c r="AD69" t="e">
        <v>#N/A</v>
      </c>
      <c r="AE69" t="e">
        <v>#N/A</v>
      </c>
      <c r="AF69" t="e">
        <v>#N/A</v>
      </c>
      <c r="AG69" s="769" t="e" cm="1">
        <f t="array" ref="AG69">INDEX(W69:AF69,ROWS($1:2))</f>
        <v>#N/A</v>
      </c>
    </row>
    <row r="70" spans="2:33">
      <c r="B70" s="4" t="s">
        <v>1122</v>
      </c>
      <c r="E70" t="s">
        <v>1051</v>
      </c>
      <c r="F70" t="s">
        <v>1061</v>
      </c>
      <c r="G70" s="724">
        <f>G69+G65+1/G62</f>
        <v>1.362702727676516</v>
      </c>
      <c r="H70" s="724">
        <f t="shared" ref="H70:K70" si="25">H69+H65+1/H62</f>
        <v>1.359777043258523</v>
      </c>
      <c r="I70" s="724">
        <f t="shared" si="25"/>
        <v>1.3597807494902898</v>
      </c>
      <c r="J70" s="724">
        <f t="shared" si="25"/>
        <v>1.3597807407121858</v>
      </c>
      <c r="K70" s="724">
        <f t="shared" si="25"/>
        <v>1.3597807407329905</v>
      </c>
      <c r="L70" s="724"/>
      <c r="M70" s="724"/>
      <c r="N70" s="836"/>
      <c r="O70" s="22"/>
      <c r="P70" s="22"/>
      <c r="Q70" s="22"/>
      <c r="R70" s="840" t="e">
        <f>VLOOKUP(N70,Isolation!B65:R74,9)</f>
        <v>#N/A</v>
      </c>
      <c r="S70" s="22" t="str">
        <f t="shared" si="22"/>
        <v/>
      </c>
      <c r="U70" s="2294"/>
      <c r="V70" s="821" t="e">
        <f t="shared" si="24"/>
        <v>#N/A</v>
      </c>
      <c r="W70" t="e">
        <v>#N/A</v>
      </c>
      <c r="X70" t="e">
        <v>#N/A</v>
      </c>
      <c r="Y70" s="454" t="e">
        <v>#N/A</v>
      </c>
      <c r="Z70" t="e">
        <v>#N/A</v>
      </c>
      <c r="AA70" t="e">
        <v>#N/A</v>
      </c>
      <c r="AB70" t="e">
        <v>#N/A</v>
      </c>
      <c r="AC70" t="e">
        <v>#N/A</v>
      </c>
      <c r="AD70" t="e">
        <v>#N/A</v>
      </c>
      <c r="AE70" t="e">
        <v>#N/A</v>
      </c>
      <c r="AF70" t="e">
        <v>#N/A</v>
      </c>
      <c r="AG70" s="769" t="e" cm="1">
        <f t="array" ref="AG70">INDEX(W70:AF70,ROWS($1:3))</f>
        <v>#N/A</v>
      </c>
    </row>
    <row r="71" spans="2:33">
      <c r="B71" t="s">
        <v>1123</v>
      </c>
      <c r="E71" t="s">
        <v>1052</v>
      </c>
      <c r="F71" t="s">
        <v>1062</v>
      </c>
      <c r="G71" s="748">
        <f>($E$10-$E$11)/G70</f>
        <v>68.795355834844443</v>
      </c>
      <c r="H71" s="748">
        <f t="shared" ref="H71:K71" si="26">($E$10-$E$11)/H70</f>
        <v>68.943375322005338</v>
      </c>
      <c r="I71" s="748">
        <f t="shared" si="26"/>
        <v>68.943187409264382</v>
      </c>
      <c r="J71" s="748">
        <f t="shared" si="26"/>
        <v>68.943187854329139</v>
      </c>
      <c r="K71" s="748">
        <f t="shared" si="26"/>
        <v>68.943187853274296</v>
      </c>
      <c r="L71" s="160"/>
      <c r="M71" s="160"/>
      <c r="N71" s="836"/>
      <c r="O71" s="22"/>
      <c r="P71" s="22"/>
      <c r="Q71" s="22"/>
      <c r="R71" s="840" t="e">
        <f>VLOOKUP(N71,Isolation!B66:R75,9)</f>
        <v>#N/A</v>
      </c>
      <c r="S71" s="22" t="str">
        <f t="shared" si="22"/>
        <v/>
      </c>
      <c r="U71" s="2294"/>
      <c r="V71" s="821" t="e">
        <f t="shared" si="24"/>
        <v>#N/A</v>
      </c>
      <c r="W71" t="e">
        <v>#N/A</v>
      </c>
      <c r="X71" t="e">
        <v>#N/A</v>
      </c>
      <c r="Y71" t="e">
        <v>#N/A</v>
      </c>
      <c r="Z71" s="454" t="e">
        <v>#N/A</v>
      </c>
      <c r="AA71" t="e">
        <v>#N/A</v>
      </c>
      <c r="AB71" t="e">
        <v>#N/A</v>
      </c>
      <c r="AC71" t="e">
        <v>#N/A</v>
      </c>
      <c r="AD71" t="e">
        <v>#N/A</v>
      </c>
      <c r="AE71" t="e">
        <v>#N/A</v>
      </c>
      <c r="AF71" t="e">
        <v>#N/A</v>
      </c>
      <c r="AG71" s="769" t="e" cm="1">
        <f t="array" ref="AG71">INDEX(W71:AF71,ROWS($1:4))</f>
        <v>#N/A</v>
      </c>
    </row>
    <row r="72" spans="2:33">
      <c r="B72" t="s">
        <v>1075</v>
      </c>
      <c r="E72" t="s">
        <v>1053</v>
      </c>
      <c r="F72" t="s">
        <v>1056</v>
      </c>
      <c r="G72" s="733">
        <f>$E$10 - G71*G65</f>
        <v>93.331456810567502</v>
      </c>
      <c r="H72" s="733">
        <f t="shared" ref="H72:K72" si="27">$E$10 - H71*H65</f>
        <v>93.331452773057492</v>
      </c>
      <c r="I72" s="733">
        <f t="shared" si="27"/>
        <v>93.331452778183177</v>
      </c>
      <c r="J72" s="733">
        <f t="shared" si="27"/>
        <v>93.331452778171027</v>
      </c>
      <c r="K72" s="733">
        <f t="shared" si="27"/>
        <v>93.331452778171055</v>
      </c>
      <c r="L72" s="733"/>
      <c r="M72" s="733"/>
      <c r="N72" s="836"/>
      <c r="O72" s="22"/>
      <c r="P72" s="22"/>
      <c r="Q72" s="22"/>
      <c r="R72" s="840" t="e">
        <f>VLOOKUP(N72,Isolation!B67:R76,9)</f>
        <v>#N/A</v>
      </c>
      <c r="S72" s="22" t="str">
        <f t="shared" si="22"/>
        <v/>
      </c>
      <c r="U72" s="2294"/>
      <c r="V72" s="821" t="e">
        <f t="shared" si="24"/>
        <v>#N/A</v>
      </c>
      <c r="W72" t="e">
        <v>#N/A</v>
      </c>
      <c r="X72" t="e">
        <v>#N/A</v>
      </c>
      <c r="Y72" t="e">
        <v>#N/A</v>
      </c>
      <c r="Z72" t="e">
        <v>#N/A</v>
      </c>
      <c r="AA72" s="454" t="e">
        <v>#N/A</v>
      </c>
      <c r="AB72" t="e">
        <v>#N/A</v>
      </c>
      <c r="AC72" t="e">
        <v>#N/A</v>
      </c>
      <c r="AD72" t="e">
        <v>#N/A</v>
      </c>
      <c r="AE72" t="e">
        <v>#N/A</v>
      </c>
      <c r="AF72" t="e">
        <v>#N/A</v>
      </c>
      <c r="AG72" s="769" t="e" cm="1">
        <f t="array" ref="AG72">INDEX(W72:AF72,ROWS($1:5))</f>
        <v>#N/A</v>
      </c>
    </row>
    <row r="73" spans="2:33">
      <c r="B73" t="s">
        <v>1124</v>
      </c>
      <c r="E73" t="s">
        <v>1054</v>
      </c>
      <c r="F73" t="s">
        <v>1056</v>
      </c>
      <c r="G73" s="160">
        <f>G72-G71*G69</f>
        <v>3.55197145507627</v>
      </c>
      <c r="H73" s="160">
        <f t="shared" ref="H73:K73" si="28">H72-H71*H69</f>
        <v>3.5470911730788117</v>
      </c>
      <c r="I73" s="160">
        <f t="shared" si="28"/>
        <v>3.5471027360189566</v>
      </c>
      <c r="J73" s="160">
        <f t="shared" si="28"/>
        <v>3.5471027086145597</v>
      </c>
      <c r="K73" s="160">
        <f t="shared" si="28"/>
        <v>3.5471027086795175</v>
      </c>
      <c r="L73" s="160"/>
      <c r="M73" s="160"/>
      <c r="N73" s="836"/>
      <c r="O73" s="22"/>
      <c r="P73" s="22"/>
      <c r="Q73" s="22"/>
      <c r="R73" s="840" t="e">
        <f>VLOOKUP(N73,Isolation!B68:R77,9)</f>
        <v>#N/A</v>
      </c>
      <c r="S73" s="22" t="str">
        <f t="shared" si="22"/>
        <v/>
      </c>
      <c r="U73" s="2294"/>
      <c r="V73" s="821" t="e">
        <f t="shared" si="24"/>
        <v>#N/A</v>
      </c>
      <c r="W73" t="e">
        <v>#N/A</v>
      </c>
      <c r="X73" t="e">
        <v>#N/A</v>
      </c>
      <c r="Y73" t="e">
        <v>#N/A</v>
      </c>
      <c r="Z73" t="e">
        <v>#N/A</v>
      </c>
      <c r="AA73" t="e">
        <v>#N/A</v>
      </c>
      <c r="AB73" s="454" t="e">
        <v>#N/A</v>
      </c>
      <c r="AC73" t="e">
        <v>#N/A</v>
      </c>
      <c r="AD73" t="e">
        <v>#N/A</v>
      </c>
      <c r="AE73" t="e">
        <v>#N/A</v>
      </c>
      <c r="AF73" t="e">
        <v>#N/A</v>
      </c>
      <c r="AG73" s="769" t="e" cm="1">
        <f t="array" ref="AG73">INDEX(W73:AF73,ROWS($1:6))</f>
        <v>#N/A</v>
      </c>
    </row>
    <row r="74" spans="2:33">
      <c r="B74" t="s">
        <v>1125</v>
      </c>
      <c r="F74" t="s">
        <v>1010</v>
      </c>
      <c r="G74" s="160">
        <f>G71*PI()*($E$18/1000)</f>
        <v>41.172190545696097</v>
      </c>
      <c r="H74" s="160">
        <f t="shared" ref="H74:K74" si="29">H71*PI()*($E$18/1000)</f>
        <v>41.260776271518857</v>
      </c>
      <c r="I74" s="160">
        <f t="shared" si="29"/>
        <v>41.260663810741768</v>
      </c>
      <c r="J74" s="160">
        <f t="shared" si="29"/>
        <v>41.260664077101197</v>
      </c>
      <c r="K74" s="160">
        <f t="shared" si="29"/>
        <v>41.260664076469901</v>
      </c>
      <c r="N74" s="836"/>
      <c r="O74" s="22"/>
      <c r="P74" s="22"/>
      <c r="Q74" s="22"/>
      <c r="R74" s="840" t="e">
        <f>VLOOKUP(N74,Isolation!B69:R78,9)</f>
        <v>#N/A</v>
      </c>
      <c r="S74" s="22" t="str">
        <f t="shared" si="22"/>
        <v/>
      </c>
      <c r="U74" s="2294"/>
      <c r="V74" s="821" t="e">
        <f t="shared" si="24"/>
        <v>#N/A</v>
      </c>
      <c r="W74" t="e">
        <v>#N/A</v>
      </c>
      <c r="X74" t="e">
        <v>#N/A</v>
      </c>
      <c r="Y74" t="e">
        <v>#N/A</v>
      </c>
      <c r="Z74" t="e">
        <v>#N/A</v>
      </c>
      <c r="AA74" t="e">
        <v>#N/A</v>
      </c>
      <c r="AB74" t="e">
        <v>#N/A</v>
      </c>
      <c r="AC74" s="454" t="e">
        <v>#N/A</v>
      </c>
      <c r="AD74" t="e">
        <v>#N/A</v>
      </c>
      <c r="AE74" t="e">
        <v>#N/A</v>
      </c>
      <c r="AF74" t="e">
        <v>#N/A</v>
      </c>
      <c r="AG74" s="769" t="e" cm="1">
        <f t="array" ref="AG74">INDEX(W74:AF74,ROWS($1:7))</f>
        <v>#N/A</v>
      </c>
    </row>
    <row r="75" spans="2:33">
      <c r="N75" s="836"/>
      <c r="O75" s="22"/>
      <c r="P75" s="22"/>
      <c r="Q75" s="22"/>
      <c r="R75" s="840" t="e">
        <f>VLOOKUP(N75,Isolation!B70:R79,9)</f>
        <v>#N/A</v>
      </c>
      <c r="S75" s="22" t="str">
        <f t="shared" si="22"/>
        <v/>
      </c>
      <c r="U75" s="2294"/>
      <c r="V75" s="821" t="e">
        <f t="shared" si="24"/>
        <v>#N/A</v>
      </c>
      <c r="W75" t="e">
        <v>#N/A</v>
      </c>
      <c r="X75" t="e">
        <v>#N/A</v>
      </c>
      <c r="Y75" t="e">
        <v>#N/A</v>
      </c>
      <c r="Z75" t="e">
        <v>#N/A</v>
      </c>
      <c r="AA75" t="e">
        <v>#N/A</v>
      </c>
      <c r="AB75" t="e">
        <v>#N/A</v>
      </c>
      <c r="AC75" t="e">
        <v>#N/A</v>
      </c>
      <c r="AD75" s="454" t="e">
        <v>#N/A</v>
      </c>
      <c r="AE75" t="e">
        <v>#N/A</v>
      </c>
      <c r="AF75" t="e">
        <v>#N/A</v>
      </c>
      <c r="AG75" s="769" t="e" cm="1">
        <f t="array" ref="AG75">INDEX(W75:AF75,ROWS($1:8))</f>
        <v>#N/A</v>
      </c>
    </row>
    <row r="76" spans="2:33">
      <c r="B76" s="734" t="s">
        <v>1126</v>
      </c>
      <c r="N76" s="836"/>
      <c r="O76" s="22"/>
      <c r="P76" s="22"/>
      <c r="Q76" s="22"/>
      <c r="R76" s="840" t="e">
        <f>VLOOKUP(N76,Isolation!B71:R80,9)</f>
        <v>#N/A</v>
      </c>
      <c r="S76" s="22" t="str">
        <f t="shared" si="22"/>
        <v/>
      </c>
      <c r="U76" s="2294"/>
      <c r="V76" s="821" t="e">
        <f t="shared" si="24"/>
        <v>#N/A</v>
      </c>
      <c r="W76" t="e">
        <v>#N/A</v>
      </c>
      <c r="X76" t="e">
        <v>#N/A</v>
      </c>
      <c r="Y76" t="e">
        <v>#N/A</v>
      </c>
      <c r="Z76" t="e">
        <v>#N/A</v>
      </c>
      <c r="AA76" t="e">
        <v>#N/A</v>
      </c>
      <c r="AB76" t="e">
        <v>#N/A</v>
      </c>
      <c r="AC76" t="e">
        <v>#N/A</v>
      </c>
      <c r="AD76" t="e">
        <v>#N/A</v>
      </c>
      <c r="AE76" s="454" t="e">
        <v>#N/A</v>
      </c>
      <c r="AF76" t="e">
        <v>#N/A</v>
      </c>
      <c r="AG76" s="769" t="e" cm="1">
        <f t="array" ref="AG76">INDEX(W76:AF76,ROWS($1:9))</f>
        <v>#N/A</v>
      </c>
    </row>
    <row r="77" spans="2:33" ht="15.75" thickBot="1">
      <c r="B77" s="4"/>
      <c r="E77" t="s">
        <v>1012</v>
      </c>
      <c r="G77">
        <v>1</v>
      </c>
      <c r="H77">
        <v>2</v>
      </c>
      <c r="I77">
        <v>3</v>
      </c>
      <c r="J77">
        <v>4</v>
      </c>
      <c r="K77">
        <v>5</v>
      </c>
      <c r="U77" s="2294"/>
      <c r="V77" s="821" t="e">
        <f t="shared" si="24"/>
        <v>#N/A</v>
      </c>
      <c r="W77" t="e">
        <v>#N/A</v>
      </c>
      <c r="X77" t="e">
        <v>#N/A</v>
      </c>
      <c r="Y77" t="e">
        <v>#N/A</v>
      </c>
      <c r="Z77" t="e">
        <v>#N/A</v>
      </c>
      <c r="AA77" t="e">
        <v>#N/A</v>
      </c>
      <c r="AB77" t="e">
        <v>#N/A</v>
      </c>
      <c r="AC77" t="e">
        <v>#N/A</v>
      </c>
      <c r="AD77" t="e">
        <v>#N/A</v>
      </c>
      <c r="AE77" t="e">
        <v>#N/A</v>
      </c>
      <c r="AF77" s="454" t="e">
        <v>#N/A</v>
      </c>
      <c r="AG77" s="839" t="e" cm="1">
        <f t="array" ref="AG77">INDEX(W77:AF77,ROWS($1:10))</f>
        <v>#N/A</v>
      </c>
    </row>
    <row r="78" spans="2:33">
      <c r="B78" t="s">
        <v>1072</v>
      </c>
      <c r="E78" t="s">
        <v>1013</v>
      </c>
      <c r="F78" t="s">
        <v>1056</v>
      </c>
      <c r="G78" s="733">
        <f>E11+1</f>
        <v>0.58571428571428596</v>
      </c>
      <c r="H78" s="733">
        <f>G109</f>
        <v>93.307292636945391</v>
      </c>
      <c r="I78" s="733">
        <f t="shared" ref="I78:K78" si="30">H109</f>
        <v>93.304812661959517</v>
      </c>
      <c r="J78" s="733">
        <f t="shared" si="30"/>
        <v>93.304812745490963</v>
      </c>
      <c r="K78" s="733">
        <f t="shared" si="30"/>
        <v>93.30481274548815</v>
      </c>
      <c r="N78" s="160"/>
      <c r="O78" s="160"/>
      <c r="P78" s="160"/>
      <c r="Q78" s="160"/>
      <c r="R78" s="160"/>
    </row>
    <row r="79" spans="2:33">
      <c r="B79" t="s">
        <v>1127</v>
      </c>
      <c r="G79" s="739">
        <f>Hypothèses!$D$218</f>
        <v>0.8</v>
      </c>
      <c r="H79">
        <f>G79</f>
        <v>0.8</v>
      </c>
      <c r="I79">
        <f>H79</f>
        <v>0.8</v>
      </c>
      <c r="J79">
        <f>I79</f>
        <v>0.8</v>
      </c>
      <c r="K79">
        <f>J79</f>
        <v>0.8</v>
      </c>
      <c r="N79" s="2295" t="s">
        <v>1522</v>
      </c>
      <c r="O79" s="2295"/>
      <c r="P79" s="2295"/>
      <c r="Q79" s="2295"/>
      <c r="R79" s="2295"/>
      <c r="S79" s="2295"/>
      <c r="T79" s="2295"/>
      <c r="U79" s="2295"/>
      <c r="V79" s="2295"/>
      <c r="W79" s="2295"/>
      <c r="X79" s="2295"/>
      <c r="Y79" s="2295"/>
      <c r="Z79" s="2295"/>
      <c r="AA79" s="2295"/>
      <c r="AB79" s="2295"/>
      <c r="AC79" s="2295"/>
      <c r="AD79" s="2295"/>
      <c r="AE79" s="2295"/>
      <c r="AF79" s="2295"/>
      <c r="AG79" s="2295"/>
    </row>
    <row r="80" spans="2:33" ht="17.25">
      <c r="B80" s="4" t="s">
        <v>1128</v>
      </c>
      <c r="N80" s="2296" t="s">
        <v>1136</v>
      </c>
      <c r="O80" s="829" t="s">
        <v>1205</v>
      </c>
      <c r="P80" s="829" t="s">
        <v>1138</v>
      </c>
      <c r="Q80" s="2302" t="s">
        <v>1148</v>
      </c>
      <c r="R80" s="829" t="s">
        <v>1203</v>
      </c>
      <c r="S80" s="829" t="s">
        <v>1135</v>
      </c>
      <c r="W80" s="2299" t="s">
        <v>1208</v>
      </c>
      <c r="X80" s="2299"/>
      <c r="Y80" s="2299"/>
      <c r="Z80" s="2299"/>
      <c r="AA80" s="2299"/>
      <c r="AB80" s="2299"/>
      <c r="AC80" s="2299"/>
      <c r="AD80" s="2299"/>
      <c r="AE80" s="2299"/>
      <c r="AF80" s="2299"/>
    </row>
    <row r="81" spans="2:33" ht="17.25">
      <c r="B81" t="s">
        <v>1129</v>
      </c>
      <c r="E81" t="s">
        <v>1015</v>
      </c>
      <c r="F81" t="s">
        <v>1056</v>
      </c>
      <c r="G81">
        <f>(G78+$E$11)/2</f>
        <v>8.5714285714285965E-2</v>
      </c>
      <c r="H81" s="160">
        <f t="shared" ref="H81:K81" si="31">(H78+$E$11)/2</f>
        <v>46.44650346132984</v>
      </c>
      <c r="I81" s="160">
        <f t="shared" si="31"/>
        <v>46.445263473836903</v>
      </c>
      <c r="J81" s="160">
        <f t="shared" si="31"/>
        <v>46.445263515602626</v>
      </c>
      <c r="K81" s="160">
        <f t="shared" si="31"/>
        <v>46.445263515601219</v>
      </c>
      <c r="N81" s="2296"/>
      <c r="O81" s="830" t="s">
        <v>1220</v>
      </c>
      <c r="P81" s="830" t="s">
        <v>1142</v>
      </c>
      <c r="Q81" s="2303"/>
      <c r="R81" s="831" t="s">
        <v>1158</v>
      </c>
      <c r="S81" s="830" t="s">
        <v>1213</v>
      </c>
      <c r="W81" s="2300" t="s">
        <v>985</v>
      </c>
      <c r="X81" s="2300"/>
      <c r="Y81" s="2300"/>
      <c r="Z81" s="2300"/>
      <c r="AA81" s="2300"/>
      <c r="AB81" s="2300"/>
      <c r="AC81" s="2300"/>
      <c r="AD81" s="2300"/>
      <c r="AE81" s="2300"/>
      <c r="AF81" s="2300"/>
      <c r="AG81" s="2301" t="s">
        <v>1156</v>
      </c>
    </row>
    <row r="82" spans="2:33" ht="15.75" thickBot="1">
      <c r="F82" t="s">
        <v>1016</v>
      </c>
      <c r="G82">
        <f>G81+273.15</f>
        <v>273.23571428571427</v>
      </c>
      <c r="H82" s="160">
        <f t="shared" ref="H82:K82" si="32">H81+273.15</f>
        <v>319.5965034613298</v>
      </c>
      <c r="I82" s="160">
        <f t="shared" si="32"/>
        <v>319.59526347383689</v>
      </c>
      <c r="J82" s="160">
        <f t="shared" si="32"/>
        <v>319.5952635156026</v>
      </c>
      <c r="K82" s="160">
        <f t="shared" si="32"/>
        <v>319.59526351560118</v>
      </c>
      <c r="N82" s="836" t="e" cm="1" vm="2">
        <f t="array" ref="N82">_xlfn._xlws.FILTER(Isolation!B77:E86,Isolation!E77:E86=P6&amp;"_"&amp;P7)</f>
        <v>#VALUE!</v>
      </c>
      <c r="O82" s="22"/>
      <c r="P82" s="22"/>
      <c r="Q82" s="22"/>
      <c r="R82" s="840" t="e" vm="1">
        <f>VLOOKUP(N82,Isolation!B77:R86,9)</f>
        <v>#VALUE!</v>
      </c>
      <c r="S82" s="22" t="e" vm="1">
        <f>IF(N82="","",AG83)</f>
        <v>#VALUE!</v>
      </c>
      <c r="V82" s="774">
        <f>$E$32</f>
        <v>2171.6188603130026</v>
      </c>
      <c r="W82" s="818" cm="1">
        <f t="array" ref="W82:AF82">TRANSPOSE(P82:P91)</f>
        <v>0</v>
      </c>
      <c r="X82" s="818">
        <v>0</v>
      </c>
      <c r="Y82" s="818">
        <v>0</v>
      </c>
      <c r="Z82" s="818">
        <v>0</v>
      </c>
      <c r="AA82" s="818">
        <v>0</v>
      </c>
      <c r="AB82" s="818">
        <v>0</v>
      </c>
      <c r="AC82" s="818">
        <v>0</v>
      </c>
      <c r="AD82" s="818">
        <v>0</v>
      </c>
      <c r="AE82" s="818">
        <v>0</v>
      </c>
      <c r="AF82" s="818">
        <v>0</v>
      </c>
      <c r="AG82" s="2301"/>
    </row>
    <row r="83" spans="2:33">
      <c r="B83" t="s">
        <v>1109</v>
      </c>
      <c r="E83" t="s">
        <v>1017</v>
      </c>
      <c r="F83" t="s">
        <v>1018</v>
      </c>
      <c r="G83" s="735">
        <f>(Propriété_air!$Q$22*G82^4+Propriété_air!$R$22*G82^3+Propriété_air!$S$22*G82^2+Propriété_air!$T$22*G82+Propriété_air!$U$22)/10^3</f>
        <v>2.4117050275889996E-2</v>
      </c>
      <c r="H83" s="735">
        <f>(Propriété_air!$Q$22*H82^4+Propriété_air!$R$22*H82^3+Propriété_air!$S$22*H82^2+Propriété_air!$T$22*H82+Propriété_air!$U$22)/10^3</f>
        <v>2.7794443092695086E-2</v>
      </c>
      <c r="I83" s="735">
        <f>(Propriété_air!$Q$22*I82^4+Propriété_air!$R$22*I82^3+Propriété_air!$S$22*I82^2+Propriété_air!$T$22*I82+Propriété_air!$U$22)/10^3</f>
        <v>2.779434655438303E-2</v>
      </c>
      <c r="J83" s="735">
        <f>(Propriété_air!$Q$22*J82^4+Propriété_air!$R$22*J82^3+Propriété_air!$S$22*J82^2+Propriété_air!$T$22*J82+Propriété_air!$U$22)/10^3</f>
        <v>2.7794346557634669E-2</v>
      </c>
      <c r="K83" s="735">
        <f>(Propriété_air!$Q$22*K82^4+Propriété_air!$R$22*K82^3+Propriété_air!$S$22*K82^2+Propriété_air!$T$22*K82+Propriété_air!$U$22)/10^3</f>
        <v>2.7794346557634554E-2</v>
      </c>
      <c r="N83" s="836"/>
      <c r="O83" s="22"/>
      <c r="P83" s="22"/>
      <c r="Q83" s="22"/>
      <c r="R83" s="840" t="e">
        <f>VLOOKUP(N83,Isolation!B78:R87,9)</f>
        <v>#N/A</v>
      </c>
      <c r="S83" s="22" t="str">
        <f t="shared" ref="S83:S91" si="33">IF(N83="","",AG84)</f>
        <v/>
      </c>
      <c r="U83" s="2294" t="s">
        <v>1204</v>
      </c>
      <c r="V83" s="821" t="e" vm="1">
        <f>R82</f>
        <v>#VALUE!</v>
      </c>
      <c r="W83" s="454"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38" t="e" cm="1" vm="1">
        <f t="array" ref="AG83">INDEX(W83:AF83,ROWS($1:1))</f>
        <v>#VALUE!</v>
      </c>
    </row>
    <row r="84" spans="2:33">
      <c r="B84" t="s">
        <v>1110</v>
      </c>
      <c r="E84" t="s">
        <v>1019</v>
      </c>
      <c r="F84" t="s">
        <v>1057</v>
      </c>
      <c r="G84" s="736">
        <f>(Propriété_air!$Q$10*G82^4+Propriété_air!$R$10*G82^3+Propriété_air!$S$10*G82^2+Propriété_air!$T$10*G82+Propriété_air!$U$10)/10^7</f>
        <v>1.7159453569518444E-5</v>
      </c>
      <c r="H84" s="736">
        <f>(Propriété_air!$Q$10*H82^4+Propriété_air!$R$10*H82^3+Propriété_air!$S$10*H82^2+Propriété_air!$T$10*H82+Propriété_air!$U$10)/10^7</f>
        <v>1.9416012883798451E-5</v>
      </c>
      <c r="I84" s="736">
        <f>(Propriété_air!$Q$10*I82^4+Propriété_air!$R$10*I82^3+Propriété_air!$S$10*I82^2+Propriété_air!$T$10*I82+Propriété_air!$U$10)/10^7</f>
        <v>1.9415954517714445E-5</v>
      </c>
      <c r="J84" s="736">
        <f>(Propriété_air!$Q$10*J82^4+Propriété_air!$R$10*J82^3+Propriété_air!$S$10*J82^2+Propriété_air!$T$10*J82+Propriété_air!$U$10)/10^7</f>
        <v>1.941595451968035E-5</v>
      </c>
      <c r="K84" s="736">
        <f>(Propriété_air!$Q$10*K82^4+Propriété_air!$R$10*K82^3+Propriété_air!$S$10*K82^2+Propriété_air!$T$10*K82+Propriété_air!$U$10)/10^7</f>
        <v>1.9415954519680286E-5</v>
      </c>
      <c r="N84" s="836"/>
      <c r="O84" s="22"/>
      <c r="P84" s="22"/>
      <c r="Q84" s="22"/>
      <c r="R84" s="840" t="e">
        <f>VLOOKUP(N84,Isolation!B79:R88,9)</f>
        <v>#N/A</v>
      </c>
      <c r="S84" s="22" t="str">
        <f t="shared" si="33"/>
        <v/>
      </c>
      <c r="U84" s="2294"/>
      <c r="V84" s="821" t="e">
        <f t="shared" ref="V84:V92" si="34">R83</f>
        <v>#N/A</v>
      </c>
      <c r="W84" t="e">
        <v>#N/A</v>
      </c>
      <c r="X84" s="454" t="e">
        <v>#N/A</v>
      </c>
      <c r="Y84" t="e">
        <v>#N/A</v>
      </c>
      <c r="Z84" t="e">
        <v>#N/A</v>
      </c>
      <c r="AA84" t="e">
        <v>#N/A</v>
      </c>
      <c r="AB84" t="e">
        <v>#N/A</v>
      </c>
      <c r="AC84" t="e">
        <v>#N/A</v>
      </c>
      <c r="AD84" t="e">
        <v>#N/A</v>
      </c>
      <c r="AE84" t="e">
        <v>#N/A</v>
      </c>
      <c r="AF84" t="e">
        <v>#N/A</v>
      </c>
      <c r="AG84" s="769" t="e" cm="1">
        <f t="array" ref="AG84">INDEX(W84:AF84,ROWS($1:2))</f>
        <v>#N/A</v>
      </c>
    </row>
    <row r="85" spans="2:33">
      <c r="B85" t="s">
        <v>1020</v>
      </c>
      <c r="E85" t="s">
        <v>1021</v>
      </c>
      <c r="G85" s="724">
        <f>Propriété_air!$Q$34*G82^4+Propriété_air!$R$34*G82^3+Propriété_air!$S$34*G82^2+Propriété_air!$T$34*G82+Propriété_air!$U$34</f>
        <v>0.71424862584199311</v>
      </c>
      <c r="H85" s="724">
        <f>Propriété_air!$Q$34*H82^4+Propriété_air!$R$34*H82^3+Propriété_air!$S$34*H82^2+Propriété_air!$T$34*H82+Propriété_air!$U$34</f>
        <v>0.7028262224554217</v>
      </c>
      <c r="I85" s="724">
        <f>Propriété_air!$Q$34*I82^4+Propriété_air!$R$34*I82^3+Propriété_air!$S$34*I82^2+Propriété_air!$T$34*I82+Propriété_air!$U$34</f>
        <v>0.70282648950543547</v>
      </c>
      <c r="J85" s="724">
        <f>Propriété_air!$Q$34*J82^4+Propriété_air!$R$34*J82^3+Propriété_air!$S$34*J82^2+Propriété_air!$T$34*J82+Propriété_air!$U$34</f>
        <v>0.70282648949644055</v>
      </c>
      <c r="K85" s="724">
        <f>Propriété_air!$Q$34*K82^4+Propriété_air!$R$34*K82^3+Propriété_air!$S$34*K82^2+Propriété_air!$T$34*K82+Propriété_air!$U$34</f>
        <v>0.70282648949644089</v>
      </c>
      <c r="N85" s="836"/>
      <c r="O85" s="22"/>
      <c r="P85" s="22"/>
      <c r="Q85" s="22"/>
      <c r="R85" s="840" t="e">
        <f>VLOOKUP(N85,Isolation!B80:R89,9)</f>
        <v>#N/A</v>
      </c>
      <c r="S85" s="22" t="str">
        <f t="shared" si="33"/>
        <v/>
      </c>
      <c r="U85" s="2294"/>
      <c r="V85" s="821" t="e">
        <f t="shared" si="34"/>
        <v>#N/A</v>
      </c>
      <c r="W85" t="e">
        <v>#N/A</v>
      </c>
      <c r="X85" t="e">
        <v>#N/A</v>
      </c>
      <c r="Y85" s="454" t="e">
        <v>#N/A</v>
      </c>
      <c r="Z85" t="e">
        <v>#N/A</v>
      </c>
      <c r="AA85" t="e">
        <v>#N/A</v>
      </c>
      <c r="AB85" t="e">
        <v>#N/A</v>
      </c>
      <c r="AC85" t="e">
        <v>#N/A</v>
      </c>
      <c r="AD85" t="e">
        <v>#N/A</v>
      </c>
      <c r="AE85" t="e">
        <v>#N/A</v>
      </c>
      <c r="AF85" t="e">
        <v>#N/A</v>
      </c>
      <c r="AG85" s="769" t="e" cm="1">
        <f t="array" ref="AG85">INDEX(W85:AF85,ROWS($1:3))</f>
        <v>#N/A</v>
      </c>
    </row>
    <row r="86" spans="2:33">
      <c r="B86" t="s">
        <v>1111</v>
      </c>
      <c r="E86" t="s">
        <v>1022</v>
      </c>
      <c r="F86" t="s">
        <v>1023</v>
      </c>
      <c r="G86">
        <f>1/G82</f>
        <v>3.6598436723917081E-3</v>
      </c>
      <c r="H86">
        <f t="shared" ref="H86:K86" si="35">1/H82</f>
        <v>3.1289453707086532E-3</v>
      </c>
      <c r="I86">
        <f t="shared" si="35"/>
        <v>3.1289575106042311E-3</v>
      </c>
      <c r="J86">
        <f t="shared" si="35"/>
        <v>3.128957510195329E-3</v>
      </c>
      <c r="K86">
        <f t="shared" si="35"/>
        <v>3.1289575101953429E-3</v>
      </c>
      <c r="N86" s="836"/>
      <c r="O86" s="22"/>
      <c r="P86" s="22"/>
      <c r="Q86" s="22"/>
      <c r="R86" s="840" t="e">
        <f>VLOOKUP(N86,Isolation!B81:R90,9)</f>
        <v>#N/A</v>
      </c>
      <c r="S86" s="22" t="str">
        <f t="shared" si="33"/>
        <v/>
      </c>
      <c r="U86" s="2294"/>
      <c r="V86" s="821" t="e">
        <f t="shared" si="34"/>
        <v>#N/A</v>
      </c>
      <c r="W86" t="e">
        <v>#N/A</v>
      </c>
      <c r="X86" t="e">
        <v>#N/A</v>
      </c>
      <c r="Y86" t="e">
        <v>#N/A</v>
      </c>
      <c r="Z86" s="454" t="e">
        <v>#N/A</v>
      </c>
      <c r="AA86" t="e">
        <v>#N/A</v>
      </c>
      <c r="AB86" t="e">
        <v>#N/A</v>
      </c>
      <c r="AC86" t="e">
        <v>#N/A</v>
      </c>
      <c r="AD86" t="e">
        <v>#N/A</v>
      </c>
      <c r="AE86" t="e">
        <v>#N/A</v>
      </c>
      <c r="AF86" t="e">
        <v>#N/A</v>
      </c>
      <c r="AG86" s="769" t="e" cm="1">
        <f t="array" ref="AG86">INDEX(W86:AF86,ROWS($1:4))</f>
        <v>#N/A</v>
      </c>
    </row>
    <row r="87" spans="2:33">
      <c r="B87" t="s">
        <v>1112</v>
      </c>
      <c r="E87" t="s">
        <v>1024</v>
      </c>
      <c r="F87" t="s">
        <v>1055</v>
      </c>
      <c r="G87" s="735">
        <f>Propriété_air!$Q$45/G82</f>
        <v>1.2919409387712206</v>
      </c>
      <c r="H87" s="735">
        <f>Propriété_air!$Q$45/H82</f>
        <v>1.1045314995532269</v>
      </c>
      <c r="I87" s="735">
        <f>Propriété_air!$Q$45/I82</f>
        <v>1.1045357849898447</v>
      </c>
      <c r="J87" s="735">
        <f>Propriété_air!$Q$45/J82</f>
        <v>1.1045357848455006</v>
      </c>
      <c r="K87" s="735">
        <f>Propriété_air!$Q$45/K82</f>
        <v>1.1045357848455055</v>
      </c>
      <c r="N87" s="836"/>
      <c r="O87" s="22"/>
      <c r="P87" s="22"/>
      <c r="Q87" s="22"/>
      <c r="R87" s="840" t="e">
        <f>VLOOKUP(N87,Isolation!B82:R91,9)</f>
        <v>#N/A</v>
      </c>
      <c r="S87" s="22" t="str">
        <f t="shared" si="33"/>
        <v/>
      </c>
      <c r="U87" s="2294"/>
      <c r="V87" s="821" t="e">
        <f t="shared" si="34"/>
        <v>#N/A</v>
      </c>
      <c r="W87" t="e">
        <v>#N/A</v>
      </c>
      <c r="X87" t="e">
        <v>#N/A</v>
      </c>
      <c r="Y87" t="e">
        <v>#N/A</v>
      </c>
      <c r="Z87" t="e">
        <v>#N/A</v>
      </c>
      <c r="AA87" s="454" t="e">
        <v>#N/A</v>
      </c>
      <c r="AB87" t="e">
        <v>#N/A</v>
      </c>
      <c r="AC87" t="e">
        <v>#N/A</v>
      </c>
      <c r="AD87" t="e">
        <v>#N/A</v>
      </c>
      <c r="AE87" t="e">
        <v>#N/A</v>
      </c>
      <c r="AF87" t="e">
        <v>#N/A</v>
      </c>
      <c r="AG87" s="769" t="e" cm="1">
        <f t="array" ref="AG87">INDEX(W87:AF87,ROWS($1:5))</f>
        <v>#N/A</v>
      </c>
    </row>
    <row r="88" spans="2:33">
      <c r="B88" t="s">
        <v>1025</v>
      </c>
      <c r="E88" t="s">
        <v>1026</v>
      </c>
      <c r="F88" t="s">
        <v>1059</v>
      </c>
      <c r="G88" s="736">
        <f>(Propriété_air!$Q$16*G82^4+Propriété_air!$R$16*G82^3+Propriété_air!$S$16*G82^2+Propriété_air!$T$16*G82+Propriété_air!$U$16)/10^6</f>
        <v>1.3465276468804519E-5</v>
      </c>
      <c r="H88" s="736">
        <f>(Propriété_air!$Q$16*H82^4+Propriété_air!$R$16*H82^3+Propriété_air!$S$16*H82^2+Propriété_air!$T$16*H82+Propriété_air!$U$16)/10^6</f>
        <v>1.7795052498367298E-5</v>
      </c>
      <c r="I88" s="736">
        <f>(Propriété_air!$Q$16*I82^4+Propriété_air!$R$16*I82^3+Propriété_air!$S$16*I82^2+Propriété_air!$T$16*I82+Propriété_air!$U$16)/10^6</f>
        <v>1.7794930408882726E-5</v>
      </c>
      <c r="J88" s="736">
        <f>(Propriété_air!$Q$16*J82^4+Propriété_air!$R$16*J82^3+Propriété_air!$S$16*J82^2+Propriété_air!$T$16*J82+Propriété_air!$U$16)/10^6</f>
        <v>1.7794930412994983E-5</v>
      </c>
      <c r="K88" s="736">
        <f>(Propriété_air!$Q$16*K82^4+Propriété_air!$R$16*K82^3+Propriété_air!$S$16*K82^2+Propriété_air!$T$16*K82+Propriété_air!$U$16)/10^6</f>
        <v>1.779493041299484E-5</v>
      </c>
      <c r="N88" s="836"/>
      <c r="O88" s="22"/>
      <c r="P88" s="22"/>
      <c r="Q88" s="22"/>
      <c r="R88" s="840" t="e">
        <f>VLOOKUP(N88,Isolation!B83:R92,9)</f>
        <v>#N/A</v>
      </c>
      <c r="S88" s="22" t="str">
        <f t="shared" si="33"/>
        <v/>
      </c>
      <c r="U88" s="2294"/>
      <c r="V88" s="821" t="e">
        <f t="shared" si="34"/>
        <v>#N/A</v>
      </c>
      <c r="W88" t="e">
        <v>#N/A</v>
      </c>
      <c r="X88" t="e">
        <v>#N/A</v>
      </c>
      <c r="Y88" t="e">
        <v>#N/A</v>
      </c>
      <c r="Z88" t="e">
        <v>#N/A</v>
      </c>
      <c r="AA88" t="e">
        <v>#N/A</v>
      </c>
      <c r="AB88" s="454" t="e">
        <v>#N/A</v>
      </c>
      <c r="AC88" t="e">
        <v>#N/A</v>
      </c>
      <c r="AD88" t="e">
        <v>#N/A</v>
      </c>
      <c r="AE88" t="e">
        <v>#N/A</v>
      </c>
      <c r="AF88" t="e">
        <v>#N/A</v>
      </c>
      <c r="AG88" s="769" t="e" cm="1">
        <f t="array" ref="AG88">INDEX(W88:AF88,ROWS($1:6))</f>
        <v>#N/A</v>
      </c>
    </row>
    <row r="89" spans="2:33">
      <c r="B89" t="s">
        <v>1113</v>
      </c>
      <c r="E89" t="s">
        <v>1028</v>
      </c>
      <c r="F89" t="s">
        <v>1029</v>
      </c>
      <c r="G89" s="160">
        <f>Propriété_air!$Q$4*G82^4+Propriété_air!$R$4*G82^3+Propriété_air!$S$4*G82^2+Propriété_air!$T$4*G82+Propriété_air!$U$4</f>
        <v>1.0045447581006435</v>
      </c>
      <c r="H89" s="160">
        <f>Propriété_air!$Q$4*H82^4+Propriété_air!$R$4*H82^3+Propriété_air!$S$4*H82^2+Propriété_air!$T$4*H82+Propriété_air!$U$4</f>
        <v>1.0058621572248554</v>
      </c>
      <c r="I89" s="160">
        <f>Propriété_air!$Q$4*I82^4+Propriété_air!$R$4*I82^3+Propriété_air!$S$4*I82^2+Propriété_air!$T$4*I82+Propriété_air!$U$4</f>
        <v>1.005862087676243</v>
      </c>
      <c r="J89" s="160">
        <f>Propriété_air!$Q$4*J82^4+Propriété_air!$R$4*J82^3+Propriété_air!$S$4*J82^2+Propriété_air!$T$4*J82+Propriété_air!$U$4</f>
        <v>1.0058620876785855</v>
      </c>
      <c r="K89" s="160">
        <f>Propriété_air!$Q$4*K82^4+Propriété_air!$R$4*K82^3+Propriété_air!$S$4*K82^2+Propriété_air!$T$4*K82+Propriété_air!$U$4</f>
        <v>1.0058620876785853</v>
      </c>
      <c r="M89" s="736"/>
      <c r="N89" s="836"/>
      <c r="O89" s="22"/>
      <c r="P89" s="22"/>
      <c r="Q89" s="22"/>
      <c r="R89" s="840" t="e">
        <f>VLOOKUP(N89,Isolation!B84:R93,9)</f>
        <v>#N/A</v>
      </c>
      <c r="S89" s="22" t="str">
        <f t="shared" si="33"/>
        <v/>
      </c>
      <c r="U89" s="2294"/>
      <c r="V89" s="821" t="e">
        <f t="shared" si="34"/>
        <v>#N/A</v>
      </c>
      <c r="W89" t="e">
        <v>#N/A</v>
      </c>
      <c r="X89" t="e">
        <v>#N/A</v>
      </c>
      <c r="Y89" t="e">
        <v>#N/A</v>
      </c>
      <c r="Z89" t="e">
        <v>#N/A</v>
      </c>
      <c r="AA89" t="e">
        <v>#N/A</v>
      </c>
      <c r="AB89" t="e">
        <v>#N/A</v>
      </c>
      <c r="AC89" s="454" t="e">
        <v>#N/A</v>
      </c>
      <c r="AD89" t="e">
        <v>#N/A</v>
      </c>
      <c r="AE89" t="e">
        <v>#N/A</v>
      </c>
      <c r="AF89" t="e">
        <v>#N/A</v>
      </c>
      <c r="AG89" s="769" t="e" cm="1">
        <f t="array" ref="AG89">INDEX(W89:AF89,ROWS($1:7))</f>
        <v>#N/A</v>
      </c>
    </row>
    <row r="90" spans="2:33">
      <c r="B90" t="s">
        <v>1030</v>
      </c>
      <c r="E90" t="s">
        <v>1031</v>
      </c>
      <c r="F90" t="s">
        <v>1059</v>
      </c>
      <c r="G90" s="736">
        <f>(Propriété_air!$Q$28*G82^4+Propriété_air!$R$28*G82^3+Propriété_air!$S$28*G82^2+Propriété_air!$T$28*G82+Propriété_air!$U$28)/10^6</f>
        <v>1.8760963114524117E-5</v>
      </c>
      <c r="H90" s="736">
        <f>(Propriété_air!$Q$28*H82^4+Propriété_air!$R$28*H82^3+Propriété_air!$S$28*H82^2+Propriété_air!$T$28*H82+Propriété_air!$U$28)/10^6</f>
        <v>2.5364609500313768E-5</v>
      </c>
      <c r="I90" s="736">
        <f>(Propriété_air!$Q$28*I82^4+Propriété_air!$R$28*I82^3+Propriété_air!$S$28*I82^2+Propriété_air!$T$28*I82+Propriété_air!$U$28)/10^6</f>
        <v>2.5364422841235052E-5</v>
      </c>
      <c r="J90" s="736">
        <f>(Propriété_air!$Q$28*J82^4+Propriété_air!$R$28*J82^3+Propriété_air!$S$28*J82^2+Propriété_air!$T$28*J82+Propriété_air!$U$28)/10^6</f>
        <v>2.5364422847522154E-5</v>
      </c>
      <c r="K90" s="736">
        <f>(Propriété_air!$Q$28*K82^4+Propriété_air!$R$28*K82^3+Propriété_air!$S$28*K82^2+Propriété_air!$T$28*K82+Propriété_air!$U$28)/10^6</f>
        <v>2.536442284752194E-5</v>
      </c>
      <c r="N90" s="836"/>
      <c r="O90" s="22"/>
      <c r="P90" s="22"/>
      <c r="Q90" s="22"/>
      <c r="R90" s="840" t="e">
        <f>VLOOKUP(N90,Isolation!B85:R94,9)</f>
        <v>#N/A</v>
      </c>
      <c r="S90" s="22" t="str">
        <f t="shared" si="33"/>
        <v/>
      </c>
      <c r="U90" s="2294"/>
      <c r="V90" s="821" t="e">
        <f t="shared" si="34"/>
        <v>#N/A</v>
      </c>
      <c r="W90" t="e">
        <v>#N/A</v>
      </c>
      <c r="X90" t="e">
        <v>#N/A</v>
      </c>
      <c r="Y90" t="e">
        <v>#N/A</v>
      </c>
      <c r="Z90" t="e">
        <v>#N/A</v>
      </c>
      <c r="AA90" t="e">
        <v>#N/A</v>
      </c>
      <c r="AB90" t="e">
        <v>#N/A</v>
      </c>
      <c r="AC90" t="e">
        <v>#N/A</v>
      </c>
      <c r="AD90" s="454" t="e">
        <v>#N/A</v>
      </c>
      <c r="AE90" t="e">
        <v>#N/A</v>
      </c>
      <c r="AF90" t="e">
        <v>#N/A</v>
      </c>
      <c r="AG90" s="769" t="e" cm="1">
        <f t="array" ref="AG90">INDEX(W90:AF90,ROWS($1:8))</f>
        <v>#N/A</v>
      </c>
    </row>
    <row r="91" spans="2:33">
      <c r="B91" t="s">
        <v>1032</v>
      </c>
      <c r="E91" t="s">
        <v>1033</v>
      </c>
      <c r="G91" s="743">
        <f>($E$9/1000)*$E$12/G88</f>
        <v>14757.163023006384</v>
      </c>
      <c r="H91" s="743">
        <f t="shared" ref="H91:K91" si="36">($E$9/1000)*$E$12/H88</f>
        <v>11166.546432961164</v>
      </c>
      <c r="I91" s="743">
        <f t="shared" si="36"/>
        <v>11166.623045674287</v>
      </c>
      <c r="J91" s="743">
        <f t="shared" si="36"/>
        <v>11166.623043093776</v>
      </c>
      <c r="K91" s="743">
        <f t="shared" si="36"/>
        <v>11166.623043093865</v>
      </c>
      <c r="N91" s="836"/>
      <c r="O91" s="22"/>
      <c r="P91" s="22"/>
      <c r="Q91" s="22"/>
      <c r="R91" s="840" t="e">
        <f>VLOOKUP(N91,Isolation!B86:R95,9)</f>
        <v>#N/A</v>
      </c>
      <c r="S91" s="22" t="str">
        <f t="shared" si="33"/>
        <v/>
      </c>
      <c r="U91" s="2294"/>
      <c r="V91" s="821" t="e">
        <f t="shared" si="34"/>
        <v>#N/A</v>
      </c>
      <c r="W91" t="e">
        <v>#N/A</v>
      </c>
      <c r="X91" t="e">
        <v>#N/A</v>
      </c>
      <c r="Y91" t="e">
        <v>#N/A</v>
      </c>
      <c r="Z91" t="e">
        <v>#N/A</v>
      </c>
      <c r="AA91" t="e">
        <v>#N/A</v>
      </c>
      <c r="AB91" t="e">
        <v>#N/A</v>
      </c>
      <c r="AC91" t="e">
        <v>#N/A</v>
      </c>
      <c r="AD91" t="e">
        <v>#N/A</v>
      </c>
      <c r="AE91" s="454" t="e">
        <v>#N/A</v>
      </c>
      <c r="AF91" t="e">
        <v>#N/A</v>
      </c>
      <c r="AG91" s="769" t="e" cm="1">
        <f t="array" ref="AG91">INDEX(W91:AF91,ROWS($1:9))</f>
        <v>#N/A</v>
      </c>
    </row>
    <row r="92" spans="2:33" ht="15.75" thickBot="1">
      <c r="B92" t="s">
        <v>1034</v>
      </c>
      <c r="E92" t="s">
        <v>1035</v>
      </c>
      <c r="G92" s="743">
        <f>9.81*G86*ABS(G78-$E$11)*($E$9/1000)^3/(G88*G90)</f>
        <v>99854.219439561304</v>
      </c>
      <c r="H92" s="743">
        <f t="shared" ref="H92:K92" si="37">9.81*H86*ABS(H78-$E$11)*($E$9/1000)^3/(H88*H90)</f>
        <v>4478003.3151641721</v>
      </c>
      <c r="I92" s="743">
        <f t="shared" si="37"/>
        <v>4477965.8719386803</v>
      </c>
      <c r="J92" s="743">
        <f t="shared" si="37"/>
        <v>4477965.8731999006</v>
      </c>
      <c r="K92" s="743">
        <f t="shared" si="37"/>
        <v>4477965.8731998606</v>
      </c>
      <c r="U92" s="2294"/>
      <c r="V92" s="821" t="e">
        <f t="shared" si="34"/>
        <v>#N/A</v>
      </c>
      <c r="W92" t="e">
        <v>#N/A</v>
      </c>
      <c r="X92" t="e">
        <v>#N/A</v>
      </c>
      <c r="Y92" t="e">
        <v>#N/A</v>
      </c>
      <c r="Z92" t="e">
        <v>#N/A</v>
      </c>
      <c r="AA92" t="e">
        <v>#N/A</v>
      </c>
      <c r="AB92" t="e">
        <v>#N/A</v>
      </c>
      <c r="AC92" t="e">
        <v>#N/A</v>
      </c>
      <c r="AD92" t="e">
        <v>#N/A</v>
      </c>
      <c r="AE92" t="e">
        <v>#N/A</v>
      </c>
      <c r="AF92" s="454" t="e">
        <v>#N/A</v>
      </c>
      <c r="AG92" s="839" t="e" cm="1">
        <f t="array" ref="AG92">INDEX(W92:AF92,ROWS($1:10))</f>
        <v>#N/A</v>
      </c>
    </row>
    <row r="94" spans="2:33">
      <c r="B94" s="4" t="s">
        <v>1130</v>
      </c>
      <c r="N94" s="2295" t="s">
        <v>2006</v>
      </c>
      <c r="O94" s="2295"/>
      <c r="P94" s="2295"/>
      <c r="Q94" s="2295"/>
      <c r="R94" s="2295"/>
      <c r="S94" s="2295"/>
      <c r="T94" s="2295"/>
      <c r="U94" s="2295"/>
      <c r="V94" s="2295"/>
      <c r="W94" s="2295"/>
      <c r="X94" s="2295"/>
      <c r="Y94" s="2295"/>
      <c r="Z94" s="2295"/>
      <c r="AA94" s="2295"/>
      <c r="AB94" s="2295"/>
      <c r="AC94" s="2295"/>
      <c r="AD94" s="2295"/>
      <c r="AE94" s="2295"/>
      <c r="AF94" s="2295"/>
      <c r="AG94" s="2295"/>
    </row>
    <row r="95" spans="2:33">
      <c r="B95" t="s">
        <v>1036</v>
      </c>
      <c r="E95" t="s">
        <v>1037</v>
      </c>
      <c r="F95" t="s">
        <v>1060</v>
      </c>
      <c r="G95" s="160">
        <f>'Facteurs conversion'!$C$30*$G$79*((G78+273.15)^4-($E$11+273.15)^4)/((G78+273.15)-($E$11+273.15))</f>
        <v>3.7014813335458348</v>
      </c>
      <c r="H95" s="160">
        <f>'Facteurs conversion'!$C$30*$G$79*((H78+273.15)^4-($E$11+273.15)^4)/((H78+273.15)-($E$11+273.15))</f>
        <v>6.0507004544369183</v>
      </c>
      <c r="I95" s="160">
        <f>'Facteurs conversion'!$C$30*$G$79*((I78+273.15)^4-($E$11+273.15)^4)/((I78+273.15)-($E$11+273.15))</f>
        <v>6.0506242761039797</v>
      </c>
      <c r="J95" s="160">
        <f>'Facteurs conversion'!$C$30*$G$79*((J78+273.15)^4-($E$11+273.15)^4)/((J78+273.15)-($E$11+273.15))</f>
        <v>6.0506242786698348</v>
      </c>
      <c r="K95" s="160">
        <f>'Facteurs conversion'!$C$30*$G$79*((K78+273.15)^4-($E$11+273.15)^4)/((K78+273.15)-($E$11+273.15))</f>
        <v>6.0506242786697504</v>
      </c>
      <c r="N95" s="2296" t="s">
        <v>1136</v>
      </c>
      <c r="O95" s="842" t="s">
        <v>1157</v>
      </c>
      <c r="P95" s="842" t="s">
        <v>1138</v>
      </c>
      <c r="Q95" s="2297" t="s">
        <v>1148</v>
      </c>
      <c r="R95" s="842" t="s">
        <v>1203</v>
      </c>
      <c r="S95" s="842" t="s">
        <v>1135</v>
      </c>
      <c r="W95" s="2299" t="s">
        <v>1194</v>
      </c>
      <c r="X95" s="2299"/>
      <c r="Y95" s="2299"/>
      <c r="Z95" s="2299"/>
      <c r="AA95" s="2299"/>
      <c r="AB95" s="2299"/>
      <c r="AC95" s="2299"/>
      <c r="AD95" s="2299"/>
      <c r="AE95" s="2299"/>
      <c r="AF95" s="2299"/>
    </row>
    <row r="96" spans="2:33">
      <c r="B96" t="s">
        <v>1038</v>
      </c>
      <c r="N96" s="2296"/>
      <c r="O96" s="843" t="s">
        <v>1141</v>
      </c>
      <c r="P96" s="843" t="s">
        <v>1142</v>
      </c>
      <c r="Q96" s="2298"/>
      <c r="R96" s="844" t="s">
        <v>1158</v>
      </c>
      <c r="S96" s="843" t="s">
        <v>1212</v>
      </c>
      <c r="W96" s="2300" t="s">
        <v>985</v>
      </c>
      <c r="X96" s="2300"/>
      <c r="Y96" s="2300"/>
      <c r="Z96" s="2300"/>
      <c r="AA96" s="2300"/>
      <c r="AB96" s="2300"/>
      <c r="AC96" s="2300"/>
      <c r="AD96" s="2300"/>
      <c r="AE96" s="2300"/>
      <c r="AF96" s="2300"/>
      <c r="AG96" s="2301" t="s">
        <v>1156</v>
      </c>
    </row>
    <row r="97" spans="2:33" ht="15.75" thickBot="1">
      <c r="B97" t="s">
        <v>1115</v>
      </c>
      <c r="E97" t="s">
        <v>1039</v>
      </c>
      <c r="G97" s="733">
        <f>0.3+(0.62*G91^0.5*G85^(1/3))*(1+(G91/282000)^(5/8))^(4/5)/(1 + (0.4/G85)^(2/3))^(1/4)</f>
        <v>66.814246114010885</v>
      </c>
      <c r="H97" s="733">
        <f>0.3+(0.62*H91^0.5*H85^(1/3))*(1+(H91/282000)^(5/8))^(4/5)/(1 + (0.4/H85)^(2/3))^(1/4)</f>
        <v>56.779627509559639</v>
      </c>
      <c r="I97" s="733">
        <f t="shared" ref="I97:K97" si="38">0.3+(0.62*I91^0.5*I85^(1/3))*(1+(I91/282000)^(5/8))^(4/5)/(1 + (0.4/I85)^(2/3))^(1/4)</f>
        <v>56.779852599636705</v>
      </c>
      <c r="J97" s="733">
        <f t="shared" si="38"/>
        <v>56.779852592055107</v>
      </c>
      <c r="K97" s="733">
        <f t="shared" si="38"/>
        <v>56.779852592055363</v>
      </c>
      <c r="N97" s="836" t="e" cm="1" vm="2">
        <f t="array" ref="N97">_xlfn._xlws.FILTER(Isolation!B92:E101,Isolation!E92:E101=P6&amp;"_"&amp;P7)</f>
        <v>#VALUE!</v>
      </c>
      <c r="O97" s="22"/>
      <c r="P97" s="22"/>
      <c r="Q97" s="22"/>
      <c r="R97" s="840" t="e" vm="1">
        <f>VLOOKUP(N97,Isolation!B92:R101,9)</f>
        <v>#VALUE!</v>
      </c>
      <c r="S97" s="22" t="e" vm="1">
        <f>IF(N97="","",AG98)</f>
        <v>#VALUE!</v>
      </c>
      <c r="V97" s="774">
        <f>$E$30</f>
        <v>584.50050366487062</v>
      </c>
      <c r="W97" s="818" cm="1">
        <f t="array" ref="W97:AF97">TRANSPOSE(P97:P106)</f>
        <v>0</v>
      </c>
      <c r="X97" s="818">
        <v>0</v>
      </c>
      <c r="Y97" s="818">
        <v>0</v>
      </c>
      <c r="Z97" s="818">
        <v>0</v>
      </c>
      <c r="AA97" s="818">
        <v>0</v>
      </c>
      <c r="AB97" s="818">
        <v>0</v>
      </c>
      <c r="AC97" s="818">
        <v>0</v>
      </c>
      <c r="AD97" s="818">
        <v>0</v>
      </c>
      <c r="AE97" s="818">
        <v>0</v>
      </c>
      <c r="AF97" s="818">
        <v>0</v>
      </c>
      <c r="AG97" s="2301"/>
    </row>
    <row r="98" spans="2:33">
      <c r="E98" t="s">
        <v>1040</v>
      </c>
      <c r="F98" t="s">
        <v>1060</v>
      </c>
      <c r="G98" s="160">
        <f>G97*G83/($E$9/1000)</f>
        <v>18.125562797269833</v>
      </c>
      <c r="H98" s="160">
        <f t="shared" ref="H98:K98" si="39">H97*H83/($E$9/1000)</f>
        <v>17.752059905949153</v>
      </c>
      <c r="I98" s="160">
        <f t="shared" si="39"/>
        <v>17.752068621609546</v>
      </c>
      <c r="J98" s="160">
        <f t="shared" si="39"/>
        <v>17.752068621315981</v>
      </c>
      <c r="K98" s="160">
        <f t="shared" si="39"/>
        <v>17.752068621315988</v>
      </c>
      <c r="N98" s="836"/>
      <c r="O98" s="22"/>
      <c r="P98" s="22"/>
      <c r="Q98" s="22"/>
      <c r="R98" s="840" t="e">
        <f>VLOOKUP(N98,Isolation!B93:R102,9)</f>
        <v>#N/A</v>
      </c>
      <c r="S98" s="22" t="str">
        <f t="shared" ref="S98:S103" si="40">IF(N98="","",AG99)</f>
        <v/>
      </c>
      <c r="U98" s="2294" t="s">
        <v>1204</v>
      </c>
      <c r="V98" s="821" t="e" vm="1">
        <f>R97</f>
        <v>#VALUE!</v>
      </c>
      <c r="W98" s="454"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838" t="e" cm="1" vm="1">
        <f t="array" ref="AG98">INDEX(W98:AF98,ROWS($1:1))</f>
        <v>#VALUE!</v>
      </c>
    </row>
    <row r="99" spans="2:33">
      <c r="B99" t="s">
        <v>1041</v>
      </c>
      <c r="E99" t="s">
        <v>1042</v>
      </c>
      <c r="G99" s="160">
        <f>(0.6 + 0.387*G92^(1/6)/( 1 +(0.559/G85)^(9/16))^(8/27))^2</f>
        <v>7.7802985443472386</v>
      </c>
      <c r="H99" s="160">
        <f t="shared" ref="H99:K99" si="41">(0.6 + 0.387*H92^(1/6)/( 1 +(0.559/H85)^(9/16))^(8/27))^2</f>
        <v>22.292148822722243</v>
      </c>
      <c r="I99" s="160">
        <f t="shared" si="41"/>
        <v>22.292095738804672</v>
      </c>
      <c r="J99" s="160">
        <f t="shared" si="41"/>
        <v>22.292095740592725</v>
      </c>
      <c r="K99" s="160">
        <f t="shared" si="41"/>
        <v>22.292095740592675</v>
      </c>
      <c r="N99" s="836"/>
      <c r="O99" s="22"/>
      <c r="P99" s="22"/>
      <c r="Q99" s="22"/>
      <c r="R99" s="840" t="e">
        <f>VLOOKUP(N99,Isolation!B94:R103,9)</f>
        <v>#N/A</v>
      </c>
      <c r="S99" s="22" t="str">
        <f t="shared" si="40"/>
        <v/>
      </c>
      <c r="U99" s="2294"/>
      <c r="V99" s="821" t="e">
        <f t="shared" ref="V99:V107" si="42">R98</f>
        <v>#N/A</v>
      </c>
      <c r="W99" t="e">
        <v>#N/A</v>
      </c>
      <c r="X99" s="454" t="e">
        <v>#N/A</v>
      </c>
      <c r="Y99" t="e">
        <v>#N/A</v>
      </c>
      <c r="Z99" t="e">
        <v>#N/A</v>
      </c>
      <c r="AA99" t="e">
        <v>#N/A</v>
      </c>
      <c r="AB99" t="e">
        <v>#N/A</v>
      </c>
      <c r="AC99" t="e">
        <v>#N/A</v>
      </c>
      <c r="AD99" t="e">
        <v>#N/A</v>
      </c>
      <c r="AE99" t="e">
        <v>#N/A</v>
      </c>
      <c r="AF99" t="e">
        <v>#N/A</v>
      </c>
      <c r="AG99" s="769" t="e" cm="1">
        <f t="array" ref="AG99">INDEX(W99:AF99,ROWS($1:2))</f>
        <v>#N/A</v>
      </c>
    </row>
    <row r="100" spans="2:33">
      <c r="E100" t="s">
        <v>1043</v>
      </c>
      <c r="F100" t="s">
        <v>1060</v>
      </c>
      <c r="G100" s="160">
        <f>G99*G83/($E$9/1000)</f>
        <v>2.1106619927497876</v>
      </c>
      <c r="H100" s="160">
        <f t="shared" ref="H100:K100" si="43">H99*H83/($E$9/1000)</f>
        <v>6.9696047454110586</v>
      </c>
      <c r="I100" s="160">
        <f t="shared" si="43"/>
        <v>6.9695639413703283</v>
      </c>
      <c r="J100" s="160">
        <f t="shared" si="43"/>
        <v>6.9695639427447222</v>
      </c>
      <c r="K100" s="160">
        <f t="shared" si="43"/>
        <v>6.9695639427446787</v>
      </c>
      <c r="N100" s="836"/>
      <c r="O100" s="22"/>
      <c r="P100" s="22"/>
      <c r="Q100" s="22"/>
      <c r="R100" s="840" t="e">
        <f>VLOOKUP(N100,Isolation!B95:R104,9)</f>
        <v>#N/A</v>
      </c>
      <c r="S100" s="22" t="str">
        <f t="shared" si="40"/>
        <v/>
      </c>
      <c r="U100" s="2294"/>
      <c r="V100" s="821" t="e">
        <f t="shared" si="42"/>
        <v>#N/A</v>
      </c>
      <c r="W100" t="e">
        <v>#N/A</v>
      </c>
      <c r="X100" t="e">
        <v>#N/A</v>
      </c>
      <c r="Y100" s="454" t="e">
        <v>#N/A</v>
      </c>
      <c r="Z100" t="e">
        <v>#N/A</v>
      </c>
      <c r="AA100" t="e">
        <v>#N/A</v>
      </c>
      <c r="AB100" t="e">
        <v>#N/A</v>
      </c>
      <c r="AC100" t="e">
        <v>#N/A</v>
      </c>
      <c r="AD100" t="e">
        <v>#N/A</v>
      </c>
      <c r="AE100" t="e">
        <v>#N/A</v>
      </c>
      <c r="AF100" t="e">
        <v>#N/A</v>
      </c>
      <c r="AG100" s="769" t="e" cm="1">
        <f t="array" ref="AG100">INDEX(W100:AF100,ROWS($1:3))</f>
        <v>#N/A</v>
      </c>
    </row>
    <row r="101" spans="2:33">
      <c r="B101" t="s">
        <v>1116</v>
      </c>
      <c r="E101" t="s">
        <v>1044</v>
      </c>
      <c r="G101" s="733">
        <f>(G97^4+G99^4)^(1/4)</f>
        <v>66.817317171146172</v>
      </c>
      <c r="H101" s="733">
        <f t="shared" ref="H101:K101" si="44">(H97^4+H99^4)^(1/4)</f>
        <v>57.113927635768214</v>
      </c>
      <c r="I101" s="733">
        <f t="shared" si="44"/>
        <v>57.114145640106301</v>
      </c>
      <c r="J101" s="733">
        <f t="shared" si="44"/>
        <v>57.114145632763339</v>
      </c>
      <c r="K101" s="733">
        <f t="shared" si="44"/>
        <v>57.114145632763588</v>
      </c>
      <c r="N101" s="836"/>
      <c r="O101" s="22"/>
      <c r="P101" s="22"/>
      <c r="Q101" s="22"/>
      <c r="R101" s="840" t="e">
        <f>VLOOKUP(N101,Isolation!B96:R105,9)</f>
        <v>#N/A</v>
      </c>
      <c r="S101" s="22" t="str">
        <f t="shared" si="40"/>
        <v/>
      </c>
      <c r="U101" s="2294"/>
      <c r="V101" s="821" t="e">
        <f t="shared" si="42"/>
        <v>#N/A</v>
      </c>
      <c r="W101" t="e">
        <v>#N/A</v>
      </c>
      <c r="X101" t="e">
        <v>#N/A</v>
      </c>
      <c r="Y101" t="e">
        <v>#N/A</v>
      </c>
      <c r="Z101" s="454" t="e">
        <v>#N/A</v>
      </c>
      <c r="AA101" t="e">
        <v>#N/A</v>
      </c>
      <c r="AB101" t="e">
        <v>#N/A</v>
      </c>
      <c r="AC101" t="e">
        <v>#N/A</v>
      </c>
      <c r="AD101" t="e">
        <v>#N/A</v>
      </c>
      <c r="AE101" t="e">
        <v>#N/A</v>
      </c>
      <c r="AF101" t="e">
        <v>#N/A</v>
      </c>
      <c r="AG101" s="769" t="e" cm="1">
        <f t="array" ref="AG101">INDEX(W101:AF101,ROWS($1:4))</f>
        <v>#N/A</v>
      </c>
    </row>
    <row r="102" spans="2:33">
      <c r="E102" t="s">
        <v>1045</v>
      </c>
      <c r="F102" t="s">
        <v>1060</v>
      </c>
      <c r="G102" s="160">
        <f>G101*G83/($E$9/1000)</f>
        <v>18.126395922571653</v>
      </c>
      <c r="H102" s="160">
        <f t="shared" ref="H102:K102" si="45">H101*H83/($E$9/1000)</f>
        <v>17.856578306779131</v>
      </c>
      <c r="I102" s="160">
        <f t="shared" si="45"/>
        <v>17.856584444078955</v>
      </c>
      <c r="J102" s="160">
        <f t="shared" si="45"/>
        <v>17.856584443872226</v>
      </c>
      <c r="K102" s="160">
        <f t="shared" si="45"/>
        <v>17.856584443872229</v>
      </c>
      <c r="N102" s="836"/>
      <c r="O102" s="22"/>
      <c r="P102" s="22"/>
      <c r="Q102" s="22"/>
      <c r="R102" s="840" t="e">
        <f>VLOOKUP(N102,Isolation!B97:R106,9)</f>
        <v>#N/A</v>
      </c>
      <c r="S102" s="22" t="str">
        <f t="shared" si="40"/>
        <v/>
      </c>
      <c r="U102" s="2294"/>
      <c r="V102" s="821" t="e">
        <f t="shared" si="42"/>
        <v>#N/A</v>
      </c>
      <c r="W102" t="e">
        <v>#N/A</v>
      </c>
      <c r="X102" t="e">
        <v>#N/A</v>
      </c>
      <c r="Y102" t="e">
        <v>#N/A</v>
      </c>
      <c r="Z102" t="e">
        <v>#N/A</v>
      </c>
      <c r="AA102" s="454" t="e">
        <v>#N/A</v>
      </c>
      <c r="AB102" t="e">
        <v>#N/A</v>
      </c>
      <c r="AC102" t="e">
        <v>#N/A</v>
      </c>
      <c r="AD102" t="e">
        <v>#N/A</v>
      </c>
      <c r="AE102" t="e">
        <v>#N/A</v>
      </c>
      <c r="AF102" t="e">
        <v>#N/A</v>
      </c>
      <c r="AG102" s="769" t="e" cm="1">
        <f t="array" ref="AG102">INDEX(W102:AF102,ROWS($1:5))</f>
        <v>#N/A</v>
      </c>
    </row>
    <row r="103" spans="2:33">
      <c r="B103" t="s">
        <v>1117</v>
      </c>
      <c r="E103" t="s">
        <v>1046</v>
      </c>
      <c r="F103" t="s">
        <v>1060</v>
      </c>
      <c r="G103" s="160">
        <f>G102+G95</f>
        <v>21.827877256117489</v>
      </c>
      <c r="H103" s="160">
        <f t="shared" ref="H103:K103" si="46">H102+H95</f>
        <v>23.907278761216048</v>
      </c>
      <c r="I103" s="160">
        <f t="shared" si="46"/>
        <v>23.907208720182936</v>
      </c>
      <c r="J103" s="160">
        <f t="shared" si="46"/>
        <v>23.907208722542059</v>
      </c>
      <c r="K103" s="160">
        <f t="shared" si="46"/>
        <v>23.907208722541981</v>
      </c>
      <c r="N103" s="836"/>
      <c r="O103" s="22"/>
      <c r="P103" s="22"/>
      <c r="Q103" s="22"/>
      <c r="R103" s="840" t="e">
        <f>VLOOKUP(N103,Isolation!B98:R107,9)</f>
        <v>#N/A</v>
      </c>
      <c r="S103" s="22" t="str">
        <f t="shared" si="40"/>
        <v/>
      </c>
      <c r="U103" s="2294"/>
      <c r="V103" s="821" t="e">
        <f t="shared" si="42"/>
        <v>#N/A</v>
      </c>
      <c r="W103" t="e">
        <v>#N/A</v>
      </c>
      <c r="X103" t="e">
        <v>#N/A</v>
      </c>
      <c r="Y103" t="e">
        <v>#N/A</v>
      </c>
      <c r="Z103" t="e">
        <v>#N/A</v>
      </c>
      <c r="AA103" t="e">
        <v>#N/A</v>
      </c>
      <c r="AB103" s="454" t="e">
        <v>#N/A</v>
      </c>
      <c r="AC103" t="e">
        <v>#N/A</v>
      </c>
      <c r="AD103" t="e">
        <v>#N/A</v>
      </c>
      <c r="AE103" t="e">
        <v>#N/A</v>
      </c>
      <c r="AF103" t="e">
        <v>#N/A</v>
      </c>
      <c r="AG103" s="769" t="e" cm="1">
        <f t="array" ref="AG103">INDEX(W103:AF103,ROWS($1:6))</f>
        <v>#N/A</v>
      </c>
    </row>
    <row r="104" spans="2:33">
      <c r="B104" s="4" t="s">
        <v>1118</v>
      </c>
      <c r="G104" s="160"/>
      <c r="H104" s="160"/>
      <c r="I104" s="160"/>
      <c r="J104" s="160"/>
      <c r="K104" s="160"/>
      <c r="N104" s="836"/>
      <c r="O104" s="22"/>
      <c r="P104" s="22"/>
      <c r="Q104" s="22"/>
      <c r="R104" s="840" t="e">
        <f>VLOOKUP(N104,Isolation!B99:R108,9)</f>
        <v>#N/A</v>
      </c>
      <c r="S104" s="22" t="str">
        <f>IF(N104="","",AG105)</f>
        <v/>
      </c>
      <c r="U104" s="2294"/>
      <c r="V104" s="821" t="e">
        <f t="shared" si="42"/>
        <v>#N/A</v>
      </c>
      <c r="W104" t="e">
        <v>#N/A</v>
      </c>
      <c r="X104" t="e">
        <v>#N/A</v>
      </c>
      <c r="Y104" t="e">
        <v>#N/A</v>
      </c>
      <c r="Z104" t="e">
        <v>#N/A</v>
      </c>
      <c r="AA104" t="e">
        <v>#N/A</v>
      </c>
      <c r="AB104" t="e">
        <v>#N/A</v>
      </c>
      <c r="AC104" s="454" t="e">
        <v>#N/A</v>
      </c>
      <c r="AD104" t="e">
        <v>#N/A</v>
      </c>
      <c r="AE104" t="e">
        <v>#N/A</v>
      </c>
      <c r="AF104" t="e">
        <v>#N/A</v>
      </c>
      <c r="AG104" s="769" t="e" cm="1">
        <f t="array" ref="AG104">INDEX(W104:AF104,ROWS($1:7))</f>
        <v>#N/A</v>
      </c>
    </row>
    <row r="105" spans="2:33">
      <c r="B105" t="s">
        <v>1131</v>
      </c>
      <c r="E105" t="s">
        <v>1047</v>
      </c>
      <c r="F105" t="s">
        <v>1018</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c r="N105" s="836"/>
      <c r="O105" s="22"/>
      <c r="P105" s="22"/>
      <c r="Q105" s="22"/>
      <c r="R105" s="840" t="e">
        <f>VLOOKUP(N105,Isolation!B100:R109,9)</f>
        <v>#N/A</v>
      </c>
      <c r="S105" s="22" t="str">
        <f t="shared" ref="S105:S106" si="47">IF(N105="","",AG106)</f>
        <v/>
      </c>
      <c r="U105" s="2294"/>
      <c r="V105" s="821" t="e">
        <f t="shared" si="42"/>
        <v>#N/A</v>
      </c>
      <c r="W105" t="e">
        <v>#N/A</v>
      </c>
      <c r="X105" t="e">
        <v>#N/A</v>
      </c>
      <c r="Y105" t="e">
        <v>#N/A</v>
      </c>
      <c r="Z105" t="e">
        <v>#N/A</v>
      </c>
      <c r="AA105" t="e">
        <v>#N/A</v>
      </c>
      <c r="AB105" t="e">
        <v>#N/A</v>
      </c>
      <c r="AC105" t="e">
        <v>#N/A</v>
      </c>
      <c r="AD105" s="454" t="e">
        <v>#N/A</v>
      </c>
      <c r="AE105" t="e">
        <v>#N/A</v>
      </c>
      <c r="AF105" t="e">
        <v>#N/A</v>
      </c>
      <c r="AG105" s="769" t="e" cm="1">
        <f t="array" ref="AG105">INDEX(W105:AF105,ROWS($1:8))</f>
        <v>#N/A</v>
      </c>
    </row>
    <row r="106" spans="2:33">
      <c r="B106" t="s">
        <v>1119</v>
      </c>
      <c r="E106" t="s">
        <v>1048</v>
      </c>
      <c r="F106" t="s">
        <v>1061</v>
      </c>
      <c r="G106" s="741">
        <f>($E$9/1000)*LN($E$9/$E$8)/(2*G105)</f>
        <v>1.2729211346106643E-5</v>
      </c>
      <c r="H106" s="741">
        <f t="shared" ref="H106:K106" si="48">($E$9/1000)*LN($E$9/$E$8)/(2*H105)</f>
        <v>1.2729211346106643E-5</v>
      </c>
      <c r="I106" s="741">
        <f t="shared" si="48"/>
        <v>1.2729211346106643E-5</v>
      </c>
      <c r="J106" s="741">
        <f t="shared" si="48"/>
        <v>1.2729211346106643E-5</v>
      </c>
      <c r="K106" s="741">
        <f t="shared" si="48"/>
        <v>1.2729211346106643E-5</v>
      </c>
      <c r="N106" s="836"/>
      <c r="O106" s="22"/>
      <c r="P106" s="22"/>
      <c r="Q106" s="22"/>
      <c r="R106" s="840" t="e">
        <f>VLOOKUP(N106,Isolation!B101:R110,9)</f>
        <v>#N/A</v>
      </c>
      <c r="S106" s="22" t="str">
        <f t="shared" si="47"/>
        <v/>
      </c>
      <c r="U106" s="2294"/>
      <c r="V106" s="821" t="e">
        <f t="shared" si="42"/>
        <v>#N/A</v>
      </c>
      <c r="W106" t="e">
        <v>#N/A</v>
      </c>
      <c r="X106" t="e">
        <v>#N/A</v>
      </c>
      <c r="Y106" t="e">
        <v>#N/A</v>
      </c>
      <c r="Z106" t="e">
        <v>#N/A</v>
      </c>
      <c r="AA106" t="e">
        <v>#N/A</v>
      </c>
      <c r="AB106" t="e">
        <v>#N/A</v>
      </c>
      <c r="AC106" t="e">
        <v>#N/A</v>
      </c>
      <c r="AD106" t="e">
        <v>#N/A</v>
      </c>
      <c r="AE106" s="454" t="e">
        <v>#N/A</v>
      </c>
      <c r="AF106" t="e">
        <v>#N/A</v>
      </c>
      <c r="AG106" s="769" t="e" cm="1">
        <f t="array" ref="AG106">INDEX(W106:AF106,ROWS($1:9))</f>
        <v>#N/A</v>
      </c>
    </row>
    <row r="107" spans="2:33" ht="15.75" thickBot="1">
      <c r="B107" s="4" t="s">
        <v>1132</v>
      </c>
      <c r="E107" t="s">
        <v>1051</v>
      </c>
      <c r="F107" t="s">
        <v>1061</v>
      </c>
      <c r="G107" s="724">
        <f>G106+1/G103</f>
        <v>4.5825704438689371E-2</v>
      </c>
      <c r="H107" s="724">
        <f t="shared" ref="H107:K107" si="49">H106+1/H103</f>
        <v>4.184099456885159E-2</v>
      </c>
      <c r="I107" s="724">
        <f t="shared" si="49"/>
        <v>4.1841117113267094E-2</v>
      </c>
      <c r="J107" s="724">
        <f t="shared" si="49"/>
        <v>4.1841117109139542E-2</v>
      </c>
      <c r="K107" s="724">
        <f t="shared" si="49"/>
        <v>4.1841117109139681E-2</v>
      </c>
      <c r="U107" s="2294"/>
      <c r="V107" s="821" t="e">
        <f t="shared" si="42"/>
        <v>#N/A</v>
      </c>
      <c r="W107" t="e">
        <v>#N/A</v>
      </c>
      <c r="X107" t="e">
        <v>#N/A</v>
      </c>
      <c r="Y107" t="e">
        <v>#N/A</v>
      </c>
      <c r="Z107" t="e">
        <v>#N/A</v>
      </c>
      <c r="AA107" t="e">
        <v>#N/A</v>
      </c>
      <c r="AB107" t="e">
        <v>#N/A</v>
      </c>
      <c r="AC107" t="e">
        <v>#N/A</v>
      </c>
      <c r="AD107" t="e">
        <v>#N/A</v>
      </c>
      <c r="AE107" t="e">
        <v>#N/A</v>
      </c>
      <c r="AF107" s="454" t="e">
        <v>#N/A</v>
      </c>
      <c r="AG107" s="839" t="e" cm="1">
        <f t="array" ref="AG107">INDEX(W107:AF107,ROWS($1:10))</f>
        <v>#N/A</v>
      </c>
    </row>
    <row r="108" spans="2:33">
      <c r="B108" t="s">
        <v>1123</v>
      </c>
      <c r="E108" t="s">
        <v>1052</v>
      </c>
      <c r="F108" t="s">
        <v>1062</v>
      </c>
      <c r="G108" s="748">
        <f>($E$10-$E$11)/G107</f>
        <v>2045.7431085002706</v>
      </c>
      <c r="H108" s="748">
        <f t="shared" ref="H108:K108" si="50">($E$10-$E$11)/H107</f>
        <v>2240.5686101307256</v>
      </c>
      <c r="I108" s="748">
        <f t="shared" si="50"/>
        <v>2240.5620479452564</v>
      </c>
      <c r="J108" s="748">
        <f t="shared" si="50"/>
        <v>2240.5620481662841</v>
      </c>
      <c r="K108" s="748">
        <f t="shared" si="50"/>
        <v>2240.5620481662768</v>
      </c>
    </row>
    <row r="109" spans="2:33">
      <c r="B109" t="s">
        <v>1133</v>
      </c>
      <c r="E109" t="s">
        <v>1053</v>
      </c>
      <c r="F109" t="s">
        <v>1056</v>
      </c>
      <c r="G109" s="733">
        <f>$E$10 - G108*G106</f>
        <v>93.307292636945391</v>
      </c>
      <c r="H109" s="733">
        <f t="shared" ref="H109:K109" si="51">$E$10 - H108*H106</f>
        <v>93.304812661959517</v>
      </c>
      <c r="I109" s="733">
        <f t="shared" si="51"/>
        <v>93.304812745490963</v>
      </c>
      <c r="J109" s="733">
        <f t="shared" si="51"/>
        <v>93.30481274548815</v>
      </c>
      <c r="K109" s="733">
        <f t="shared" si="51"/>
        <v>93.30481274548815</v>
      </c>
    </row>
    <row r="110" spans="2:33">
      <c r="B110" t="s">
        <v>1125</v>
      </c>
      <c r="F110" t="s">
        <v>1010</v>
      </c>
      <c r="G110" s="160">
        <f>G108*PI()*($E$9/1000)</f>
        <v>571.35065619879981</v>
      </c>
      <c r="H110" s="160">
        <f t="shared" ref="H110:K110" si="52">H108*PI()*($E$9/1000)</f>
        <v>625.76300041655668</v>
      </c>
      <c r="I110" s="160">
        <f t="shared" si="52"/>
        <v>625.76116767961219</v>
      </c>
      <c r="J110" s="160">
        <f t="shared" si="52"/>
        <v>625.76116774134243</v>
      </c>
      <c r="K110" s="160">
        <f t="shared" si="52"/>
        <v>625.7611677413405</v>
      </c>
    </row>
  </sheetData>
  <mergeCells count="44">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 ref="W36:AF36"/>
    <mergeCell ref="AG36:AG37"/>
    <mergeCell ref="B3:Z3"/>
    <mergeCell ref="B7:K7"/>
    <mergeCell ref="B21:K21"/>
    <mergeCell ref="W11:AP11"/>
    <mergeCell ref="U13:U32"/>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 ref="U98:U107"/>
    <mergeCell ref="N94:AG94"/>
    <mergeCell ref="N95:N96"/>
    <mergeCell ref="Q95:Q96"/>
    <mergeCell ref="W95:AF95"/>
    <mergeCell ref="W96:AF96"/>
    <mergeCell ref="AG96:AG9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topLeftCell="A73" workbookViewId="0">
      <selection activeCell="R102" sqref="R102"/>
    </sheetView>
  </sheetViews>
  <sheetFormatPr baseColWidth="10" defaultColWidth="9.140625" defaultRowHeight="15"/>
  <cols>
    <col min="1" max="1" width="4.140625" style="732" customWidth="1"/>
    <col min="2" max="2" width="12.42578125" customWidth="1"/>
    <col min="3" max="3" width="10.5703125" customWidth="1"/>
    <col min="5" max="5" width="13.85546875" bestFit="1" customWidth="1"/>
    <col min="13" max="13" width="9.5703125" bestFit="1" customWidth="1"/>
    <col min="14" max="14" width="11.5703125" bestFit="1" customWidth="1"/>
    <col min="15" max="15" width="11.5703125" customWidth="1"/>
    <col min="16" max="16" width="10.85546875" customWidth="1"/>
    <col min="17" max="17" width="22.85546875" customWidth="1"/>
    <col min="18" max="18" width="11.5703125" customWidth="1"/>
    <col min="21" max="21" width="6.85546875" customWidth="1"/>
    <col min="22" max="22" width="12.42578125" customWidth="1"/>
    <col min="33" max="33" width="10.5703125" bestFit="1" customWidth="1"/>
  </cols>
  <sheetData>
    <row r="1" spans="1:43" ht="36">
      <c r="A1" s="955"/>
      <c r="B1" s="900" t="s">
        <v>1397</v>
      </c>
      <c r="C1" s="724"/>
      <c r="D1" s="724"/>
      <c r="E1" s="724"/>
      <c r="F1" s="724"/>
      <c r="G1" s="724"/>
      <c r="H1" s="724"/>
      <c r="I1" s="214"/>
    </row>
    <row r="2" spans="1:43" ht="15" customHeight="1">
      <c r="A2" s="819"/>
      <c r="B2" s="819"/>
      <c r="C2" s="724"/>
      <c r="D2" s="724"/>
      <c r="E2" s="724"/>
      <c r="F2" s="724"/>
      <c r="G2" s="724"/>
      <c r="H2" s="724"/>
      <c r="I2" s="214"/>
    </row>
    <row r="3" spans="1:43" ht="12.75" customHeight="1">
      <c r="A3" s="725"/>
      <c r="B3" s="2307" t="s">
        <v>1296</v>
      </c>
      <c r="C3" s="2307"/>
      <c r="D3" s="2307"/>
      <c r="E3" s="2307"/>
      <c r="F3" s="2307"/>
      <c r="G3" s="2307"/>
      <c r="H3" s="2307"/>
      <c r="I3" s="2307"/>
      <c r="J3" s="2307"/>
      <c r="K3" s="2307"/>
      <c r="L3" s="2307"/>
      <c r="M3" s="2307"/>
      <c r="N3" s="2307"/>
      <c r="O3" s="2307"/>
      <c r="P3" s="2307"/>
      <c r="Q3" s="2307"/>
      <c r="R3" s="2307"/>
      <c r="S3" s="2307"/>
      <c r="T3" s="2307"/>
      <c r="U3" s="2307"/>
      <c r="V3" s="2307"/>
      <c r="W3" s="2307"/>
      <c r="X3" s="2307"/>
      <c r="Y3" s="2307"/>
      <c r="Z3" s="2307"/>
    </row>
    <row r="4" spans="1:43" ht="12.75" customHeight="1">
      <c r="A4" s="725"/>
      <c r="B4" s="749"/>
      <c r="C4" s="749"/>
      <c r="D4" s="749"/>
      <c r="E4" s="749"/>
      <c r="F4" s="749"/>
      <c r="G4" s="749"/>
      <c r="H4" s="749"/>
      <c r="I4" s="749"/>
      <c r="J4" s="749"/>
      <c r="K4" s="749"/>
      <c r="L4" s="744"/>
    </row>
    <row r="5" spans="1:43" ht="27" customHeight="1" thickBot="1">
      <c r="A5" s="725"/>
      <c r="B5" s="771" t="s">
        <v>1134</v>
      </c>
      <c r="C5" s="770"/>
      <c r="D5" s="770"/>
      <c r="E5" s="770"/>
      <c r="F5" s="770"/>
      <c r="G5" s="770"/>
      <c r="H5" s="770"/>
      <c r="I5" s="770"/>
      <c r="J5" s="770"/>
      <c r="K5" s="770"/>
      <c r="L5" s="744"/>
      <c r="N5" s="820" t="s">
        <v>1144</v>
      </c>
      <c r="O5" s="815"/>
      <c r="P5" s="815"/>
      <c r="Q5" s="815"/>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c r="AQ5" s="658"/>
    </row>
    <row r="6" spans="1:43" ht="12.75" customHeight="1">
      <c r="A6" s="725"/>
      <c r="B6" s="749"/>
      <c r="C6" s="749"/>
      <c r="D6" s="749"/>
      <c r="E6" s="749"/>
      <c r="F6" s="749"/>
      <c r="G6" s="749"/>
      <c r="H6" s="749"/>
      <c r="I6" s="749"/>
      <c r="J6" s="749"/>
      <c r="K6" s="749"/>
      <c r="L6" s="744"/>
      <c r="N6" s="754" t="s">
        <v>1192</v>
      </c>
      <c r="O6" s="755" t="s">
        <v>1146</v>
      </c>
      <c r="P6" s="814" t="s">
        <v>997</v>
      </c>
      <c r="Q6" s="755"/>
      <c r="R6" s="755" t="s">
        <v>1140</v>
      </c>
      <c r="S6" s="756"/>
      <c r="T6" s="773">
        <f>Hypothèses!D229</f>
        <v>2.2351999999999999</v>
      </c>
      <c r="U6" s="758" t="s">
        <v>1007</v>
      </c>
    </row>
    <row r="7" spans="1:43" ht="15.75" thickBot="1">
      <c r="B7" s="2305" t="s">
        <v>1149</v>
      </c>
      <c r="C7" s="2305"/>
      <c r="D7" s="2305"/>
      <c r="E7" s="2305"/>
      <c r="F7" s="2305"/>
      <c r="G7" s="2305"/>
      <c r="H7" s="2305"/>
      <c r="I7" s="2305"/>
      <c r="J7" s="2305"/>
      <c r="K7" s="2305"/>
      <c r="N7" s="759"/>
      <c r="O7" s="760" t="s">
        <v>562</v>
      </c>
      <c r="P7" s="760" t="s">
        <v>561</v>
      </c>
      <c r="Q7" s="760" t="s">
        <v>1464</v>
      </c>
      <c r="R7" s="761" t="s">
        <v>1147</v>
      </c>
      <c r="S7" s="761"/>
      <c r="T7" s="762">
        <f>Hypothèses!D225</f>
        <v>6.8</v>
      </c>
      <c r="U7" s="763" t="s">
        <v>16</v>
      </c>
    </row>
    <row r="8" spans="1:43">
      <c r="B8" t="s">
        <v>1063</v>
      </c>
      <c r="C8" t="s">
        <v>1064</v>
      </c>
      <c r="E8" s="733">
        <f>E9-CONVERT(Hypothèses!D231,"in","mm")</f>
        <v>87.376000000000005</v>
      </c>
      <c r="F8" t="s">
        <v>1006</v>
      </c>
      <c r="N8" s="741"/>
      <c r="O8" s="741"/>
      <c r="P8" s="741"/>
      <c r="Q8" s="741"/>
      <c r="T8" s="160"/>
    </row>
    <row r="9" spans="1:43">
      <c r="C9" t="s">
        <v>1209</v>
      </c>
      <c r="E9" s="767">
        <v>88.9</v>
      </c>
      <c r="F9" t="s">
        <v>1006</v>
      </c>
      <c r="N9" s="2313" t="s">
        <v>1201</v>
      </c>
      <c r="O9" s="2314"/>
      <c r="P9" s="2314"/>
      <c r="Q9" s="2314"/>
      <c r="R9" s="2314"/>
      <c r="S9" s="2315"/>
    </row>
    <row r="10" spans="1:43">
      <c r="B10" t="s">
        <v>1066</v>
      </c>
      <c r="E10" s="767">
        <v>93.333333333333329</v>
      </c>
      <c r="F10" t="s">
        <v>1056</v>
      </c>
      <c r="N10" s="2311" t="s">
        <v>1136</v>
      </c>
      <c r="O10" s="829" t="s">
        <v>1157</v>
      </c>
      <c r="P10" s="829" t="s">
        <v>1138</v>
      </c>
      <c r="Q10" s="2297" t="s">
        <v>1148</v>
      </c>
      <c r="R10" s="842" t="s">
        <v>1203</v>
      </c>
      <c r="S10" s="842" t="s">
        <v>1135</v>
      </c>
      <c r="W10" s="2299" t="s">
        <v>1194</v>
      </c>
      <c r="X10" s="2299"/>
      <c r="Y10" s="2299"/>
      <c r="Z10" s="2299"/>
      <c r="AA10" s="2299"/>
      <c r="AB10" s="2299"/>
      <c r="AC10" s="2299"/>
      <c r="AD10" s="2299"/>
      <c r="AE10" s="2299"/>
      <c r="AF10" s="2299"/>
      <c r="AG10" s="2299"/>
      <c r="AH10" s="2299"/>
      <c r="AI10" s="2299"/>
      <c r="AJ10" s="2299"/>
      <c r="AK10" s="2299"/>
      <c r="AL10" s="2299"/>
      <c r="AM10" s="2299"/>
      <c r="AN10" s="2299"/>
      <c r="AO10" s="2299"/>
      <c r="AP10" s="2299"/>
      <c r="AQ10" s="2299"/>
    </row>
    <row r="11" spans="1:43" ht="15.75" thickBot="1">
      <c r="B11" t="s">
        <v>1067</v>
      </c>
      <c r="E11" s="738">
        <f>T7</f>
        <v>6.8</v>
      </c>
      <c r="F11" t="s">
        <v>1056</v>
      </c>
      <c r="N11" s="2312"/>
      <c r="O11" s="830" t="s">
        <v>1141</v>
      </c>
      <c r="P11" s="830" t="s">
        <v>1142</v>
      </c>
      <c r="Q11" s="2298"/>
      <c r="R11" s="844" t="s">
        <v>1158</v>
      </c>
      <c r="S11" s="843" t="s">
        <v>1212</v>
      </c>
      <c r="W11" s="2300" t="s">
        <v>985</v>
      </c>
      <c r="X11" s="2300"/>
      <c r="Y11" s="2300"/>
      <c r="Z11" s="2300"/>
      <c r="AA11" s="2300"/>
      <c r="AB11" s="2300"/>
      <c r="AC11" s="2300"/>
      <c r="AD11" s="2300"/>
      <c r="AE11" s="2300"/>
      <c r="AF11" s="2300"/>
      <c r="AG11" s="2300"/>
      <c r="AH11" s="2300"/>
      <c r="AI11" s="2300"/>
      <c r="AJ11" s="2300"/>
      <c r="AK11" s="2300"/>
      <c r="AL11" s="2300"/>
      <c r="AM11" s="2300"/>
      <c r="AN11" s="2300"/>
      <c r="AO11" s="2300"/>
      <c r="AP11" s="2300"/>
    </row>
    <row r="12" spans="1:43">
      <c r="B12" t="s">
        <v>1068</v>
      </c>
      <c r="E12" s="738">
        <f>T6</f>
        <v>2.2351999999999999</v>
      </c>
      <c r="F12" t="s">
        <v>1007</v>
      </c>
      <c r="N12" s="22" t="e" cm="1" vm="2">
        <f t="array" ref="N12">_xlfn._xlws.FILTER(Isolation!$B$7:$E$26,Isolation!$E$7:$E$26=(P6&amp;"_"&amp;P7))</f>
        <v>#VALUE!</v>
      </c>
      <c r="O12" s="22"/>
      <c r="P12" s="22"/>
      <c r="Q12" s="22"/>
      <c r="R12" s="823" t="e">
        <f>VLOOKUP(O12,Hypothèses!$C$265:$E$285,3)</f>
        <v>#N/A</v>
      </c>
      <c r="S12" s="823" t="e" vm="1">
        <f>IF(N12="","",AQ13)</f>
        <v>#VALUE!</v>
      </c>
      <c r="V12" s="774">
        <f>$E$30</f>
        <v>542.96817309158337</v>
      </c>
      <c r="W12" s="818" cm="1">
        <f t="array" ref="W12:AP12">TRANSPOSE(P12:P31)</f>
        <v>0</v>
      </c>
      <c r="X12" s="818">
        <v>0</v>
      </c>
      <c r="Y12" s="818">
        <v>0</v>
      </c>
      <c r="Z12" s="818">
        <v>0</v>
      </c>
      <c r="AA12" s="818">
        <v>0</v>
      </c>
      <c r="AB12" s="818">
        <v>0</v>
      </c>
      <c r="AC12" s="818">
        <v>0</v>
      </c>
      <c r="AD12" s="818">
        <v>0</v>
      </c>
      <c r="AE12" s="818">
        <v>0</v>
      </c>
      <c r="AF12" s="818">
        <v>0</v>
      </c>
      <c r="AG12" s="818">
        <v>0</v>
      </c>
      <c r="AH12" s="818">
        <v>0</v>
      </c>
      <c r="AI12" s="818">
        <v>0</v>
      </c>
      <c r="AJ12" s="818">
        <v>0</v>
      </c>
      <c r="AK12" s="818">
        <v>0</v>
      </c>
      <c r="AL12" s="818">
        <v>0</v>
      </c>
      <c r="AM12" s="818">
        <v>0</v>
      </c>
      <c r="AN12" s="818">
        <v>0</v>
      </c>
      <c r="AO12" s="818">
        <v>0</v>
      </c>
      <c r="AP12" s="818">
        <v>0</v>
      </c>
      <c r="AQ12" s="768" t="s">
        <v>1479</v>
      </c>
    </row>
    <row r="13" spans="1:43" ht="15" customHeight="1">
      <c r="N13" s="22"/>
      <c r="O13" s="22"/>
      <c r="P13" s="22"/>
      <c r="Q13" s="22"/>
      <c r="R13" s="823" t="e">
        <f>VLOOKUP(O13,Hypothèses!$C$265:$E$285,3)</f>
        <v>#N/A</v>
      </c>
      <c r="S13" s="823" t="str">
        <f t="shared" ref="S13:S31" si="0">IF(N13="","",AQ14)</f>
        <v/>
      </c>
      <c r="U13" s="2306" t="s">
        <v>1204</v>
      </c>
      <c r="V13" s="821" t="e">
        <f>R12</f>
        <v>#N/A</v>
      </c>
      <c r="W13" s="454"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769" t="e" cm="1">
        <f t="array" ref="AQ13">INDEX(W13:AP13,ROWS($1:1))</f>
        <v>#N/A</v>
      </c>
    </row>
    <row r="14" spans="1:43">
      <c r="B14" t="s">
        <v>404</v>
      </c>
      <c r="N14" s="22"/>
      <c r="O14" s="22"/>
      <c r="P14" s="22"/>
      <c r="Q14" s="22"/>
      <c r="R14" s="823" t="e">
        <f>VLOOKUP(O14,Hypothèses!$C$265:$E$285,3)</f>
        <v>#N/A</v>
      </c>
      <c r="S14" s="823" t="str">
        <f t="shared" si="0"/>
        <v/>
      </c>
      <c r="U14" s="2306"/>
      <c r="V14" s="821" t="e">
        <f t="shared" ref="V14:V32" si="1">R13</f>
        <v>#N/A</v>
      </c>
      <c r="W14" t="e">
        <v>#N/A</v>
      </c>
      <c r="X14" s="454"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769" t="e" cm="1">
        <f t="array" ref="AQ14">INDEX(W14:AP14,ROWS($1:2))</f>
        <v>#N/A</v>
      </c>
    </row>
    <row r="15" spans="1:43">
      <c r="B15" t="s">
        <v>1008</v>
      </c>
      <c r="E15" s="740" t="s">
        <v>1009</v>
      </c>
      <c r="M15" s="724"/>
      <c r="N15" s="824"/>
      <c r="O15" s="824"/>
      <c r="P15" s="824"/>
      <c r="Q15" s="824"/>
      <c r="R15" s="823" t="e">
        <f>VLOOKUP(O15,Hypothèses!$C$265:$E$285,3)</f>
        <v>#N/A</v>
      </c>
      <c r="S15" s="823" t="str">
        <f t="shared" si="0"/>
        <v/>
      </c>
      <c r="U15" s="2306"/>
      <c r="V15" s="821" t="e">
        <f t="shared" si="1"/>
        <v>#N/A</v>
      </c>
      <c r="W15" t="e">
        <v>#N/A</v>
      </c>
      <c r="X15" t="e">
        <v>#N/A</v>
      </c>
      <c r="Y15" s="454"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769" t="e" cm="1">
        <f t="array" ref="AQ15">INDEX(W15:AP15,ROWS($1:3))</f>
        <v>#N/A</v>
      </c>
    </row>
    <row r="16" spans="1:43">
      <c r="B16" t="s">
        <v>1069</v>
      </c>
      <c r="E16">
        <v>0.9</v>
      </c>
      <c r="M16" s="160"/>
      <c r="N16" s="825"/>
      <c r="O16" s="825"/>
      <c r="P16" s="825"/>
      <c r="Q16" s="825"/>
      <c r="R16" s="823" t="e">
        <f>VLOOKUP(O16,Hypothèses!$C$265:$E$285,3)</f>
        <v>#N/A</v>
      </c>
      <c r="S16" s="823" t="str">
        <f t="shared" si="0"/>
        <v/>
      </c>
      <c r="U16" s="2306"/>
      <c r="V16" s="821" t="e">
        <f t="shared" si="1"/>
        <v>#N/A</v>
      </c>
      <c r="W16" t="e">
        <v>#N/A</v>
      </c>
      <c r="X16" t="e">
        <v>#N/A</v>
      </c>
      <c r="Y16" t="e">
        <v>#N/A</v>
      </c>
      <c r="Z16" s="454"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769" t="e" cm="1">
        <f t="array" ref="AQ16">INDEX(W16:AP16,ROWS($1:4))</f>
        <v>#N/A</v>
      </c>
    </row>
    <row r="17" spans="2:43">
      <c r="B17" t="s">
        <v>1070</v>
      </c>
      <c r="E17" s="739">
        <f>CONVERT(Hypothèses!D235,"in","mm")</f>
        <v>50.8</v>
      </c>
      <c r="F17" t="s">
        <v>1006</v>
      </c>
      <c r="M17" s="160"/>
      <c r="N17" s="824"/>
      <c r="O17" s="824"/>
      <c r="P17" s="824"/>
      <c r="Q17" s="824"/>
      <c r="R17" s="823" t="e">
        <f>VLOOKUP(O17,Hypothèses!$C$265:$E$285,3)</f>
        <v>#N/A</v>
      </c>
      <c r="S17" s="823" t="str">
        <f t="shared" si="0"/>
        <v/>
      </c>
      <c r="U17" s="2306"/>
      <c r="V17" s="821" t="e">
        <f t="shared" si="1"/>
        <v>#N/A</v>
      </c>
      <c r="W17" t="e">
        <v>#N/A</v>
      </c>
      <c r="X17" t="e">
        <v>#N/A</v>
      </c>
      <c r="Y17" t="e">
        <v>#N/A</v>
      </c>
      <c r="Z17" t="e">
        <v>#N/A</v>
      </c>
      <c r="AA17" s="454"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769" t="e" cm="1">
        <f t="array" ref="AQ17">INDEX(W17:AP17,ROWS($1:5))</f>
        <v>#N/A</v>
      </c>
    </row>
    <row r="18" spans="2:43">
      <c r="B18" t="s">
        <v>1065</v>
      </c>
      <c r="D18" t="s">
        <v>1400</v>
      </c>
      <c r="E18">
        <f>E9+2*E17</f>
        <v>190.5</v>
      </c>
      <c r="F18" t="s">
        <v>1006</v>
      </c>
      <c r="M18" s="160"/>
      <c r="N18" s="826"/>
      <c r="O18" s="826"/>
      <c r="P18" s="826"/>
      <c r="Q18" s="826"/>
      <c r="R18" s="823" t="e">
        <f>VLOOKUP(O18,Hypothèses!$C$265:$E$285,3)</f>
        <v>#N/A</v>
      </c>
      <c r="S18" s="823" t="str">
        <f t="shared" si="0"/>
        <v/>
      </c>
      <c r="U18" s="2306"/>
      <c r="V18" s="821" t="e">
        <f t="shared" si="1"/>
        <v>#N/A</v>
      </c>
      <c r="W18" t="e">
        <v>#N/A</v>
      </c>
      <c r="X18" t="e">
        <v>#N/A</v>
      </c>
      <c r="Y18" t="e">
        <v>#N/A</v>
      </c>
      <c r="Z18" t="e">
        <v>#N/A</v>
      </c>
      <c r="AA18" t="e">
        <v>#N/A</v>
      </c>
      <c r="AB18" s="454" t="e">
        <v>#N/A</v>
      </c>
      <c r="AC18" t="e">
        <v>#N/A</v>
      </c>
      <c r="AD18" t="e">
        <v>#N/A</v>
      </c>
      <c r="AE18" t="e">
        <v>#N/A</v>
      </c>
      <c r="AF18" t="e">
        <v>#N/A</v>
      </c>
      <c r="AG18" t="e">
        <v>#N/A</v>
      </c>
      <c r="AH18" t="e">
        <v>#N/A</v>
      </c>
      <c r="AI18" t="e">
        <v>#N/A</v>
      </c>
      <c r="AJ18" t="e">
        <v>#N/A</v>
      </c>
      <c r="AK18" t="e">
        <v>#N/A</v>
      </c>
      <c r="AL18" t="e">
        <v>#N/A</v>
      </c>
      <c r="AM18" t="e">
        <v>#N/A</v>
      </c>
      <c r="AN18" t="e">
        <v>#N/A</v>
      </c>
      <c r="AO18" t="e">
        <v>#N/A</v>
      </c>
      <c r="AP18" t="e">
        <v>#N/A</v>
      </c>
      <c r="AQ18" s="769" t="e" cm="1">
        <f t="array" ref="AQ18">INDEX(W18:AP18,ROWS($1:6))</f>
        <v>#N/A</v>
      </c>
    </row>
    <row r="19" spans="2:43">
      <c r="N19" s="827"/>
      <c r="O19" s="827"/>
      <c r="P19" s="827"/>
      <c r="Q19" s="827"/>
      <c r="R19" s="823" t="e">
        <f>VLOOKUP(O19,Hypothèses!$C$265:$E$285,3)</f>
        <v>#N/A</v>
      </c>
      <c r="S19" s="823" t="str">
        <f t="shared" si="0"/>
        <v/>
      </c>
      <c r="U19" s="2306"/>
      <c r="V19" s="821" t="e">
        <f t="shared" si="1"/>
        <v>#N/A</v>
      </c>
      <c r="W19" t="e">
        <v>#N/A</v>
      </c>
      <c r="X19" t="e">
        <v>#N/A</v>
      </c>
      <c r="Y19" t="e">
        <v>#N/A</v>
      </c>
      <c r="Z19" t="e">
        <v>#N/A</v>
      </c>
      <c r="AA19" t="e">
        <v>#N/A</v>
      </c>
      <c r="AB19" t="e">
        <v>#N/A</v>
      </c>
      <c r="AC19" s="454" t="e">
        <v>#N/A</v>
      </c>
      <c r="AD19" t="e">
        <v>#N/A</v>
      </c>
      <c r="AE19" t="e">
        <v>#N/A</v>
      </c>
      <c r="AF19" t="e">
        <v>#N/A</v>
      </c>
      <c r="AG19" t="e">
        <v>#N/A</v>
      </c>
      <c r="AH19" t="e">
        <v>#N/A</v>
      </c>
      <c r="AI19" t="e">
        <v>#N/A</v>
      </c>
      <c r="AJ19" t="e">
        <v>#N/A</v>
      </c>
      <c r="AK19" t="e">
        <v>#N/A</v>
      </c>
      <c r="AL19" t="e">
        <v>#N/A</v>
      </c>
      <c r="AM19" t="e">
        <v>#N/A</v>
      </c>
      <c r="AN19" t="e">
        <v>#N/A</v>
      </c>
      <c r="AO19" t="e">
        <v>#N/A</v>
      </c>
      <c r="AP19" t="e">
        <v>#N/A</v>
      </c>
      <c r="AQ19" s="769" t="e" cm="1">
        <f t="array" ref="AQ19">INDEX(W19:AP19,ROWS($1:7))</f>
        <v>#N/A</v>
      </c>
    </row>
    <row r="20" spans="2:43">
      <c r="J20" s="733"/>
      <c r="N20" s="824"/>
      <c r="O20" s="824"/>
      <c r="P20" s="824"/>
      <c r="Q20" s="824"/>
      <c r="R20" s="823" t="e">
        <f>VLOOKUP(O20,Hypothèses!$C$265:$E$285,3)</f>
        <v>#N/A</v>
      </c>
      <c r="S20" s="823" t="str">
        <f t="shared" si="0"/>
        <v/>
      </c>
      <c r="U20" s="2306"/>
      <c r="V20" s="821" t="e">
        <f t="shared" si="1"/>
        <v>#N/A</v>
      </c>
      <c r="W20" t="e">
        <v>#N/A</v>
      </c>
      <c r="X20" t="e">
        <v>#N/A</v>
      </c>
      <c r="Y20" t="e">
        <v>#N/A</v>
      </c>
      <c r="Z20" t="e">
        <v>#N/A</v>
      </c>
      <c r="AA20" t="e">
        <v>#N/A</v>
      </c>
      <c r="AB20" t="e">
        <v>#N/A</v>
      </c>
      <c r="AC20" t="e">
        <v>#N/A</v>
      </c>
      <c r="AD20" s="454" t="e">
        <v>#N/A</v>
      </c>
      <c r="AE20" t="e">
        <v>#N/A</v>
      </c>
      <c r="AF20" t="e">
        <v>#N/A</v>
      </c>
      <c r="AG20" t="e">
        <v>#N/A</v>
      </c>
      <c r="AH20" t="e">
        <v>#N/A</v>
      </c>
      <c r="AI20" t="e">
        <v>#N/A</v>
      </c>
      <c r="AJ20" t="e">
        <v>#N/A</v>
      </c>
      <c r="AK20" t="e">
        <v>#N/A</v>
      </c>
      <c r="AL20" t="e">
        <v>#N/A</v>
      </c>
      <c r="AM20" t="e">
        <v>#N/A</v>
      </c>
      <c r="AN20" t="e">
        <v>#N/A</v>
      </c>
      <c r="AO20" t="e">
        <v>#N/A</v>
      </c>
      <c r="AP20" t="e">
        <v>#N/A</v>
      </c>
      <c r="AQ20" s="769" t="e" cm="1">
        <f t="array" ref="AQ20">INDEX(W20:AP20,ROWS($1:8))</f>
        <v>#N/A</v>
      </c>
    </row>
    <row r="21" spans="2:43">
      <c r="B21" s="2305" t="s">
        <v>228</v>
      </c>
      <c r="C21" s="2305"/>
      <c r="D21" s="2305"/>
      <c r="E21" s="2305"/>
      <c r="F21" s="2305"/>
      <c r="G21" s="2305"/>
      <c r="H21" s="2305"/>
      <c r="I21" s="2305"/>
      <c r="J21" s="2305"/>
      <c r="K21" s="2305"/>
      <c r="N21" s="825"/>
      <c r="O21" s="825"/>
      <c r="P21" s="825"/>
      <c r="Q21" s="825"/>
      <c r="R21" s="823" t="e">
        <f>VLOOKUP(O21,Hypothèses!$C$265:$E$285,3)</f>
        <v>#N/A</v>
      </c>
      <c r="S21" s="823" t="str">
        <f t="shared" si="0"/>
        <v/>
      </c>
      <c r="U21" s="2306"/>
      <c r="V21" s="821" t="e">
        <f t="shared" si="1"/>
        <v>#N/A</v>
      </c>
      <c r="W21" t="e">
        <v>#N/A</v>
      </c>
      <c r="X21" t="e">
        <v>#N/A</v>
      </c>
      <c r="Y21" t="e">
        <v>#N/A</v>
      </c>
      <c r="Z21" t="e">
        <v>#N/A</v>
      </c>
      <c r="AA21" t="e">
        <v>#N/A</v>
      </c>
      <c r="AB21" t="e">
        <v>#N/A</v>
      </c>
      <c r="AC21" t="e">
        <v>#N/A</v>
      </c>
      <c r="AD21" t="e">
        <v>#N/A</v>
      </c>
      <c r="AE21" s="454" t="e">
        <v>#N/A</v>
      </c>
      <c r="AF21" t="e">
        <v>#N/A</v>
      </c>
      <c r="AG21" t="e">
        <v>#N/A</v>
      </c>
      <c r="AH21" t="e">
        <v>#N/A</v>
      </c>
      <c r="AI21" t="e">
        <v>#N/A</v>
      </c>
      <c r="AJ21" t="e">
        <v>#N/A</v>
      </c>
      <c r="AK21" t="e">
        <v>#N/A</v>
      </c>
      <c r="AL21" t="e">
        <v>#N/A</v>
      </c>
      <c r="AM21" t="e">
        <v>#N/A</v>
      </c>
      <c r="AN21" t="e">
        <v>#N/A</v>
      </c>
      <c r="AO21" t="e">
        <v>#N/A</v>
      </c>
      <c r="AP21" t="e">
        <v>#N/A</v>
      </c>
      <c r="AQ21" s="769" t="e" cm="1">
        <f t="array" ref="AQ21">INDEX(W21:AP21,ROWS($1:9))</f>
        <v>#N/A</v>
      </c>
    </row>
    <row r="22" spans="2:43">
      <c r="B22" s="734" t="s">
        <v>1071</v>
      </c>
      <c r="J22" s="733"/>
      <c r="N22" s="22"/>
      <c r="O22" s="22"/>
      <c r="P22" s="22"/>
      <c r="Q22" s="22"/>
      <c r="R22" s="823" t="e">
        <f>VLOOKUP(O22,Hypothèses!$C$265:$E$285,3)</f>
        <v>#N/A</v>
      </c>
      <c r="S22" s="823" t="str">
        <f t="shared" si="0"/>
        <v/>
      </c>
      <c r="U22" s="2306"/>
      <c r="V22" s="821" t="e">
        <f t="shared" si="1"/>
        <v>#N/A</v>
      </c>
      <c r="W22" t="e">
        <v>#N/A</v>
      </c>
      <c r="X22" t="e">
        <v>#N/A</v>
      </c>
      <c r="Y22" t="e">
        <v>#N/A</v>
      </c>
      <c r="Z22" t="e">
        <v>#N/A</v>
      </c>
      <c r="AA22" t="e">
        <v>#N/A</v>
      </c>
      <c r="AB22" t="e">
        <v>#N/A</v>
      </c>
      <c r="AC22" t="e">
        <v>#N/A</v>
      </c>
      <c r="AD22" t="e">
        <v>#N/A</v>
      </c>
      <c r="AE22" t="e">
        <v>#N/A</v>
      </c>
      <c r="AF22" s="454" t="e">
        <v>#N/A</v>
      </c>
      <c r="AG22" t="e">
        <v>#N/A</v>
      </c>
      <c r="AH22" t="e">
        <v>#N/A</v>
      </c>
      <c r="AI22" t="e">
        <v>#N/A</v>
      </c>
      <c r="AJ22" t="e">
        <v>#N/A</v>
      </c>
      <c r="AK22" t="e">
        <v>#N/A</v>
      </c>
      <c r="AL22" t="e">
        <v>#N/A</v>
      </c>
      <c r="AM22" t="e">
        <v>#N/A</v>
      </c>
      <c r="AN22" t="e">
        <v>#N/A</v>
      </c>
      <c r="AO22" t="e">
        <v>#N/A</v>
      </c>
      <c r="AP22" t="e">
        <v>#N/A</v>
      </c>
      <c r="AQ22" s="769" t="e" cm="1">
        <f t="array" ref="AQ22">INDEX(W22:AP22,ROWS($1:10))</f>
        <v>#N/A</v>
      </c>
    </row>
    <row r="23" spans="2:43">
      <c r="B23" t="s">
        <v>1072</v>
      </c>
      <c r="E23" s="733">
        <f>K73</f>
        <v>10.416337719659467</v>
      </c>
      <c r="F23" t="s">
        <v>1056</v>
      </c>
      <c r="J23" s="733"/>
      <c r="N23" s="22"/>
      <c r="O23" s="22"/>
      <c r="P23" s="22"/>
      <c r="Q23" s="22"/>
      <c r="R23" s="823" t="e">
        <f>VLOOKUP(O23,Hypothèses!$C$265:$E$285,3)</f>
        <v>#N/A</v>
      </c>
      <c r="S23" s="823" t="str">
        <f t="shared" si="0"/>
        <v/>
      </c>
      <c r="U23" s="2306"/>
      <c r="V23" s="821" t="e">
        <f t="shared" si="1"/>
        <v>#N/A</v>
      </c>
      <c r="W23" t="e">
        <v>#N/A</v>
      </c>
      <c r="X23" t="e">
        <v>#N/A</v>
      </c>
      <c r="Y23" t="e">
        <v>#N/A</v>
      </c>
      <c r="Z23" t="e">
        <v>#N/A</v>
      </c>
      <c r="AA23" t="e">
        <v>#N/A</v>
      </c>
      <c r="AB23" t="e">
        <v>#N/A</v>
      </c>
      <c r="AC23" t="e">
        <v>#N/A</v>
      </c>
      <c r="AD23" t="e">
        <v>#N/A</v>
      </c>
      <c r="AE23" t="e">
        <v>#N/A</v>
      </c>
      <c r="AF23" t="e">
        <v>#N/A</v>
      </c>
      <c r="AG23" s="454" t="e">
        <v>#N/A</v>
      </c>
      <c r="AH23" t="e">
        <v>#N/A</v>
      </c>
      <c r="AI23" t="e">
        <v>#N/A</v>
      </c>
      <c r="AJ23" t="e">
        <v>#N/A</v>
      </c>
      <c r="AK23" t="e">
        <v>#N/A</v>
      </c>
      <c r="AL23" t="e">
        <v>#N/A</v>
      </c>
      <c r="AM23" t="e">
        <v>#N/A</v>
      </c>
      <c r="AN23" t="e">
        <v>#N/A</v>
      </c>
      <c r="AO23" t="e">
        <v>#N/A</v>
      </c>
      <c r="AP23" t="e">
        <v>#N/A</v>
      </c>
      <c r="AQ23" s="769" t="e" cm="1">
        <f t="array" ref="AQ23">INDEX(W23:AP23,ROWS($1:11))</f>
        <v>#N/A</v>
      </c>
    </row>
    <row r="24" spans="2:43">
      <c r="B24" t="s">
        <v>1073</v>
      </c>
      <c r="E24" s="733">
        <f>K74</f>
        <v>38.244818683017677</v>
      </c>
      <c r="F24" t="s">
        <v>1010</v>
      </c>
      <c r="J24" s="733"/>
      <c r="N24" s="22"/>
      <c r="O24" s="22"/>
      <c r="P24" s="22"/>
      <c r="Q24" s="22"/>
      <c r="R24" s="823" t="e">
        <f>VLOOKUP(O24,Hypothèses!$C$265:$E$285,3)</f>
        <v>#N/A</v>
      </c>
      <c r="S24" s="823" t="str">
        <f t="shared" si="0"/>
        <v/>
      </c>
      <c r="U24" s="2306"/>
      <c r="V24" s="821" t="e">
        <f t="shared" si="1"/>
        <v>#N/A</v>
      </c>
      <c r="W24" t="e">
        <v>#N/A</v>
      </c>
      <c r="X24" t="e">
        <v>#N/A</v>
      </c>
      <c r="Y24" t="e">
        <v>#N/A</v>
      </c>
      <c r="Z24" t="e">
        <v>#N/A</v>
      </c>
      <c r="AA24" t="e">
        <v>#N/A</v>
      </c>
      <c r="AB24" t="e">
        <v>#N/A</v>
      </c>
      <c r="AC24" t="e">
        <v>#N/A</v>
      </c>
      <c r="AD24" t="e">
        <v>#N/A</v>
      </c>
      <c r="AE24" t="e">
        <v>#N/A</v>
      </c>
      <c r="AF24" t="e">
        <v>#N/A</v>
      </c>
      <c r="AG24" t="e">
        <v>#N/A</v>
      </c>
      <c r="AH24" s="454" t="e">
        <v>#N/A</v>
      </c>
      <c r="AI24" t="e">
        <v>#N/A</v>
      </c>
      <c r="AJ24" t="e">
        <v>#N/A</v>
      </c>
      <c r="AK24" t="e">
        <v>#N/A</v>
      </c>
      <c r="AL24" t="e">
        <v>#N/A</v>
      </c>
      <c r="AM24" t="e">
        <v>#N/A</v>
      </c>
      <c r="AN24" t="e">
        <v>#N/A</v>
      </c>
      <c r="AO24" t="e">
        <v>#N/A</v>
      </c>
      <c r="AP24" t="e">
        <v>#N/A</v>
      </c>
      <c r="AQ24" s="769" t="e" cm="1">
        <f t="array" ref="AQ24">INDEX(W24:AP24,ROWS($1:12))</f>
        <v>#N/A</v>
      </c>
    </row>
    <row r="25" spans="2:43">
      <c r="B25" s="734" t="s">
        <v>1074</v>
      </c>
      <c r="E25" s="733"/>
      <c r="J25" s="733"/>
      <c r="N25" s="827"/>
      <c r="O25" s="827"/>
      <c r="P25" s="827"/>
      <c r="Q25" s="827"/>
      <c r="R25" s="823" t="e">
        <f>VLOOKUP(O25,Hypothèses!$C$265:$E$285,3)</f>
        <v>#N/A</v>
      </c>
      <c r="S25" s="823" t="str">
        <f t="shared" si="0"/>
        <v/>
      </c>
      <c r="U25" s="2306"/>
      <c r="V25" s="821" t="e">
        <f t="shared" si="1"/>
        <v>#N/A</v>
      </c>
      <c r="W25" t="e">
        <v>#N/A</v>
      </c>
      <c r="X25" t="e">
        <v>#N/A</v>
      </c>
      <c r="Y25" t="e">
        <v>#N/A</v>
      </c>
      <c r="Z25" t="e">
        <v>#N/A</v>
      </c>
      <c r="AA25" t="e">
        <v>#N/A</v>
      </c>
      <c r="AB25" t="e">
        <v>#N/A</v>
      </c>
      <c r="AC25" t="e">
        <v>#N/A</v>
      </c>
      <c r="AD25" t="e">
        <v>#N/A</v>
      </c>
      <c r="AE25" t="e">
        <v>#N/A</v>
      </c>
      <c r="AF25" t="e">
        <v>#N/A</v>
      </c>
      <c r="AG25" t="e">
        <v>#N/A</v>
      </c>
      <c r="AH25" t="e">
        <v>#N/A</v>
      </c>
      <c r="AI25" s="454" t="e">
        <v>#N/A</v>
      </c>
      <c r="AJ25" t="e">
        <v>#N/A</v>
      </c>
      <c r="AK25" t="e">
        <v>#N/A</v>
      </c>
      <c r="AL25" t="e">
        <v>#N/A</v>
      </c>
      <c r="AM25" t="e">
        <v>#N/A</v>
      </c>
      <c r="AN25" t="e">
        <v>#N/A</v>
      </c>
      <c r="AO25" t="e">
        <v>#N/A</v>
      </c>
      <c r="AP25" t="e">
        <v>#N/A</v>
      </c>
      <c r="AQ25" s="769" t="e" cm="1">
        <f t="array" ref="AQ25">INDEX(W25:AP25,ROWS($1:13))</f>
        <v>#N/A</v>
      </c>
    </row>
    <row r="26" spans="2:43">
      <c r="B26" t="s">
        <v>1072</v>
      </c>
      <c r="E26" s="733">
        <f>K109</f>
        <v>93.306843137004122</v>
      </c>
      <c r="F26" t="s">
        <v>1056</v>
      </c>
      <c r="J26" s="733"/>
      <c r="N26" s="22"/>
      <c r="O26" s="22"/>
      <c r="P26" s="22"/>
      <c r="Q26" s="22"/>
      <c r="R26" s="823" t="e">
        <f>VLOOKUP(O26,Hypothèses!$C$265:$E$285,3)</f>
        <v>#N/A</v>
      </c>
      <c r="S26" s="823" t="str">
        <f t="shared" si="0"/>
        <v/>
      </c>
      <c r="U26" s="2306"/>
      <c r="V26" s="821" t="e">
        <f t="shared" si="1"/>
        <v>#N/A</v>
      </c>
      <c r="W26" t="e">
        <v>#N/A</v>
      </c>
      <c r="X26" t="e">
        <v>#N/A</v>
      </c>
      <c r="Y26" t="e">
        <v>#N/A</v>
      </c>
      <c r="Z26" t="e">
        <v>#N/A</v>
      </c>
      <c r="AA26" t="e">
        <v>#N/A</v>
      </c>
      <c r="AB26" t="e">
        <v>#N/A</v>
      </c>
      <c r="AC26" t="e">
        <v>#N/A</v>
      </c>
      <c r="AD26" t="e">
        <v>#N/A</v>
      </c>
      <c r="AE26" t="e">
        <v>#N/A</v>
      </c>
      <c r="AF26" t="e">
        <v>#N/A</v>
      </c>
      <c r="AG26" t="e">
        <v>#N/A</v>
      </c>
      <c r="AH26" t="e">
        <v>#N/A</v>
      </c>
      <c r="AI26" t="e">
        <v>#N/A</v>
      </c>
      <c r="AJ26" s="454" t="e">
        <v>#N/A</v>
      </c>
      <c r="AK26" t="e">
        <v>#N/A</v>
      </c>
      <c r="AL26" t="e">
        <v>#N/A</v>
      </c>
      <c r="AM26" t="e">
        <v>#N/A</v>
      </c>
      <c r="AN26" t="e">
        <v>#N/A</v>
      </c>
      <c r="AO26" t="e">
        <v>#N/A</v>
      </c>
      <c r="AP26" t="e">
        <v>#N/A</v>
      </c>
      <c r="AQ26" s="769" t="e" cm="1">
        <f t="array" ref="AQ26">INDEX(W26:AP26,ROWS($1:14))</f>
        <v>#N/A</v>
      </c>
    </row>
    <row r="27" spans="2:43">
      <c r="B27" t="s">
        <v>1073</v>
      </c>
      <c r="E27" s="733">
        <f>K110</f>
        <v>581.21299177460105</v>
      </c>
      <c r="F27" t="s">
        <v>1010</v>
      </c>
      <c r="J27" s="733"/>
      <c r="N27" s="22"/>
      <c r="O27" s="22"/>
      <c r="P27" s="22"/>
      <c r="Q27" s="22"/>
      <c r="R27" s="823" t="e">
        <f>VLOOKUP(O27,Hypothèses!$C$265:$E$285,3)</f>
        <v>#N/A</v>
      </c>
      <c r="S27" s="823" t="str">
        <f t="shared" si="0"/>
        <v/>
      </c>
      <c r="U27" s="2306"/>
      <c r="V27" s="821"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454" t="e">
        <v>#N/A</v>
      </c>
      <c r="AL27" t="e">
        <v>#N/A</v>
      </c>
      <c r="AM27" t="e">
        <v>#N/A</v>
      </c>
      <c r="AN27" t="e">
        <v>#N/A</v>
      </c>
      <c r="AO27" t="e">
        <v>#N/A</v>
      </c>
      <c r="AP27" t="e">
        <v>#N/A</v>
      </c>
      <c r="AQ27" s="769" t="e" cm="1">
        <f t="array" ref="AQ27">INDEX(W27:AP27,ROWS($1:15))</f>
        <v>#N/A</v>
      </c>
    </row>
    <row r="28" spans="2:43">
      <c r="J28" s="733"/>
      <c r="N28" s="22"/>
      <c r="O28" s="22"/>
      <c r="P28" s="22"/>
      <c r="Q28" s="22"/>
      <c r="R28" s="823" t="e">
        <f>VLOOKUP(O28,Hypothèses!$C$265:$E$285,3)</f>
        <v>#N/A</v>
      </c>
      <c r="S28" s="823" t="str">
        <f t="shared" si="0"/>
        <v/>
      </c>
      <c r="U28" s="2306"/>
      <c r="V28" s="821"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454" t="e">
        <v>#N/A</v>
      </c>
      <c r="AM28" t="e">
        <v>#N/A</v>
      </c>
      <c r="AN28" t="e">
        <v>#N/A</v>
      </c>
      <c r="AO28" t="e">
        <v>#N/A</v>
      </c>
      <c r="AP28" t="e">
        <v>#N/A</v>
      </c>
      <c r="AQ28" s="769" t="e" cm="1">
        <f t="array" ref="AQ28">INDEX(W28:AP28,ROWS($1:16))</f>
        <v>#N/A</v>
      </c>
    </row>
    <row r="29" spans="2:43">
      <c r="B29" t="s">
        <v>1177</v>
      </c>
      <c r="J29" s="733"/>
      <c r="N29" s="22"/>
      <c r="O29" s="22"/>
      <c r="P29" s="22"/>
      <c r="Q29" s="22"/>
      <c r="R29" s="823" t="e">
        <f>VLOOKUP(O29,Hypothèses!$C$265:$E$285,3)</f>
        <v>#N/A</v>
      </c>
      <c r="S29" s="823" t="str">
        <f t="shared" si="0"/>
        <v/>
      </c>
      <c r="U29" s="2306"/>
      <c r="V29" s="821"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454" t="e">
        <v>#N/A</v>
      </c>
      <c r="AN29" t="e">
        <v>#N/A</v>
      </c>
      <c r="AO29" t="e">
        <v>#N/A</v>
      </c>
      <c r="AP29" t="e">
        <v>#N/A</v>
      </c>
      <c r="AQ29" s="769" t="e" cm="1">
        <f t="array" ref="AQ29">INDEX(W29:AP29,ROWS($1:17))</f>
        <v>#N/A</v>
      </c>
    </row>
    <row r="30" spans="2:43">
      <c r="B30" s="214" t="s">
        <v>1151</v>
      </c>
      <c r="E30" s="766">
        <f>E27-E24</f>
        <v>542.96817309158337</v>
      </c>
      <c r="F30" t="s">
        <v>1010</v>
      </c>
      <c r="J30" s="733"/>
      <c r="N30" s="824"/>
      <c r="O30" s="824"/>
      <c r="P30" s="824"/>
      <c r="Q30" s="824"/>
      <c r="R30" s="823" t="e">
        <f>VLOOKUP(O30,Hypothèses!$C$265:$E$285,3)</f>
        <v>#N/A</v>
      </c>
      <c r="S30" s="823" t="str">
        <f t="shared" si="0"/>
        <v/>
      </c>
      <c r="U30" s="2306"/>
      <c r="V30" s="821"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454" t="e">
        <v>#N/A</v>
      </c>
      <c r="AO30" t="e">
        <v>#N/A</v>
      </c>
      <c r="AP30" t="e">
        <v>#N/A</v>
      </c>
      <c r="AQ30" s="769" t="e" cm="1">
        <f t="array" ref="AQ30">INDEX(W30:AP30,ROWS($1:18))</f>
        <v>#N/A</v>
      </c>
    </row>
    <row r="31" spans="2:43">
      <c r="B31" s="214"/>
      <c r="E31" s="766">
        <f>E30*3.41/3.28</f>
        <v>564.48825312265228</v>
      </c>
      <c r="F31" t="s">
        <v>1153</v>
      </c>
      <c r="J31" s="733"/>
      <c r="N31" s="828"/>
      <c r="O31" s="828"/>
      <c r="P31" s="828"/>
      <c r="Q31" s="828"/>
      <c r="R31" s="823" t="e">
        <f>VLOOKUP(O31,Hypothèses!$C$265:$E$285,3)</f>
        <v>#N/A</v>
      </c>
      <c r="S31" s="823" t="str">
        <f t="shared" si="0"/>
        <v/>
      </c>
      <c r="U31" s="2306"/>
      <c r="V31" s="821"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454" t="e">
        <v>#N/A</v>
      </c>
      <c r="AP31" t="e">
        <v>#N/A</v>
      </c>
      <c r="AQ31" s="769" t="e" cm="1">
        <f t="array" ref="AQ31">INDEX(W31:AP31,ROWS($1:19))</f>
        <v>#N/A</v>
      </c>
    </row>
    <row r="32" spans="2:43">
      <c r="B32" s="214" t="s">
        <v>1152</v>
      </c>
      <c r="E32" s="766">
        <f>K108-K71</f>
        <v>2017.1516248443409</v>
      </c>
      <c r="F32" t="s">
        <v>1154</v>
      </c>
      <c r="J32" s="733"/>
      <c r="N32" s="735"/>
      <c r="U32" s="2306"/>
      <c r="V32" s="821"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454" t="e">
        <v>#N/A</v>
      </c>
      <c r="AQ32" s="769" t="e" cm="1">
        <f t="array" ref="AQ32">INDEX(W32:AP32,ROWS($1:20))</f>
        <v>#N/A</v>
      </c>
    </row>
    <row r="33" spans="2:33">
      <c r="B33" s="214"/>
      <c r="E33" s="766">
        <f>E32*3.41/3.28^2</f>
        <v>639.35966693181183</v>
      </c>
      <c r="F33" t="s">
        <v>1155</v>
      </c>
      <c r="J33" s="733"/>
      <c r="N33" s="735"/>
      <c r="U33" s="848"/>
      <c r="V33" s="723"/>
    </row>
    <row r="34" spans="2:33">
      <c r="B34" s="214"/>
      <c r="E34" s="733"/>
      <c r="J34" s="733"/>
      <c r="N34" s="2295" t="s">
        <v>1219</v>
      </c>
      <c r="O34" s="2295"/>
      <c r="P34" s="2295"/>
      <c r="Q34" s="2295"/>
      <c r="R34" s="2295"/>
      <c r="S34" s="2295"/>
      <c r="T34" s="2295"/>
      <c r="U34" s="2295"/>
      <c r="V34" s="2295"/>
      <c r="W34" s="2295"/>
      <c r="X34" s="2295"/>
      <c r="Y34" s="2295"/>
      <c r="Z34" s="2295"/>
      <c r="AA34" s="2295"/>
      <c r="AB34" s="2295"/>
      <c r="AC34" s="2295"/>
      <c r="AD34" s="2295"/>
      <c r="AE34" s="2295"/>
      <c r="AF34" s="2295"/>
      <c r="AG34" s="2295"/>
    </row>
    <row r="35" spans="2:33" ht="17.25">
      <c r="B35" s="734" t="s">
        <v>1480</v>
      </c>
      <c r="N35" s="2296" t="s">
        <v>1136</v>
      </c>
      <c r="O35" s="829" t="s">
        <v>1205</v>
      </c>
      <c r="P35" s="829" t="s">
        <v>1138</v>
      </c>
      <c r="Q35" s="2297" t="s">
        <v>1148</v>
      </c>
      <c r="R35" s="829" t="s">
        <v>1203</v>
      </c>
      <c r="S35" s="829" t="s">
        <v>1135</v>
      </c>
      <c r="W35" s="2299" t="s">
        <v>1208</v>
      </c>
      <c r="X35" s="2299"/>
      <c r="Y35" s="2299"/>
      <c r="Z35" s="2299"/>
      <c r="AA35" s="2299"/>
      <c r="AB35" s="2299"/>
      <c r="AC35" s="2299"/>
      <c r="AD35" s="2299"/>
      <c r="AE35" s="2299"/>
      <c r="AF35" s="2299"/>
    </row>
    <row r="36" spans="2:33" ht="17.25">
      <c r="E36" t="s">
        <v>1012</v>
      </c>
      <c r="G36">
        <v>1</v>
      </c>
      <c r="H36">
        <v>2</v>
      </c>
      <c r="I36">
        <v>3</v>
      </c>
      <c r="J36">
        <v>4</v>
      </c>
      <c r="K36">
        <v>5</v>
      </c>
      <c r="N36" s="2296"/>
      <c r="O36" s="830" t="s">
        <v>1220</v>
      </c>
      <c r="P36" s="830" t="s">
        <v>1142</v>
      </c>
      <c r="Q36" s="2298"/>
      <c r="R36" s="831" t="s">
        <v>1158</v>
      </c>
      <c r="S36" s="830" t="s">
        <v>1213</v>
      </c>
      <c r="W36" s="2300" t="s">
        <v>985</v>
      </c>
      <c r="X36" s="2300"/>
      <c r="Y36" s="2300"/>
      <c r="Z36" s="2300"/>
      <c r="AA36" s="2300"/>
      <c r="AB36" s="2300"/>
      <c r="AC36" s="2300"/>
      <c r="AD36" s="2300"/>
      <c r="AE36" s="2300"/>
      <c r="AF36" s="2300"/>
      <c r="AG36" s="2301" t="s">
        <v>1156</v>
      </c>
    </row>
    <row r="37" spans="2:33" ht="15" customHeight="1" thickBot="1">
      <c r="B37" t="s">
        <v>1072</v>
      </c>
      <c r="E37" t="s">
        <v>1013</v>
      </c>
      <c r="F37" t="s">
        <v>1056</v>
      </c>
      <c r="G37" s="733">
        <f>E11+1</f>
        <v>7.8</v>
      </c>
      <c r="H37" s="160">
        <f>G73</f>
        <v>10.420460845517127</v>
      </c>
      <c r="I37" s="160">
        <f t="shared" ref="I37:K37" si="2">H73</f>
        <v>10.416328120127019</v>
      </c>
      <c r="J37" s="160">
        <f t="shared" si="2"/>
        <v>10.416337742016111</v>
      </c>
      <c r="K37" s="160">
        <f t="shared" si="2"/>
        <v>10.41633771960727</v>
      </c>
      <c r="L37" s="160"/>
      <c r="M37" s="851"/>
      <c r="N37" s="836" t="e" cm="1" vm="2">
        <f t="array" ref="N37">_xlfn._xlws.FILTER(Isolation!$B$32:$E$41,Isolation!$E$32:'Isolation'!$E$41='Isolation - CAS 3'!P6&amp;"_"&amp;'Isolation - CAS 3'!P7)</f>
        <v>#VALUE!</v>
      </c>
      <c r="O37" s="22"/>
      <c r="P37" s="22"/>
      <c r="Q37" s="22"/>
      <c r="R37" s="840" t="e" vm="1">
        <f>VLOOKUP(N37,Isolation!$B$32:$R$41,9)</f>
        <v>#VALUE!</v>
      </c>
      <c r="S37" s="22" t="e" vm="1">
        <f t="shared" ref="S37:S46" si="3">IF(N37="","",AG38)</f>
        <v>#VALUE!</v>
      </c>
      <c r="V37" s="774">
        <f>$E$32</f>
        <v>2017.1516248443409</v>
      </c>
      <c r="W37" s="818" cm="1">
        <f t="array" ref="W37:AF37">TRANSPOSE(P37:P46)</f>
        <v>0</v>
      </c>
      <c r="X37" s="818">
        <v>0</v>
      </c>
      <c r="Y37" s="818">
        <v>0</v>
      </c>
      <c r="Z37" s="818">
        <v>0</v>
      </c>
      <c r="AA37" s="818">
        <v>0</v>
      </c>
      <c r="AB37" s="818">
        <v>0</v>
      </c>
      <c r="AC37" s="818">
        <v>0</v>
      </c>
      <c r="AD37" s="818">
        <v>0</v>
      </c>
      <c r="AE37" s="818">
        <v>0</v>
      </c>
      <c r="AF37" s="818">
        <v>0</v>
      </c>
      <c r="AG37" s="2301"/>
    </row>
    <row r="38" spans="2:33">
      <c r="B38" t="s">
        <v>1075</v>
      </c>
      <c r="E38" t="s">
        <v>1014</v>
      </c>
      <c r="F38" t="s">
        <v>1056</v>
      </c>
      <c r="G38" s="733">
        <f>E10-1</f>
        <v>92.333333333333329</v>
      </c>
      <c r="H38" s="160">
        <f>G72</f>
        <v>93.331593716769063</v>
      </c>
      <c r="I38" s="160">
        <f t="shared" ref="I38:K38" si="4">H72</f>
        <v>93.331590228558099</v>
      </c>
      <c r="J38" s="160">
        <f t="shared" si="4"/>
        <v>93.331590232672681</v>
      </c>
      <c r="K38" s="160">
        <f t="shared" si="4"/>
        <v>93.331590232663117</v>
      </c>
      <c r="L38" s="160"/>
      <c r="M38" s="733"/>
      <c r="N38" s="836"/>
      <c r="O38" s="22"/>
      <c r="P38" s="22"/>
      <c r="Q38" s="22"/>
      <c r="R38" s="840" t="e">
        <f>VLOOKUP(N38,Isolation!$B$32:$R$41,9)</f>
        <v>#N/A</v>
      </c>
      <c r="S38" s="22" t="str">
        <f t="shared" si="3"/>
        <v/>
      </c>
      <c r="U38" s="2294" t="s">
        <v>1204</v>
      </c>
      <c r="V38" s="821" t="e" vm="1">
        <f>R37</f>
        <v>#VALUE!</v>
      </c>
      <c r="W38" s="454"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838" t="e" cm="1" vm="1">
        <f t="array" ref="AG38">INDEX(W38:AF38,ROWS($1:1))</f>
        <v>#VALUE!</v>
      </c>
    </row>
    <row r="39" spans="2:33">
      <c r="B39" s="4" t="s">
        <v>1076</v>
      </c>
      <c r="N39" s="836"/>
      <c r="O39" s="22"/>
      <c r="P39" s="22"/>
      <c r="Q39" s="22"/>
      <c r="R39" s="840" t="e">
        <f>VLOOKUP(N39,Isolation!$B$32:$R$41,9)</f>
        <v>#N/A</v>
      </c>
      <c r="S39" s="22" t="str">
        <f t="shared" si="3"/>
        <v/>
      </c>
      <c r="U39" s="2294"/>
      <c r="V39" s="821" t="e">
        <f t="shared" ref="V39:V47" si="5">R38</f>
        <v>#N/A</v>
      </c>
      <c r="W39" t="e">
        <v>#N/A</v>
      </c>
      <c r="X39" s="454" t="e">
        <v>#N/A</v>
      </c>
      <c r="Y39" t="e">
        <v>#N/A</v>
      </c>
      <c r="Z39" t="e">
        <v>#N/A</v>
      </c>
      <c r="AA39" t="e">
        <v>#N/A</v>
      </c>
      <c r="AB39" t="e">
        <v>#N/A</v>
      </c>
      <c r="AC39" t="e">
        <v>#N/A</v>
      </c>
      <c r="AD39" t="e">
        <v>#N/A</v>
      </c>
      <c r="AE39" t="e">
        <v>#N/A</v>
      </c>
      <c r="AF39" t="e">
        <v>#N/A</v>
      </c>
      <c r="AG39" s="769" t="e" cm="1">
        <f t="array" ref="AG39">INDEX(W39:AF39,ROWS($1:2))</f>
        <v>#N/A</v>
      </c>
    </row>
    <row r="40" spans="2:33">
      <c r="B40" t="s">
        <v>1077</v>
      </c>
      <c r="E40" t="s">
        <v>1015</v>
      </c>
      <c r="F40" t="s">
        <v>1056</v>
      </c>
      <c r="G40">
        <f>(G37+$E$11)/2</f>
        <v>7.3</v>
      </c>
      <c r="H40" s="160">
        <f t="shared" ref="H40:K40" si="6">(H37+$E$11)/2</f>
        <v>8.6102304227585638</v>
      </c>
      <c r="I40" s="160">
        <f t="shared" si="6"/>
        <v>8.6081640600635101</v>
      </c>
      <c r="J40" s="160">
        <f t="shared" si="6"/>
        <v>8.6081688710080559</v>
      </c>
      <c r="K40" s="160">
        <f t="shared" si="6"/>
        <v>8.6081688598036354</v>
      </c>
      <c r="L40" s="733"/>
      <c r="M40" s="733"/>
      <c r="N40" s="836"/>
      <c r="O40" s="22"/>
      <c r="P40" s="22"/>
      <c r="Q40" s="22"/>
      <c r="R40" s="840" t="e">
        <f>VLOOKUP(N40,Isolation!$B$32:$R$41,9)</f>
        <v>#N/A</v>
      </c>
      <c r="S40" s="22" t="str">
        <f t="shared" si="3"/>
        <v/>
      </c>
      <c r="U40" s="2294"/>
      <c r="V40" s="821" t="e">
        <f t="shared" si="5"/>
        <v>#N/A</v>
      </c>
      <c r="W40" t="e">
        <v>#N/A</v>
      </c>
      <c r="X40" t="e">
        <v>#N/A</v>
      </c>
      <c r="Y40" s="454" t="e">
        <v>#N/A</v>
      </c>
      <c r="Z40" t="e">
        <v>#N/A</v>
      </c>
      <c r="AA40" t="e">
        <v>#N/A</v>
      </c>
      <c r="AB40" t="e">
        <v>#N/A</v>
      </c>
      <c r="AC40" t="e">
        <v>#N/A</v>
      </c>
      <c r="AD40" t="e">
        <v>#N/A</v>
      </c>
      <c r="AE40" t="e">
        <v>#N/A</v>
      </c>
      <c r="AF40" t="e">
        <v>#N/A</v>
      </c>
      <c r="AG40" s="769" t="e" cm="1">
        <f t="array" ref="AG40">INDEX(W40:AF40,ROWS($1:3))</f>
        <v>#N/A</v>
      </c>
    </row>
    <row r="41" spans="2:33">
      <c r="F41" t="s">
        <v>1016</v>
      </c>
      <c r="G41">
        <f>G40+273.15</f>
        <v>280.45</v>
      </c>
      <c r="H41" s="160">
        <f t="shared" ref="H41:K41" si="7">H40+273.15</f>
        <v>281.76023042275853</v>
      </c>
      <c r="I41" s="160">
        <f t="shared" si="7"/>
        <v>281.75816406006351</v>
      </c>
      <c r="J41" s="160">
        <f t="shared" si="7"/>
        <v>281.75816887100802</v>
      </c>
      <c r="K41" s="160">
        <f t="shared" si="7"/>
        <v>281.75816885980362</v>
      </c>
      <c r="L41" s="160"/>
      <c r="M41" s="160"/>
      <c r="N41" s="836"/>
      <c r="O41" s="22"/>
      <c r="P41" s="22"/>
      <c r="Q41" s="22"/>
      <c r="R41" s="840" t="e">
        <f>VLOOKUP(N41,Isolation!$B$32:$R$41,9)</f>
        <v>#N/A</v>
      </c>
      <c r="S41" s="22" t="str">
        <f t="shared" si="3"/>
        <v/>
      </c>
      <c r="U41" s="2294"/>
      <c r="V41" s="821" t="e">
        <f t="shared" si="5"/>
        <v>#N/A</v>
      </c>
      <c r="W41" t="e">
        <v>#N/A</v>
      </c>
      <c r="X41" t="e">
        <v>#N/A</v>
      </c>
      <c r="Y41" t="e">
        <v>#N/A</v>
      </c>
      <c r="Z41" s="454" t="e">
        <v>#N/A</v>
      </c>
      <c r="AA41" t="e">
        <v>#N/A</v>
      </c>
      <c r="AB41" t="e">
        <v>#N/A</v>
      </c>
      <c r="AC41" t="e">
        <v>#N/A</v>
      </c>
      <c r="AD41" t="e">
        <v>#N/A</v>
      </c>
      <c r="AE41" t="e">
        <v>#N/A</v>
      </c>
      <c r="AF41" t="e">
        <v>#N/A</v>
      </c>
      <c r="AG41" s="769" t="e" cm="1">
        <f t="array" ref="AG41">INDEX(W41:AF41,ROWS($1:4))</f>
        <v>#N/A</v>
      </c>
    </row>
    <row r="42" spans="2:33">
      <c r="B42" t="s">
        <v>1109</v>
      </c>
      <c r="E42" t="s">
        <v>1017</v>
      </c>
      <c r="F42" t="s">
        <v>1018</v>
      </c>
      <c r="G42" s="735">
        <f>(Propriété_air!$Q$22*G41^4+Propriété_air!$R$22*G41^3+Propriété_air!$S$22*G41^2+Propriété_air!$T$22*G41+Propriété_air!$U$22)/10^3</f>
        <v>2.4697997985030862E-2</v>
      </c>
      <c r="H42" s="735">
        <f>(Propriété_air!$Q$22*H41^4+Propriété_air!$R$22*H41^3+Propriété_air!$S$22*H41^2+Propriété_air!$T$22*H41+Propriété_air!$U$22)/10^3</f>
        <v>2.4803172750107908E-2</v>
      </c>
      <c r="I42" s="735">
        <f>(Propriété_air!$Q$22*I41^4+Propriété_air!$R$22*I41^3+Propriété_air!$S$22*I41^2+Propriété_air!$T$22*I41+Propriété_air!$U$22)/10^3</f>
        <v>2.480300696066811E-2</v>
      </c>
      <c r="J42" s="735">
        <f>(Propriété_air!$Q$22*J41^4+Propriété_air!$R$22*J41^3+Propriété_air!$S$22*J41^2+Propriété_air!$T$22*J41+Propriété_air!$U$22)/10^3</f>
        <v>2.4803007346662499E-2</v>
      </c>
      <c r="K42" s="735">
        <f>(Propriété_air!$Q$22*K41^4+Propriété_air!$R$22*K41^3+Propriété_air!$S$22*K41^2+Propriété_air!$T$22*K41+Propriété_air!$U$22)/10^3</f>
        <v>2.4803007345763545E-2</v>
      </c>
      <c r="L42" s="735"/>
      <c r="M42" s="735"/>
      <c r="N42" s="836"/>
      <c r="O42" s="22"/>
      <c r="P42" s="22"/>
      <c r="Q42" s="22"/>
      <c r="R42" s="840" t="e">
        <f>VLOOKUP(N42,Isolation!$B$32:$R$41,9)</f>
        <v>#N/A</v>
      </c>
      <c r="S42" s="22" t="str">
        <f t="shared" si="3"/>
        <v/>
      </c>
      <c r="U42" s="2294"/>
      <c r="V42" s="821" t="e">
        <f t="shared" si="5"/>
        <v>#N/A</v>
      </c>
      <c r="W42" t="e">
        <v>#N/A</v>
      </c>
      <c r="X42" t="e">
        <v>#N/A</v>
      </c>
      <c r="Y42" t="e">
        <v>#N/A</v>
      </c>
      <c r="Z42" t="e">
        <v>#N/A</v>
      </c>
      <c r="AA42" s="454" t="e">
        <v>#N/A</v>
      </c>
      <c r="AB42" t="e">
        <v>#N/A</v>
      </c>
      <c r="AC42" t="e">
        <v>#N/A</v>
      </c>
      <c r="AD42" t="e">
        <v>#N/A</v>
      </c>
      <c r="AE42" t="e">
        <v>#N/A</v>
      </c>
      <c r="AF42" t="e">
        <v>#N/A</v>
      </c>
      <c r="AG42" s="769" t="e" cm="1">
        <f t="array" ref="AG42">INDEX(W42:AF42,ROWS($1:5))</f>
        <v>#N/A</v>
      </c>
    </row>
    <row r="43" spans="2:33">
      <c r="B43" t="s">
        <v>1110</v>
      </c>
      <c r="E43" t="s">
        <v>1019</v>
      </c>
      <c r="F43" t="s">
        <v>1057</v>
      </c>
      <c r="G43" s="736">
        <f>(Propriété_air!$Q$10*G41^4+Propriété_air!$R$10*G41^3+Propriété_air!$S$10*G41^2+Propriété_air!$T$10*G41+Propriété_air!$U$10)/10^7</f>
        <v>1.7520728318945848E-5</v>
      </c>
      <c r="H43" s="736">
        <f>(Propriété_air!$Q$10*H41^4+Propriété_air!$R$10*H41^3+Propriété_air!$S$10*H41^2+Propriété_air!$T$10*H41+Propriété_air!$U$10)/10^7</f>
        <v>1.7585927225557492E-5</v>
      </c>
      <c r="I43" s="736">
        <f>(Propriété_air!$Q$10*I41^4+Propriété_air!$R$10*I41^3+Propriété_air!$S$10*I41^2+Propriété_air!$T$10*I41+Propriété_air!$U$10)/10^7</f>
        <v>1.7585824499970504E-5</v>
      </c>
      <c r="J43" s="736">
        <f>(Propriété_air!$Q$10*J41^4+Propriété_air!$R$10*J41^3+Propriété_air!$S$10*J41^2+Propriété_air!$T$10*J41+Propriété_air!$U$10)/10^7</f>
        <v>1.758582473913851E-5</v>
      </c>
      <c r="K43" s="736">
        <f>(Propriété_air!$Q$10*K41^4+Propriété_air!$R$10*K41^3+Propriété_air!$S$10*K41^2+Propriété_air!$T$10*K41+Propriété_air!$U$10)/10^7</f>
        <v>1.7585824738581501E-5</v>
      </c>
      <c r="L43" s="736"/>
      <c r="M43" s="741"/>
      <c r="N43" s="836"/>
      <c r="O43" s="22"/>
      <c r="P43" s="22"/>
      <c r="Q43" s="22"/>
      <c r="R43" s="840" t="e">
        <f>VLOOKUP(N43,Isolation!$B$32:$R$41,9)</f>
        <v>#N/A</v>
      </c>
      <c r="S43" s="22" t="str">
        <f t="shared" si="3"/>
        <v/>
      </c>
      <c r="U43" s="2294"/>
      <c r="V43" s="821" t="e">
        <f t="shared" si="5"/>
        <v>#N/A</v>
      </c>
      <c r="W43" t="e">
        <v>#N/A</v>
      </c>
      <c r="X43" t="e">
        <v>#N/A</v>
      </c>
      <c r="Y43" t="e">
        <v>#N/A</v>
      </c>
      <c r="Z43" t="e">
        <v>#N/A</v>
      </c>
      <c r="AA43" t="e">
        <v>#N/A</v>
      </c>
      <c r="AB43" s="454" t="e">
        <v>#N/A</v>
      </c>
      <c r="AC43" t="e">
        <v>#N/A</v>
      </c>
      <c r="AD43" t="e">
        <v>#N/A</v>
      </c>
      <c r="AE43" t="e">
        <v>#N/A</v>
      </c>
      <c r="AF43" t="e">
        <v>#N/A</v>
      </c>
      <c r="AG43" s="769" t="e" cm="1">
        <f t="array" ref="AG43">INDEX(W43:AF43,ROWS($1:6))</f>
        <v>#N/A</v>
      </c>
    </row>
    <row r="44" spans="2:33">
      <c r="B44" t="s">
        <v>1020</v>
      </c>
      <c r="E44" t="s">
        <v>1021</v>
      </c>
      <c r="G44" s="724">
        <f>Propriété_air!$Q$34*G41^4+Propriété_air!$R$34*G41^3+Propriété_air!$S$34*G41^2+Propriété_air!$T$34*G41+Propriété_air!$U$34</f>
        <v>0.71227928382239991</v>
      </c>
      <c r="H44" s="724">
        <f>Propriété_air!$Q$34*H41^4+Propriété_air!$R$34*H41^3+Propriété_air!$S$34*H41^2+Propriété_air!$T$34*H41+Propriété_air!$U$34</f>
        <v>0.71192931728935693</v>
      </c>
      <c r="I44" s="724">
        <f>Propriété_air!$Q$34*I41^4+Propriété_air!$R$34*I41^3+Propriété_air!$S$34*I41^2+Propriété_air!$T$34*I41+Propriété_air!$U$34</f>
        <v>0.71192986736389052</v>
      </c>
      <c r="J44" s="724">
        <f>Propriété_air!$Q$34*J41^4+Propriété_air!$R$34*J41^3+Propriété_air!$S$34*J41^2+Propriété_air!$T$34*J41+Propriété_air!$U$34</f>
        <v>0.71192986608318987</v>
      </c>
      <c r="K44" s="724">
        <f>Propriété_air!$Q$34*K41^4+Propriété_air!$R$34*K41^3+Propriété_air!$S$34*K41^2+Propriété_air!$T$34*K41+Propriété_air!$U$34</f>
        <v>0.71192986608617248</v>
      </c>
      <c r="L44" s="724"/>
      <c r="M44" s="724"/>
      <c r="N44" s="836"/>
      <c r="O44" s="22"/>
      <c r="P44" s="22"/>
      <c r="Q44" s="22"/>
      <c r="R44" s="840" t="e">
        <f>VLOOKUP(N44,Isolation!$B$32:$R$41,9)</f>
        <v>#N/A</v>
      </c>
      <c r="S44" s="22" t="str">
        <f t="shared" si="3"/>
        <v/>
      </c>
      <c r="U44" s="2294"/>
      <c r="V44" s="821" t="e">
        <f t="shared" si="5"/>
        <v>#N/A</v>
      </c>
      <c r="W44" t="e">
        <v>#N/A</v>
      </c>
      <c r="X44" t="e">
        <v>#N/A</v>
      </c>
      <c r="Y44" t="e">
        <v>#N/A</v>
      </c>
      <c r="Z44" t="e">
        <v>#N/A</v>
      </c>
      <c r="AA44" t="e">
        <v>#N/A</v>
      </c>
      <c r="AB44" t="e">
        <v>#N/A</v>
      </c>
      <c r="AC44" s="454" t="e">
        <v>#N/A</v>
      </c>
      <c r="AD44" t="e">
        <v>#N/A</v>
      </c>
      <c r="AE44" t="e">
        <v>#N/A</v>
      </c>
      <c r="AF44" t="e">
        <v>#N/A</v>
      </c>
      <c r="AG44" s="769" t="e" cm="1">
        <f t="array" ref="AG44">INDEX(W44:AF44,ROWS($1:7))</f>
        <v>#N/A</v>
      </c>
    </row>
    <row r="45" spans="2:33">
      <c r="B45" t="s">
        <v>1111</v>
      </c>
      <c r="E45" t="s">
        <v>1022</v>
      </c>
      <c r="F45" t="s">
        <v>1023</v>
      </c>
      <c r="G45">
        <f>1/G41</f>
        <v>3.5656979853806382E-3</v>
      </c>
      <c r="H45">
        <f t="shared" ref="H45:K45" si="8">1/H41</f>
        <v>3.5491169158244247E-3</v>
      </c>
      <c r="I45">
        <f t="shared" si="8"/>
        <v>3.5491429443969048E-3</v>
      </c>
      <c r="J45">
        <f t="shared" si="8"/>
        <v>3.5491428837962492E-3</v>
      </c>
      <c r="K45">
        <f t="shared" si="8"/>
        <v>3.5491428839373846E-3</v>
      </c>
      <c r="L45" s="741"/>
      <c r="M45" s="244"/>
      <c r="N45" s="836"/>
      <c r="O45" s="22"/>
      <c r="P45" s="22"/>
      <c r="Q45" s="22"/>
      <c r="R45" s="840" t="e">
        <f>VLOOKUP(N45,Isolation!$B$32:$R$41,9)</f>
        <v>#N/A</v>
      </c>
      <c r="S45" s="22" t="str">
        <f t="shared" si="3"/>
        <v/>
      </c>
      <c r="U45" s="2294"/>
      <c r="V45" s="821" t="e">
        <f t="shared" si="5"/>
        <v>#N/A</v>
      </c>
      <c r="W45" t="e">
        <v>#N/A</v>
      </c>
      <c r="X45" t="e">
        <v>#N/A</v>
      </c>
      <c r="Y45" t="e">
        <v>#N/A</v>
      </c>
      <c r="Z45" t="e">
        <v>#N/A</v>
      </c>
      <c r="AA45" t="e">
        <v>#N/A</v>
      </c>
      <c r="AB45" t="e">
        <v>#N/A</v>
      </c>
      <c r="AC45" t="e">
        <v>#N/A</v>
      </c>
      <c r="AD45" s="454" t="e">
        <v>#N/A</v>
      </c>
      <c r="AE45" t="e">
        <v>#N/A</v>
      </c>
      <c r="AF45" t="e">
        <v>#N/A</v>
      </c>
      <c r="AG45" s="769" t="e" cm="1">
        <f t="array" ref="AG45">INDEX(W45:AF45,ROWS($1:8))</f>
        <v>#N/A</v>
      </c>
    </row>
    <row r="46" spans="2:33">
      <c r="B46" t="s">
        <v>1112</v>
      </c>
      <c r="E46" t="s">
        <v>1024</v>
      </c>
      <c r="F46" t="s">
        <v>1058</v>
      </c>
      <c r="G46" s="735">
        <f>Propriété_air!$Q$45/G41</f>
        <v>1.2587070965238392</v>
      </c>
      <c r="H46" s="735">
        <f>Propriété_air!$Q$45/H41</f>
        <v>1.2528539059272348</v>
      </c>
      <c r="I46" s="735">
        <f>Propriété_air!$Q$45/I41</f>
        <v>1.2528630941279819</v>
      </c>
      <c r="J46" s="735">
        <f>Propriété_air!$Q$45/J41</f>
        <v>1.2528630727356833</v>
      </c>
      <c r="K46" s="735">
        <f>Propriété_air!$Q$45/K41</f>
        <v>1.2528630727855048</v>
      </c>
      <c r="L46" s="735"/>
      <c r="M46" s="741"/>
      <c r="N46" s="836"/>
      <c r="O46" s="22"/>
      <c r="P46" s="22"/>
      <c r="Q46" s="22"/>
      <c r="R46" s="840" t="e">
        <f>VLOOKUP(N46,Isolation!$B$32:$R$41,9)</f>
        <v>#N/A</v>
      </c>
      <c r="S46" s="22" t="str">
        <f t="shared" si="3"/>
        <v/>
      </c>
      <c r="U46" s="2294"/>
      <c r="V46" s="821" t="e">
        <f t="shared" si="5"/>
        <v>#N/A</v>
      </c>
      <c r="W46" t="e">
        <v>#N/A</v>
      </c>
      <c r="X46" t="e">
        <v>#N/A</v>
      </c>
      <c r="Y46" t="e">
        <v>#N/A</v>
      </c>
      <c r="Z46" t="e">
        <v>#N/A</v>
      </c>
      <c r="AA46" t="e">
        <v>#N/A</v>
      </c>
      <c r="AB46" t="e">
        <v>#N/A</v>
      </c>
      <c r="AC46" t="e">
        <v>#N/A</v>
      </c>
      <c r="AD46" t="e">
        <v>#N/A</v>
      </c>
      <c r="AE46" s="454" t="e">
        <v>#N/A</v>
      </c>
      <c r="AF46" t="e">
        <v>#N/A</v>
      </c>
      <c r="AG46" s="769" t="e" cm="1">
        <f t="array" ref="AG46">INDEX(W46:AF46,ROWS($1:9))</f>
        <v>#N/A</v>
      </c>
    </row>
    <row r="47" spans="2:33" ht="15.75" thickBot="1">
      <c r="B47" t="s">
        <v>1025</v>
      </c>
      <c r="E47" t="s">
        <v>1026</v>
      </c>
      <c r="F47" t="s">
        <v>1027</v>
      </c>
      <c r="G47" s="736">
        <f>(Propriété_air!$Q$16*G41^4+Propriété_air!$R$16*G41^3+Propriété_air!$S$16*G41^2+Propriété_air!$T$16*G41+Propriété_air!$U$16)/10^6</f>
        <v>1.4107550211958557E-5</v>
      </c>
      <c r="H47" s="736">
        <f>(Propriété_air!$Q$16*H41^4+Propriété_air!$R$16*H41^3+Propriété_air!$S$16*H41^2+Propriété_air!$T$16*H41+Propriété_air!$U$16)/10^6</f>
        <v>1.4225467007471565E-5</v>
      </c>
      <c r="I47" s="736">
        <f>(Propriété_air!$Q$16*I41^4+Propriété_air!$R$16*I41^3+Propriété_air!$S$16*I41^2+Propriété_air!$T$16*I41+Propriété_air!$U$16)/10^6</f>
        <v>1.4225280735127243E-5</v>
      </c>
      <c r="J47" s="736">
        <f>(Propriété_air!$Q$16*J41^4+Propriété_air!$R$16*J41^3+Propriété_air!$S$16*J41^2+Propriété_air!$T$16*J41+Propriété_air!$U$16)/10^6</f>
        <v>1.4225281168808898E-5</v>
      </c>
      <c r="K47" s="736">
        <f>(Propriété_air!$Q$16*K41^4+Propriété_air!$R$16*K41^3+Propriété_air!$S$16*K41^2+Propriété_air!$T$16*K41+Propriété_air!$U$16)/10^6</f>
        <v>1.4225281167798879E-5</v>
      </c>
      <c r="L47" s="736"/>
      <c r="M47" s="735"/>
      <c r="N47" s="743"/>
      <c r="U47" s="2294"/>
      <c r="V47" s="821" t="e">
        <f t="shared" si="5"/>
        <v>#N/A</v>
      </c>
      <c r="W47" t="e">
        <v>#N/A</v>
      </c>
      <c r="X47" t="e">
        <v>#N/A</v>
      </c>
      <c r="Y47" t="e">
        <v>#N/A</v>
      </c>
      <c r="Z47" t="e">
        <v>#N/A</v>
      </c>
      <c r="AA47" t="e">
        <v>#N/A</v>
      </c>
      <c r="AB47" t="e">
        <v>#N/A</v>
      </c>
      <c r="AC47" t="e">
        <v>#N/A</v>
      </c>
      <c r="AD47" t="e">
        <v>#N/A</v>
      </c>
      <c r="AE47" t="e">
        <v>#N/A</v>
      </c>
      <c r="AF47" s="454" t="e">
        <v>#N/A</v>
      </c>
      <c r="AG47" s="839" t="e" cm="1">
        <f t="array" ref="AG47">INDEX(W47:AF47,ROWS($1:10))</f>
        <v>#N/A</v>
      </c>
    </row>
    <row r="48" spans="2:33">
      <c r="B48" t="s">
        <v>1113</v>
      </c>
      <c r="E48" t="s">
        <v>1028</v>
      </c>
      <c r="F48" t="s">
        <v>1029</v>
      </c>
      <c r="G48" s="160">
        <f>Propriété_air!$Q$4*G41^4+Propriété_air!$R$4*G41^3+Propriété_air!$S$4*G41^2+Propriété_air!$T$4*G41+Propriété_air!$U$4</f>
        <v>1.0045728873008533</v>
      </c>
      <c r="H48" s="160">
        <f>Propriété_air!$Q$4*H41^4+Propriété_air!$R$4*H41^3+Propriété_air!$S$4*H41^2+Propriété_air!$T$4*H41+Propriété_air!$U$4</f>
        <v>1.0045853133027201</v>
      </c>
      <c r="I48" s="160">
        <f>Propriété_air!$Q$4*I41^4+Propriété_air!$R$4*I41^3+Propriété_air!$S$4*I41^2+Propriété_air!$T$4*I41+Propriété_air!$U$4</f>
        <v>1.0045852919525868</v>
      </c>
      <c r="J48" s="160">
        <f>Propriété_air!$Q$4*J41^4+Propriété_air!$R$4*J41^3+Propriété_air!$S$4*J41^2+Propriété_air!$T$4*J41+Propriété_air!$U$4</f>
        <v>1.0045852920022882</v>
      </c>
      <c r="K48" s="160">
        <f>Propriété_air!$Q$4*K41^4+Propriété_air!$R$4*K41^3+Propriété_air!$S$4*K41^2+Propriété_air!$T$4*K41+Propriété_air!$U$4</f>
        <v>1.0045852920021723</v>
      </c>
      <c r="L48" s="160"/>
      <c r="M48" s="735"/>
      <c r="N48" s="724"/>
    </row>
    <row r="49" spans="2:33">
      <c r="B49" t="s">
        <v>1030</v>
      </c>
      <c r="E49" t="s">
        <v>1031</v>
      </c>
      <c r="F49" t="s">
        <v>1059</v>
      </c>
      <c r="G49" s="736">
        <f>(Propriété_air!$Q$28*G41^4+Propriété_air!$R$28*G41^3+Propriété_air!$S$28*G41^2+Propriété_air!$T$28*G41+Propriété_air!$U$28)/10^6</f>
        <v>1.9736849477875458E-5</v>
      </c>
      <c r="H49" s="736">
        <f>(Propriété_air!$Q$28*H41^4+Propriété_air!$R$28*H41^3+Propriété_air!$S$28*H41^2+Propriété_air!$T$28*H41+Propriété_air!$U$28)/10^6</f>
        <v>1.9916226223849238E-5</v>
      </c>
      <c r="I49" s="736">
        <f>(Propriété_air!$Q$28*I41^4+Propriété_air!$R$28*I41^3+Propriété_air!$S$28*I41^2+Propriété_air!$T$28*I41+Propriété_air!$U$28)/10^6</f>
        <v>1.9915942816354676E-5</v>
      </c>
      <c r="J49" s="736">
        <f>(Propriété_air!$Q$28*J41^4+Propriété_air!$R$28*J41^3+Propriété_air!$S$28*J41^2+Propriété_air!$T$28*J41+Propriété_air!$U$28)/10^6</f>
        <v>1.9915943476187457E-5</v>
      </c>
      <c r="K49" s="736">
        <f>(Propriété_air!$Q$28*K41^4+Propriété_air!$R$28*K41^3+Propriété_air!$S$28*K41^2+Propriété_air!$T$28*K41+Propriété_air!$U$28)/10^6</f>
        <v>1.9915943474650746E-5</v>
      </c>
      <c r="L49" s="736"/>
      <c r="M49" s="737"/>
      <c r="N49" s="2295" t="s">
        <v>1202</v>
      </c>
      <c r="O49" s="2295"/>
      <c r="P49" s="2295"/>
      <c r="Q49" s="2295"/>
      <c r="R49" s="2295"/>
      <c r="S49" s="2295"/>
      <c r="T49" s="2295"/>
      <c r="U49" s="2295"/>
      <c r="V49" s="2295"/>
      <c r="W49" s="2295"/>
      <c r="X49" s="2295"/>
      <c r="Y49" s="2295"/>
      <c r="Z49" s="2295"/>
      <c r="AA49" s="2295"/>
      <c r="AB49" s="2295"/>
      <c r="AC49" s="2295"/>
      <c r="AD49" s="2295"/>
      <c r="AE49" s="2295"/>
      <c r="AF49" s="2295"/>
      <c r="AG49" s="2295"/>
    </row>
    <row r="50" spans="2:33" ht="17.25">
      <c r="B50" t="s">
        <v>1032</v>
      </c>
      <c r="E50" t="s">
        <v>1033</v>
      </c>
      <c r="G50" s="743">
        <f>($E$18/1000)*$E$12/G47</f>
        <v>30182.81654876245</v>
      </c>
      <c r="H50" s="743">
        <f t="shared" ref="H50:K50" si="9">($E$18/1000)*$E$12/H47</f>
        <v>29932.627152160021</v>
      </c>
      <c r="I50" s="743">
        <f t="shared" si="9"/>
        <v>29933.019103695824</v>
      </c>
      <c r="J50" s="743">
        <f t="shared" si="9"/>
        <v>29933.018191137322</v>
      </c>
      <c r="K50" s="743">
        <f t="shared" si="9"/>
        <v>29933.018193262618</v>
      </c>
      <c r="L50" s="743"/>
      <c r="M50" s="743"/>
      <c r="N50" s="2296" t="s">
        <v>1136</v>
      </c>
      <c r="O50" s="829" t="s">
        <v>1205</v>
      </c>
      <c r="P50" s="829" t="s">
        <v>1138</v>
      </c>
      <c r="Q50" s="2297" t="s">
        <v>1148</v>
      </c>
      <c r="R50" s="829" t="s">
        <v>1203</v>
      </c>
      <c r="S50" s="829" t="s">
        <v>1135</v>
      </c>
      <c r="W50" s="2299" t="s">
        <v>1208</v>
      </c>
      <c r="X50" s="2299"/>
      <c r="Y50" s="2299"/>
      <c r="Z50" s="2299"/>
      <c r="AA50" s="2299"/>
      <c r="AB50" s="2299"/>
      <c r="AC50" s="2299"/>
      <c r="AD50" s="2299"/>
      <c r="AE50" s="2299"/>
      <c r="AF50" s="2299"/>
    </row>
    <row r="51" spans="2:33" ht="17.25">
      <c r="B51" t="s">
        <v>1034</v>
      </c>
      <c r="E51" t="s">
        <v>1035</v>
      </c>
      <c r="G51" s="743">
        <f>9.81*G45*ABS(G37-$E$11)*($E$18/1000)^3/(G47*G49)</f>
        <v>868498.49332665431</v>
      </c>
      <c r="H51" s="743">
        <f t="shared" ref="H51:K51" si="10">9.81*H45*ABS(H37-$E$11)*($E$18/1000)^3/(H47*H49)</f>
        <v>3075845.5582048316</v>
      </c>
      <c r="I51" s="743">
        <f t="shared" si="10"/>
        <v>3072440.9901138442</v>
      </c>
      <c r="J51" s="743">
        <f t="shared" si="10"/>
        <v>3072448.9169707783</v>
      </c>
      <c r="K51" s="743">
        <f t="shared" si="10"/>
        <v>3072448.8985095727</v>
      </c>
      <c r="L51" s="743"/>
      <c r="M51" s="743"/>
      <c r="N51" s="2296"/>
      <c r="O51" s="830" t="s">
        <v>1220</v>
      </c>
      <c r="P51" s="830" t="s">
        <v>1142</v>
      </c>
      <c r="Q51" s="2298"/>
      <c r="R51" s="831" t="s">
        <v>1158</v>
      </c>
      <c r="S51" s="830" t="s">
        <v>1213</v>
      </c>
      <c r="W51" s="2300" t="s">
        <v>985</v>
      </c>
      <c r="X51" s="2300"/>
      <c r="Y51" s="2300"/>
      <c r="Z51" s="2300"/>
      <c r="AA51" s="2300"/>
      <c r="AB51" s="2300"/>
      <c r="AC51" s="2300"/>
      <c r="AD51" s="2300"/>
      <c r="AE51" s="2300"/>
      <c r="AF51" s="2300"/>
      <c r="AG51" s="2301" t="s">
        <v>1156</v>
      </c>
    </row>
    <row r="52" spans="2:33" ht="15.75" thickBot="1">
      <c r="N52" s="836" t="e" cm="1" vm="2">
        <f t="array" ref="N52">_xlfn._xlws.FILTER(Isolation!$B$47:$E$56,Isolation!$E$47:'Isolation'!$E$56='Isolation - CAS 3'!P6&amp;"_"&amp;'Isolation - CAS 3'!P7)</f>
        <v>#VALUE!</v>
      </c>
      <c r="O52" s="22"/>
      <c r="P52" s="22"/>
      <c r="Q52" s="22"/>
      <c r="R52" s="840" t="e" vm="1">
        <f>VLOOKUP(N52,Isolation!$B$47:$R$56,9)</f>
        <v>#VALUE!</v>
      </c>
      <c r="S52" s="22" t="e" vm="1">
        <f t="shared" ref="S52:S61" si="11">IF(N52="","",AG53)</f>
        <v>#VALUE!</v>
      </c>
      <c r="V52" s="774">
        <f>$E$32</f>
        <v>2017.1516248443409</v>
      </c>
      <c r="W52" s="818" cm="1">
        <f t="array" ref="W52:AF52">TRANSPOSE(P52:P61)</f>
        <v>0</v>
      </c>
      <c r="X52" s="818">
        <v>0</v>
      </c>
      <c r="Y52" s="818">
        <v>0</v>
      </c>
      <c r="Z52" s="818">
        <v>0</v>
      </c>
      <c r="AA52" s="818">
        <v>0</v>
      </c>
      <c r="AB52" s="818">
        <v>0</v>
      </c>
      <c r="AC52" s="818">
        <v>0</v>
      </c>
      <c r="AD52" s="818">
        <v>0</v>
      </c>
      <c r="AE52" s="818">
        <v>0</v>
      </c>
      <c r="AF52" s="818">
        <v>0</v>
      </c>
      <c r="AG52" s="2301"/>
    </row>
    <row r="53" spans="2:33">
      <c r="B53" s="4" t="s">
        <v>1114</v>
      </c>
      <c r="N53" s="836"/>
      <c r="O53" s="22"/>
      <c r="P53" s="22"/>
      <c r="Q53" s="22"/>
      <c r="R53" s="840" t="e">
        <f>VLOOKUP(N53,Isolation!$B$47:$R$56,9)</f>
        <v>#N/A</v>
      </c>
      <c r="S53" s="22" t="str">
        <f t="shared" si="11"/>
        <v/>
      </c>
      <c r="U53" s="2294" t="s">
        <v>1204</v>
      </c>
      <c r="V53" s="821" t="e" vm="1">
        <f>R52</f>
        <v>#VALUE!</v>
      </c>
      <c r="W53" s="454"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838" t="e" cm="1" vm="1">
        <f t="array" ref="AG53">INDEX(W53:AF53,ROWS($1:1))</f>
        <v>#VALUE!</v>
      </c>
    </row>
    <row r="54" spans="2:33">
      <c r="B54" t="s">
        <v>1036</v>
      </c>
      <c r="E54" t="s">
        <v>1037</v>
      </c>
      <c r="F54" t="s">
        <v>1060</v>
      </c>
      <c r="G54" s="160">
        <f>'Facteurs conversion'!$C$30*$E$16*((G37+273.15)^4-($E$11+273.15)^4)/((G37+273.15)-($E$11+273.15))</f>
        <v>4.5027926742932971</v>
      </c>
      <c r="H54" s="160">
        <f>'Facteurs conversion'!$C$30*$E$16*((H37+273.15)^4-($E$11+273.15)^4)/((H37+273.15)-($E$11+273.15))</f>
        <v>4.5663715407773218</v>
      </c>
      <c r="I54" s="160">
        <f>'Facteurs conversion'!$C$30*$E$16*((I37+273.15)^4-($E$11+273.15)^4)/((I37+273.15)-($E$11+273.15))</f>
        <v>4.5662706481771282</v>
      </c>
      <c r="J54" s="160">
        <f>'Facteurs conversion'!$C$30*$E$16*((J37+273.15)^4-($E$11+273.15)^4)/((J37+273.15)-($E$11+273.15))</f>
        <v>4.5662708830748757</v>
      </c>
      <c r="K54" s="160">
        <f>'Facteurs conversion'!$C$30*$E$16*((K37+273.15)^4-($E$11+273.15)^4)/((K37+273.15)-($E$11+273.15))</f>
        <v>4.5662708825278129</v>
      </c>
      <c r="L54" s="160"/>
      <c r="M54" s="735"/>
      <c r="N54" s="836"/>
      <c r="O54" s="22"/>
      <c r="P54" s="22"/>
      <c r="Q54" s="22"/>
      <c r="R54" s="840" t="e">
        <f>VLOOKUP(N54,Isolation!$B$47:$R$56,9)</f>
        <v>#N/A</v>
      </c>
      <c r="S54" s="22" t="str">
        <f t="shared" si="11"/>
        <v/>
      </c>
      <c r="U54" s="2294"/>
      <c r="V54" s="821" t="e">
        <f t="shared" ref="V54:V62" si="12">R53</f>
        <v>#N/A</v>
      </c>
      <c r="W54" t="e">
        <v>#N/A</v>
      </c>
      <c r="X54" s="454" t="e">
        <v>#N/A</v>
      </c>
      <c r="Y54" t="e">
        <v>#N/A</v>
      </c>
      <c r="Z54" t="e">
        <v>#N/A</v>
      </c>
      <c r="AA54" t="e">
        <v>#N/A</v>
      </c>
      <c r="AB54" t="e">
        <v>#N/A</v>
      </c>
      <c r="AC54" t="e">
        <v>#N/A</v>
      </c>
      <c r="AD54" t="e">
        <v>#N/A</v>
      </c>
      <c r="AE54" t="e">
        <v>#N/A</v>
      </c>
      <c r="AF54" t="e">
        <v>#N/A</v>
      </c>
      <c r="AG54" s="769" t="e" cm="1">
        <f t="array" ref="AG54">INDEX(W54:AF54,ROWS($1:2))</f>
        <v>#N/A</v>
      </c>
    </row>
    <row r="55" spans="2:33">
      <c r="B55" t="s">
        <v>1038</v>
      </c>
      <c r="N55" s="836"/>
      <c r="O55" s="22"/>
      <c r="P55" s="22"/>
      <c r="Q55" s="22"/>
      <c r="R55" s="840" t="e">
        <f>VLOOKUP(N55,Isolation!$B$47:$R$56,9)</f>
        <v>#N/A</v>
      </c>
      <c r="S55" s="22" t="str">
        <f t="shared" si="11"/>
        <v/>
      </c>
      <c r="U55" s="2294"/>
      <c r="V55" s="821" t="e">
        <f t="shared" si="12"/>
        <v>#N/A</v>
      </c>
      <c r="W55" t="e">
        <v>#N/A</v>
      </c>
      <c r="X55" t="e">
        <v>#N/A</v>
      </c>
      <c r="Y55" s="454" t="e">
        <v>#N/A</v>
      </c>
      <c r="Z55" t="e">
        <v>#N/A</v>
      </c>
      <c r="AA55" t="e">
        <v>#N/A</v>
      </c>
      <c r="AB55" t="e">
        <v>#N/A</v>
      </c>
      <c r="AC55" t="e">
        <v>#N/A</v>
      </c>
      <c r="AD55" t="e">
        <v>#N/A</v>
      </c>
      <c r="AE55" t="e">
        <v>#N/A</v>
      </c>
      <c r="AF55" t="e">
        <v>#N/A</v>
      </c>
      <c r="AG55" s="769" t="e" cm="1">
        <f t="array" ref="AG55">INDEX(W55:AF55,ROWS($1:3))</f>
        <v>#N/A</v>
      </c>
    </row>
    <row r="56" spans="2:33">
      <c r="B56" t="s">
        <v>1115</v>
      </c>
      <c r="E56" t="s">
        <v>1039</v>
      </c>
      <c r="G56" s="733">
        <f>0.3+(0.62*G50^0.5*G44^(1/3))*(1+(G50/282000)^(5/8))^(4/5)/(1 + (0.4/G44)^(2/3))^(1/4)</f>
        <v>101.13138274303155</v>
      </c>
      <c r="H56" s="733">
        <f>0.3+(0.62*H50^0.5*H44^(1/3))*(1+(H50/282000)^(5/8))^(4/5)/(1 + (0.4/H44)^(2/3))^(1/4)</f>
        <v>100.61016475022672</v>
      </c>
      <c r="I56" s="733">
        <f t="shared" ref="I56:K56" si="13">0.3+(0.62*I50^0.5*I44^(1/3))*(1+(I50/282000)^(5/8))^(4/5)/(1 + (0.4/I44)^(2/3))^(1/4)</f>
        <v>100.61098229395232</v>
      </c>
      <c r="J56" s="733">
        <f t="shared" si="13"/>
        <v>100.61098039051534</v>
      </c>
      <c r="K56" s="733">
        <f t="shared" si="13"/>
        <v>100.61098039494834</v>
      </c>
      <c r="L56" s="733"/>
      <c r="M56" s="733"/>
      <c r="N56" s="836"/>
      <c r="O56" s="22"/>
      <c r="P56" s="22"/>
      <c r="Q56" s="22"/>
      <c r="R56" s="840" t="e">
        <f>VLOOKUP(N56,Isolation!$B$47:$R$56,9)</f>
        <v>#N/A</v>
      </c>
      <c r="S56" s="22" t="str">
        <f t="shared" si="11"/>
        <v/>
      </c>
      <c r="U56" s="2294"/>
      <c r="V56" s="821" t="e">
        <f t="shared" si="12"/>
        <v>#N/A</v>
      </c>
      <c r="W56" t="e">
        <v>#N/A</v>
      </c>
      <c r="X56" t="e">
        <v>#N/A</v>
      </c>
      <c r="Y56" t="e">
        <v>#N/A</v>
      </c>
      <c r="Z56" s="454" t="e">
        <v>#N/A</v>
      </c>
      <c r="AA56" t="e">
        <v>#N/A</v>
      </c>
      <c r="AB56" t="e">
        <v>#N/A</v>
      </c>
      <c r="AC56" t="e">
        <v>#N/A</v>
      </c>
      <c r="AD56" t="e">
        <v>#N/A</v>
      </c>
      <c r="AE56" t="e">
        <v>#N/A</v>
      </c>
      <c r="AF56" t="e">
        <v>#N/A</v>
      </c>
      <c r="AG56" s="769" t="e" cm="1">
        <f t="array" ref="AG56">INDEX(W56:AF56,ROWS($1:4))</f>
        <v>#N/A</v>
      </c>
    </row>
    <row r="57" spans="2:33">
      <c r="E57" t="s">
        <v>1040</v>
      </c>
      <c r="F57" t="s">
        <v>1060</v>
      </c>
      <c r="G57" s="160">
        <f>G56*G42/($E$18/1000)</f>
        <v>13.111510169085449</v>
      </c>
      <c r="H57" s="160">
        <f t="shared" ref="H57:K57" si="14">H56*H42/($E$18/1000)</f>
        <v>13.099481872528559</v>
      </c>
      <c r="I57" s="160">
        <f t="shared" si="14"/>
        <v>13.099500756727325</v>
      </c>
      <c r="J57" s="160">
        <f t="shared" si="14"/>
        <v>13.099500712760465</v>
      </c>
      <c r="K57" s="160">
        <f t="shared" si="14"/>
        <v>13.099500712862865</v>
      </c>
      <c r="L57" s="160"/>
      <c r="M57" s="735"/>
      <c r="N57" s="836"/>
      <c r="O57" s="22"/>
      <c r="P57" s="22"/>
      <c r="Q57" s="22"/>
      <c r="R57" s="840" t="e">
        <f>VLOOKUP(N57,Isolation!$B$47:$R$56,9)</f>
        <v>#N/A</v>
      </c>
      <c r="S57" s="22" t="str">
        <f t="shared" si="11"/>
        <v/>
      </c>
      <c r="U57" s="2294"/>
      <c r="V57" s="821" t="e">
        <f t="shared" si="12"/>
        <v>#N/A</v>
      </c>
      <c r="W57" t="e">
        <v>#N/A</v>
      </c>
      <c r="X57" t="e">
        <v>#N/A</v>
      </c>
      <c r="Y57" t="e">
        <v>#N/A</v>
      </c>
      <c r="Z57" t="e">
        <v>#N/A</v>
      </c>
      <c r="AA57" s="454" t="e">
        <v>#N/A</v>
      </c>
      <c r="AB57" t="e">
        <v>#N/A</v>
      </c>
      <c r="AC57" t="e">
        <v>#N/A</v>
      </c>
      <c r="AD57" t="e">
        <v>#N/A</v>
      </c>
      <c r="AE57" t="e">
        <v>#N/A</v>
      </c>
      <c r="AF57" t="e">
        <v>#N/A</v>
      </c>
      <c r="AG57" s="769" t="e" cm="1">
        <f t="array" ref="AG57">INDEX(W57:AF57,ROWS($1:5))</f>
        <v>#N/A</v>
      </c>
    </row>
    <row r="58" spans="2:33">
      <c r="B58" t="s">
        <v>1041</v>
      </c>
      <c r="E58" t="s">
        <v>1042</v>
      </c>
      <c r="G58" s="160">
        <f>(0.6 + 0.387*G51^(1/6)/( 1 +(0.559/G44)^(9/16))^(8/27))^2</f>
        <v>13.979671461947696</v>
      </c>
      <c r="H58" s="160">
        <f t="shared" ref="H58:K58" si="15">(0.6 + 0.387*H51^(1/6)/( 1 +(0.559/H44)^(9/16))^(8/27))^2</f>
        <v>20.027804438310042</v>
      </c>
      <c r="I58" s="160">
        <f t="shared" si="15"/>
        <v>20.021405375321898</v>
      </c>
      <c r="J58" s="160">
        <f t="shared" si="15"/>
        <v>20.021420279938908</v>
      </c>
      <c r="K58" s="160">
        <f t="shared" si="15"/>
        <v>20.02142024522691</v>
      </c>
      <c r="L58" s="160"/>
      <c r="M58" s="160"/>
      <c r="N58" s="836"/>
      <c r="O58" s="22"/>
      <c r="P58" s="22"/>
      <c r="Q58" s="22"/>
      <c r="R58" s="840" t="e">
        <f>VLOOKUP(N58,Isolation!$B$47:$R$56,9)</f>
        <v>#N/A</v>
      </c>
      <c r="S58" s="22" t="str">
        <f t="shared" si="11"/>
        <v/>
      </c>
      <c r="U58" s="2294"/>
      <c r="V58" s="821" t="e">
        <f t="shared" si="12"/>
        <v>#N/A</v>
      </c>
      <c r="W58" t="e">
        <v>#N/A</v>
      </c>
      <c r="X58" t="e">
        <v>#N/A</v>
      </c>
      <c r="Y58" t="e">
        <v>#N/A</v>
      </c>
      <c r="Z58" t="e">
        <v>#N/A</v>
      </c>
      <c r="AA58" t="e">
        <v>#N/A</v>
      </c>
      <c r="AB58" s="454" t="e">
        <v>#N/A</v>
      </c>
      <c r="AC58" t="e">
        <v>#N/A</v>
      </c>
      <c r="AD58" t="e">
        <v>#N/A</v>
      </c>
      <c r="AE58" t="e">
        <v>#N/A</v>
      </c>
      <c r="AF58" t="e">
        <v>#N/A</v>
      </c>
      <c r="AG58" s="769" t="e" cm="1">
        <f t="array" ref="AG58">INDEX(W58:AF58,ROWS($1:6))</f>
        <v>#N/A</v>
      </c>
    </row>
    <row r="59" spans="2:33">
      <c r="E59" t="s">
        <v>1043</v>
      </c>
      <c r="F59" t="s">
        <v>1060</v>
      </c>
      <c r="G59" s="160">
        <f>G58*G42/($E$18/1000)</f>
        <v>1.8124404073416147</v>
      </c>
      <c r="H59" s="160">
        <f t="shared" ref="H59:K59" si="16">H58*H42/($E$18/1000)</f>
        <v>2.6076277862928183</v>
      </c>
      <c r="I59" s="160">
        <f t="shared" si="16"/>
        <v>2.6067772015037636</v>
      </c>
      <c r="J59" s="160">
        <f t="shared" si="16"/>
        <v>2.6067791826453663</v>
      </c>
      <c r="K59" s="160">
        <f t="shared" si="16"/>
        <v>2.6067791780314016</v>
      </c>
      <c r="L59" s="160"/>
      <c r="M59" s="735"/>
      <c r="N59" s="836"/>
      <c r="O59" s="22"/>
      <c r="P59" s="22"/>
      <c r="Q59" s="22"/>
      <c r="R59" s="840" t="e">
        <f>VLOOKUP(N59,Isolation!$B$47:$R$56,9)</f>
        <v>#N/A</v>
      </c>
      <c r="S59" s="22" t="str">
        <f t="shared" si="11"/>
        <v/>
      </c>
      <c r="U59" s="2294"/>
      <c r="V59" s="821" t="e">
        <f t="shared" si="12"/>
        <v>#N/A</v>
      </c>
      <c r="W59" t="e">
        <v>#N/A</v>
      </c>
      <c r="X59" t="e">
        <v>#N/A</v>
      </c>
      <c r="Y59" t="e">
        <v>#N/A</v>
      </c>
      <c r="Z59" t="e">
        <v>#N/A</v>
      </c>
      <c r="AA59" t="e">
        <v>#N/A</v>
      </c>
      <c r="AB59" t="e">
        <v>#N/A</v>
      </c>
      <c r="AC59" s="454" t="e">
        <v>#N/A</v>
      </c>
      <c r="AD59" t="e">
        <v>#N/A</v>
      </c>
      <c r="AE59" t="e">
        <v>#N/A</v>
      </c>
      <c r="AF59" t="e">
        <v>#N/A</v>
      </c>
      <c r="AG59" s="769" t="e" cm="1">
        <f t="array" ref="AG59">INDEX(W59:AF59,ROWS($1:7))</f>
        <v>#N/A</v>
      </c>
    </row>
    <row r="60" spans="2:33">
      <c r="B60" t="s">
        <v>1116</v>
      </c>
      <c r="E60" t="s">
        <v>1044</v>
      </c>
      <c r="G60" s="733">
        <f>(G56^4+G58^4)^(1/4)</f>
        <v>101.1406129316766</v>
      </c>
      <c r="H60" s="733">
        <f t="shared" ref="H60:K60" si="17">(H56^4+H58^4)^(1/4)</f>
        <v>100.64963703136549</v>
      </c>
      <c r="I60" s="733">
        <f t="shared" si="17"/>
        <v>100.65040322164784</v>
      </c>
      <c r="J60" s="733">
        <f t="shared" si="17"/>
        <v>100.65040143776284</v>
      </c>
      <c r="K60" s="733">
        <f t="shared" si="17"/>
        <v>100.65040144191741</v>
      </c>
      <c r="L60" s="733"/>
      <c r="M60" s="733"/>
      <c r="N60" s="836"/>
      <c r="O60" s="22"/>
      <c r="P60" s="22"/>
      <c r="Q60" s="22"/>
      <c r="R60" s="840" t="e">
        <f>VLOOKUP(N60,Isolation!$B$47:$R$56,9)</f>
        <v>#N/A</v>
      </c>
      <c r="S60" s="22" t="str">
        <f t="shared" si="11"/>
        <v/>
      </c>
      <c r="U60" s="2294"/>
      <c r="V60" s="821" t="e">
        <f t="shared" si="12"/>
        <v>#N/A</v>
      </c>
      <c r="W60" t="e">
        <v>#N/A</v>
      </c>
      <c r="X60" t="e">
        <v>#N/A</v>
      </c>
      <c r="Y60" t="e">
        <v>#N/A</v>
      </c>
      <c r="Z60" t="e">
        <v>#N/A</v>
      </c>
      <c r="AA60" t="e">
        <v>#N/A</v>
      </c>
      <c r="AB60" t="e">
        <v>#N/A</v>
      </c>
      <c r="AC60" t="e">
        <v>#N/A</v>
      </c>
      <c r="AD60" s="454" t="e">
        <v>#N/A</v>
      </c>
      <c r="AE60" t="e">
        <v>#N/A</v>
      </c>
      <c r="AF60" t="e">
        <v>#N/A</v>
      </c>
      <c r="AG60" s="769" t="e" cm="1">
        <f t="array" ref="AG60">INDEX(W60:AF60,ROWS($1:8))</f>
        <v>#N/A</v>
      </c>
    </row>
    <row r="61" spans="2:33">
      <c r="E61" t="s">
        <v>1045</v>
      </c>
      <c r="F61" t="s">
        <v>1060</v>
      </c>
      <c r="G61" s="160">
        <f>G60*G42/($E$18/1000)</f>
        <v>13.112706847198607</v>
      </c>
      <c r="H61" s="160">
        <f t="shared" ref="H61:K61" si="18">H60*H42/($E$18/1000)</f>
        <v>13.104621178606909</v>
      </c>
      <c r="I61" s="160">
        <f t="shared" si="18"/>
        <v>13.104633342260279</v>
      </c>
      <c r="J61" s="160">
        <f t="shared" si="18"/>
        <v>13.104633313938907</v>
      </c>
      <c r="K61" s="160">
        <f t="shared" si="18"/>
        <v>13.104633314004866</v>
      </c>
      <c r="L61" s="160"/>
      <c r="M61" s="160"/>
      <c r="N61" s="836"/>
      <c r="O61" s="22"/>
      <c r="P61" s="22"/>
      <c r="Q61" s="22"/>
      <c r="R61" s="840" t="e">
        <f>VLOOKUP(N61,Isolation!$B$47:$R$56,9)</f>
        <v>#N/A</v>
      </c>
      <c r="S61" s="22" t="str">
        <f t="shared" si="11"/>
        <v/>
      </c>
      <c r="U61" s="2294"/>
      <c r="V61" s="821" t="e">
        <f t="shared" si="12"/>
        <v>#N/A</v>
      </c>
      <c r="W61" t="e">
        <v>#N/A</v>
      </c>
      <c r="X61" t="e">
        <v>#N/A</v>
      </c>
      <c r="Y61" t="e">
        <v>#N/A</v>
      </c>
      <c r="Z61" t="e">
        <v>#N/A</v>
      </c>
      <c r="AA61" t="e">
        <v>#N/A</v>
      </c>
      <c r="AB61" t="e">
        <v>#N/A</v>
      </c>
      <c r="AC61" t="e">
        <v>#N/A</v>
      </c>
      <c r="AD61" t="e">
        <v>#N/A</v>
      </c>
      <c r="AE61" s="454" t="e">
        <v>#N/A</v>
      </c>
      <c r="AF61" t="e">
        <v>#N/A</v>
      </c>
      <c r="AG61" s="769" t="e" cm="1">
        <f t="array" ref="AG61">INDEX(W61:AF61,ROWS($1:9))</f>
        <v>#N/A</v>
      </c>
    </row>
    <row r="62" spans="2:33" ht="15.75" thickBot="1">
      <c r="B62" t="s">
        <v>1117</v>
      </c>
      <c r="E62" t="s">
        <v>1046</v>
      </c>
      <c r="F62" t="s">
        <v>1060</v>
      </c>
      <c r="G62" s="160">
        <f>G61+G54</f>
        <v>17.615499521491905</v>
      </c>
      <c r="H62" s="160">
        <f t="shared" ref="H62:K62" si="19">H61+H54</f>
        <v>17.67099271938423</v>
      </c>
      <c r="I62" s="160">
        <f t="shared" si="19"/>
        <v>17.670903990437406</v>
      </c>
      <c r="J62" s="160">
        <f t="shared" si="19"/>
        <v>17.670904197013783</v>
      </c>
      <c r="K62" s="160">
        <f t="shared" si="19"/>
        <v>17.670904196532678</v>
      </c>
      <c r="L62" s="160"/>
      <c r="M62" s="160"/>
      <c r="N62" s="743"/>
      <c r="U62" s="2294"/>
      <c r="V62" s="821" t="e">
        <f t="shared" si="12"/>
        <v>#N/A</v>
      </c>
      <c r="W62" t="e">
        <v>#N/A</v>
      </c>
      <c r="X62" t="e">
        <v>#N/A</v>
      </c>
      <c r="Y62" t="e">
        <v>#N/A</v>
      </c>
      <c r="Z62" t="e">
        <v>#N/A</v>
      </c>
      <c r="AA62" t="e">
        <v>#N/A</v>
      </c>
      <c r="AB62" t="e">
        <v>#N/A</v>
      </c>
      <c r="AC62" t="e">
        <v>#N/A</v>
      </c>
      <c r="AD62" t="e">
        <v>#N/A</v>
      </c>
      <c r="AE62" t="e">
        <v>#N/A</v>
      </c>
      <c r="AF62" s="454" t="e">
        <v>#N/A</v>
      </c>
      <c r="AG62" s="839" t="e" cm="1">
        <f t="array" ref="AG62">INDEX(W62:AF62,ROWS($1:10))</f>
        <v>#N/A</v>
      </c>
    </row>
    <row r="63" spans="2:33">
      <c r="B63" s="4" t="s">
        <v>1118</v>
      </c>
      <c r="G63" s="160"/>
      <c r="H63" s="160"/>
      <c r="I63" s="160"/>
      <c r="J63" s="160"/>
      <c r="K63" s="160"/>
    </row>
    <row r="64" spans="2:33">
      <c r="B64" t="s">
        <v>1109</v>
      </c>
      <c r="E64" t="s">
        <v>1047</v>
      </c>
      <c r="F64" t="s">
        <v>1018</v>
      </c>
      <c r="G64" s="160">
        <f>Propriété_matériau!$G$9*($E$10+273.15)^3+Propriété_matériau!$H$9*($E$10+273.15)^2+Propriété_matériau!$I$9*($E$10+273.15)+Propriété_matériau!$J$9</f>
        <v>60.381356365592872</v>
      </c>
      <c r="H64" s="160">
        <f>Propriété_matériau!$G$9*($E$10+273.15)^3+Propriété_matériau!$H$9*($E$10+273.15)^2+Propriété_matériau!$I$9*($E$10+273.15)+Propriété_matériau!$J$9</f>
        <v>60.381356365592872</v>
      </c>
      <c r="I64" s="160">
        <f>Propriété_matériau!$G$9*($E$10+273.15)^3+Propriété_matériau!$H$9*($E$10+273.15)^2+Propriété_matériau!$I$9*($E$10+273.15)+Propriété_matériau!$J$9</f>
        <v>60.381356365592872</v>
      </c>
      <c r="J64" s="160">
        <f>Propriété_matériau!$G$9*($E$10+273.15)^3+Propriété_matériau!$H$9*($E$10+273.15)^2+Propriété_matériau!$I$9*($E$10+273.15)+Propriété_matériau!$J$9</f>
        <v>60.381356365592872</v>
      </c>
      <c r="K64" s="160">
        <f>Propriété_matériau!$G$9*($E$10+273.15)^3+Propriété_matériau!$H$9*($E$10+273.15)^2+Propriété_matériau!$I$9*($E$10+273.15)+Propriété_matériau!$J$9</f>
        <v>60.381356365592872</v>
      </c>
      <c r="L64" s="160"/>
      <c r="M64" s="160"/>
      <c r="N64" s="2295" t="s">
        <v>1510</v>
      </c>
      <c r="O64" s="2295"/>
      <c r="P64" s="2295"/>
      <c r="Q64" s="2295"/>
      <c r="R64" s="2295"/>
      <c r="S64" s="2295"/>
      <c r="T64" s="2295"/>
      <c r="U64" s="2295"/>
      <c r="V64" s="2295"/>
      <c r="W64" s="2295"/>
      <c r="X64" s="2295"/>
      <c r="Y64" s="2295"/>
      <c r="Z64" s="2295"/>
      <c r="AA64" s="2295"/>
      <c r="AB64" s="2295"/>
      <c r="AC64" s="2295"/>
      <c r="AD64" s="2295"/>
      <c r="AE64" s="2295"/>
      <c r="AF64" s="2295"/>
      <c r="AG64" s="2295"/>
    </row>
    <row r="65" spans="2:33" ht="17.25">
      <c r="B65" t="s">
        <v>1119</v>
      </c>
      <c r="E65" t="s">
        <v>1048</v>
      </c>
      <c r="F65" t="s">
        <v>1061</v>
      </c>
      <c r="G65" s="741">
        <f>($E$18/1000)*LN($E$9/$E$8)/(2*G64)</f>
        <v>2.7276881455942807E-5</v>
      </c>
      <c r="H65" s="741">
        <f t="shared" ref="H65:K65" si="20">($E$18/1000)*LN($E$9/$E$8)/(2*H64)</f>
        <v>2.7276881455942807E-5</v>
      </c>
      <c r="I65" s="741">
        <f t="shared" si="20"/>
        <v>2.7276881455942807E-5</v>
      </c>
      <c r="J65" s="741">
        <f t="shared" si="20"/>
        <v>2.7276881455942807E-5</v>
      </c>
      <c r="K65" s="741">
        <f t="shared" si="20"/>
        <v>2.7276881455942807E-5</v>
      </c>
      <c r="L65" s="741"/>
      <c r="M65" s="741"/>
      <c r="N65" s="2296" t="s">
        <v>1136</v>
      </c>
      <c r="O65" s="829" t="s">
        <v>1205</v>
      </c>
      <c r="P65" s="829" t="s">
        <v>1138</v>
      </c>
      <c r="Q65" s="2302" t="s">
        <v>1148</v>
      </c>
      <c r="R65" s="829" t="s">
        <v>1203</v>
      </c>
      <c r="S65" s="829" t="s">
        <v>1135</v>
      </c>
      <c r="W65" s="2299" t="s">
        <v>1208</v>
      </c>
      <c r="X65" s="2299"/>
      <c r="Y65" s="2299"/>
      <c r="Z65" s="2299"/>
      <c r="AA65" s="2299"/>
      <c r="AB65" s="2299"/>
      <c r="AC65" s="2299"/>
      <c r="AD65" s="2299"/>
      <c r="AE65" s="2299"/>
      <c r="AF65" s="2299"/>
    </row>
    <row r="66" spans="2:33" ht="17.25">
      <c r="B66" s="4" t="s">
        <v>1120</v>
      </c>
      <c r="N66" s="2296"/>
      <c r="O66" s="830" t="s">
        <v>1220</v>
      </c>
      <c r="P66" s="830" t="s">
        <v>1142</v>
      </c>
      <c r="Q66" s="2303"/>
      <c r="R66" s="831" t="s">
        <v>1158</v>
      </c>
      <c r="S66" s="830" t="s">
        <v>1213</v>
      </c>
      <c r="W66" s="2300" t="s">
        <v>985</v>
      </c>
      <c r="X66" s="2300"/>
      <c r="Y66" s="2300"/>
      <c r="Z66" s="2300"/>
      <c r="AA66" s="2300"/>
      <c r="AB66" s="2300"/>
      <c r="AC66" s="2300"/>
      <c r="AD66" s="2300"/>
      <c r="AE66" s="2300"/>
      <c r="AF66" s="2300"/>
      <c r="AG66" s="2301" t="s">
        <v>1156</v>
      </c>
    </row>
    <row r="67" spans="2:33" ht="15.75" thickBot="1">
      <c r="B67" t="s">
        <v>1121</v>
      </c>
      <c r="F67" t="s">
        <v>1016</v>
      </c>
      <c r="G67">
        <f>(G37+G38)/2+273.15</f>
        <v>323.21666666666664</v>
      </c>
      <c r="H67">
        <f t="shared" ref="H67:K67" si="21">(H37+H38)/2+273.15</f>
        <v>325.02602728114306</v>
      </c>
      <c r="I67">
        <f t="shared" si="21"/>
        <v>325.02395917434251</v>
      </c>
      <c r="J67">
        <f t="shared" si="21"/>
        <v>325.02396398734436</v>
      </c>
      <c r="K67">
        <f t="shared" si="21"/>
        <v>325.02396397613518</v>
      </c>
      <c r="L67" s="160"/>
      <c r="M67" s="160"/>
      <c r="N67" s="836" t="e" cm="1" vm="2">
        <f t="array" ref="N67">_xlfn._xlws.FILTER(Isolation!B62:E71,Isolation!E62:E71=P6&amp;"_"&amp;P7)</f>
        <v>#VALUE!</v>
      </c>
      <c r="O67" s="22"/>
      <c r="P67" s="22"/>
      <c r="Q67" s="22"/>
      <c r="R67" s="840" t="e" vm="1">
        <f>VLOOKUP(N67,Isolation!B62:R71,9)</f>
        <v>#VALUE!</v>
      </c>
      <c r="S67" s="22" t="e" vm="1">
        <f>IF(N67="","",AG68)</f>
        <v>#VALUE!</v>
      </c>
      <c r="V67" s="774">
        <f>$E$32</f>
        <v>2017.1516248443409</v>
      </c>
      <c r="W67" s="818" cm="1">
        <f t="array" ref="W67:AF67">TRANSPOSE(P67:P76)</f>
        <v>0</v>
      </c>
      <c r="X67" s="818">
        <v>0</v>
      </c>
      <c r="Y67" s="818">
        <v>0</v>
      </c>
      <c r="Z67" s="818">
        <v>0</v>
      </c>
      <c r="AA67" s="818">
        <v>0</v>
      </c>
      <c r="AB67" s="818">
        <v>0</v>
      </c>
      <c r="AC67" s="818">
        <v>0</v>
      </c>
      <c r="AD67" s="818">
        <v>0</v>
      </c>
      <c r="AE67" s="818">
        <v>0</v>
      </c>
      <c r="AF67" s="818">
        <v>0</v>
      </c>
      <c r="AG67" s="2301"/>
    </row>
    <row r="68" spans="2:33">
      <c r="B68" t="s">
        <v>1109</v>
      </c>
      <c r="E68" t="s">
        <v>1049</v>
      </c>
      <c r="F68" t="s">
        <v>1018</v>
      </c>
      <c r="G68" s="741">
        <f>Propriété_matériau!$G$18*G67^4+Propriété_matériau!$H$18*G67^3+Propriété_matériau!$I$18*G67^2+Propriété_matériau!$J$18*G67+Propriété_matériau!$K$18</f>
        <v>5.5840042274015012E-2</v>
      </c>
      <c r="H68" s="741">
        <f>Propriété_matériau!$G$18*H67^4+Propriété_matériau!$H$18*H67^3+Propriété_matériau!$I$18*H67^2+Propriété_matériau!$J$18*H67+Propriété_matériau!$K$18</f>
        <v>5.5949224090010463E-2</v>
      </c>
      <c r="I68" s="741">
        <f>Propriété_matériau!$G$18*I67^4+Propriété_matériau!$H$18*I67^3+Propriété_matériau!$I$18*I67^2+Propriété_matériau!$J$18*I67+Propriété_matériau!$K$18</f>
        <v>5.5949098511817785E-2</v>
      </c>
      <c r="J68" s="741">
        <f>Propriété_matériau!$G$18*J67^4+Propriété_matériau!$H$18*J67^3+Propriété_matériau!$I$18*J67^2+Propriété_matériau!$J$18*J67+Propriété_matériau!$K$18</f>
        <v>5.5949098804067579E-2</v>
      </c>
      <c r="K68" s="741">
        <f>Propriété_matériau!$G$18*K67^4+Propriété_matériau!$H$18*K67^3+Propriété_matériau!$I$18*K67^2+Propriété_matériau!$J$18*K67+Propriété_matériau!$K$18</f>
        <v>5.5949098803386943E-2</v>
      </c>
      <c r="L68" s="741"/>
      <c r="M68" s="741"/>
      <c r="N68" s="836"/>
      <c r="O68" s="22"/>
      <c r="P68" s="22"/>
      <c r="Q68" s="22"/>
      <c r="R68" s="840" t="e">
        <f>VLOOKUP(N68,Isolation!B63:R72,9)</f>
        <v>#N/A</v>
      </c>
      <c r="S68" s="22" t="str">
        <f t="shared" ref="S68:S76" si="22">IF(N68="","",AG69)</f>
        <v/>
      </c>
      <c r="U68" s="2294" t="s">
        <v>1204</v>
      </c>
      <c r="V68" s="821" t="e" vm="1">
        <f>R67</f>
        <v>#VALUE!</v>
      </c>
      <c r="W68" s="454"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838" t="e" cm="1" vm="1">
        <f t="array" ref="AG68">INDEX(W68:AF68,ROWS($1:1))</f>
        <v>#VALUE!</v>
      </c>
    </row>
    <row r="69" spans="2:33">
      <c r="B69" t="s">
        <v>1120</v>
      </c>
      <c r="E69" t="s">
        <v>1050</v>
      </c>
      <c r="F69" t="s">
        <v>1061</v>
      </c>
      <c r="G69" s="160">
        <f>($E$18/1000)*LN($E$18/$E$9)/(2*G68)</f>
        <v>1.3000319663305169</v>
      </c>
      <c r="H69" s="160">
        <f t="shared" ref="H69:K69" si="23">($E$18/1000)*LN($E$18/$E$9)/(2*H68)</f>
        <v>1.2974950258591396</v>
      </c>
      <c r="I69" s="160">
        <f t="shared" si="23"/>
        <v>1.2974979380969538</v>
      </c>
      <c r="J69" s="160">
        <f t="shared" si="23"/>
        <v>1.2974979313194808</v>
      </c>
      <c r="K69" s="160">
        <f t="shared" si="23"/>
        <v>1.2974979313352653</v>
      </c>
      <c r="L69" s="160"/>
      <c r="M69" s="160"/>
      <c r="N69" s="836"/>
      <c r="O69" s="22"/>
      <c r="P69" s="22"/>
      <c r="Q69" s="22"/>
      <c r="R69" s="840" t="e">
        <f>VLOOKUP(N69,Isolation!B64:R73,9)</f>
        <v>#N/A</v>
      </c>
      <c r="S69" s="22" t="str">
        <f t="shared" si="22"/>
        <v/>
      </c>
      <c r="U69" s="2294"/>
      <c r="V69" s="821" t="e">
        <f t="shared" ref="V69:V77" si="24">R68</f>
        <v>#N/A</v>
      </c>
      <c r="W69" t="e">
        <v>#N/A</v>
      </c>
      <c r="X69" s="454" t="e">
        <v>#N/A</v>
      </c>
      <c r="Y69" t="e">
        <v>#N/A</v>
      </c>
      <c r="Z69" t="e">
        <v>#N/A</v>
      </c>
      <c r="AA69" t="e">
        <v>#N/A</v>
      </c>
      <c r="AB69" t="e">
        <v>#N/A</v>
      </c>
      <c r="AC69" t="e">
        <v>#N/A</v>
      </c>
      <c r="AD69" t="e">
        <v>#N/A</v>
      </c>
      <c r="AE69" t="e">
        <v>#N/A</v>
      </c>
      <c r="AF69" t="e">
        <v>#N/A</v>
      </c>
      <c r="AG69" s="769" t="e" cm="1">
        <f t="array" ref="AG69">INDEX(W69:AF69,ROWS($1:2))</f>
        <v>#N/A</v>
      </c>
    </row>
    <row r="70" spans="2:33">
      <c r="B70" s="4" t="s">
        <v>1122</v>
      </c>
      <c r="E70" t="s">
        <v>1051</v>
      </c>
      <c r="F70" t="s">
        <v>1061</v>
      </c>
      <c r="G70" s="724">
        <f>G69+G65+1/G62</f>
        <v>1.3568274318619706</v>
      </c>
      <c r="H70" s="724">
        <f t="shared" ref="H70:K70" si="25">H69+H65+1/H62</f>
        <v>1.3541122191012678</v>
      </c>
      <c r="I70" s="724">
        <f t="shared" si="25"/>
        <v>1.3541154154877413</v>
      </c>
      <c r="J70" s="724">
        <f t="shared" si="25"/>
        <v>1.3541154080487177</v>
      </c>
      <c r="K70" s="724">
        <f t="shared" si="25"/>
        <v>1.3541154080660429</v>
      </c>
      <c r="L70" s="724"/>
      <c r="M70" s="724"/>
      <c r="N70" s="836"/>
      <c r="O70" s="22"/>
      <c r="P70" s="22"/>
      <c r="Q70" s="22"/>
      <c r="R70" s="840" t="e">
        <f>VLOOKUP(N70,Isolation!B65:R74,9)</f>
        <v>#N/A</v>
      </c>
      <c r="S70" s="22" t="str">
        <f t="shared" si="22"/>
        <v/>
      </c>
      <c r="U70" s="2294"/>
      <c r="V70" s="821" t="e">
        <f t="shared" si="24"/>
        <v>#N/A</v>
      </c>
      <c r="W70" t="e">
        <v>#N/A</v>
      </c>
      <c r="X70" t="e">
        <v>#N/A</v>
      </c>
      <c r="Y70" s="454" t="e">
        <v>#N/A</v>
      </c>
      <c r="Z70" t="e">
        <v>#N/A</v>
      </c>
      <c r="AA70" t="e">
        <v>#N/A</v>
      </c>
      <c r="AB70" t="e">
        <v>#N/A</v>
      </c>
      <c r="AC70" t="e">
        <v>#N/A</v>
      </c>
      <c r="AD70" t="e">
        <v>#N/A</v>
      </c>
      <c r="AE70" t="e">
        <v>#N/A</v>
      </c>
      <c r="AF70" t="e">
        <v>#N/A</v>
      </c>
      <c r="AG70" s="769" t="e" cm="1">
        <f t="array" ref="AG70">INDEX(W70:AF70,ROWS($1:3))</f>
        <v>#N/A</v>
      </c>
    </row>
    <row r="71" spans="2:33">
      <c r="B71" t="s">
        <v>1123</v>
      </c>
      <c r="E71" t="s">
        <v>1052</v>
      </c>
      <c r="F71" t="s">
        <v>1062</v>
      </c>
      <c r="G71" s="748">
        <f>($E$10-$E$11)/G70</f>
        <v>63.776226291787061</v>
      </c>
      <c r="H71" s="748">
        <f t="shared" ref="H71:K71" si="26">($E$10-$E$11)/H70</f>
        <v>63.904107881668786</v>
      </c>
      <c r="I71" s="748">
        <f t="shared" si="26"/>
        <v>63.903957036162041</v>
      </c>
      <c r="J71" s="748">
        <f t="shared" si="26"/>
        <v>63.903957387227429</v>
      </c>
      <c r="K71" s="748">
        <f t="shared" si="26"/>
        <v>63.903957386409807</v>
      </c>
      <c r="L71" s="160"/>
      <c r="M71" s="160"/>
      <c r="N71" s="836"/>
      <c r="O71" s="22"/>
      <c r="P71" s="22"/>
      <c r="Q71" s="22"/>
      <c r="R71" s="840" t="e">
        <f>VLOOKUP(N71,Isolation!B66:R75,9)</f>
        <v>#N/A</v>
      </c>
      <c r="S71" s="22" t="str">
        <f t="shared" si="22"/>
        <v/>
      </c>
      <c r="U71" s="2294"/>
      <c r="V71" s="821" t="e">
        <f t="shared" si="24"/>
        <v>#N/A</v>
      </c>
      <c r="W71" t="e">
        <v>#N/A</v>
      </c>
      <c r="X71" t="e">
        <v>#N/A</v>
      </c>
      <c r="Y71" t="e">
        <v>#N/A</v>
      </c>
      <c r="Z71" s="454" t="e">
        <v>#N/A</v>
      </c>
      <c r="AA71" t="e">
        <v>#N/A</v>
      </c>
      <c r="AB71" t="e">
        <v>#N/A</v>
      </c>
      <c r="AC71" t="e">
        <v>#N/A</v>
      </c>
      <c r="AD71" t="e">
        <v>#N/A</v>
      </c>
      <c r="AE71" t="e">
        <v>#N/A</v>
      </c>
      <c r="AF71" t="e">
        <v>#N/A</v>
      </c>
      <c r="AG71" s="769" t="e" cm="1">
        <f t="array" ref="AG71">INDEX(W71:AF71,ROWS($1:4))</f>
        <v>#N/A</v>
      </c>
    </row>
    <row r="72" spans="2:33">
      <c r="B72" t="s">
        <v>1075</v>
      </c>
      <c r="E72" t="s">
        <v>1053</v>
      </c>
      <c r="F72" t="s">
        <v>1056</v>
      </c>
      <c r="G72" s="733">
        <f>$E$10 - G71*G65</f>
        <v>93.331593716769063</v>
      </c>
      <c r="H72" s="733">
        <f t="shared" ref="H72:K72" si="27">$E$10 - H71*H65</f>
        <v>93.331590228558099</v>
      </c>
      <c r="I72" s="733">
        <f t="shared" si="27"/>
        <v>93.331590232672681</v>
      </c>
      <c r="J72" s="733">
        <f t="shared" si="27"/>
        <v>93.331590232663117</v>
      </c>
      <c r="K72" s="733">
        <f t="shared" si="27"/>
        <v>93.331590232663132</v>
      </c>
      <c r="L72" s="733"/>
      <c r="M72" s="733"/>
      <c r="N72" s="836"/>
      <c r="O72" s="22"/>
      <c r="P72" s="22"/>
      <c r="Q72" s="22"/>
      <c r="R72" s="840" t="e">
        <f>VLOOKUP(N72,Isolation!B67:R76,9)</f>
        <v>#N/A</v>
      </c>
      <c r="S72" s="22" t="str">
        <f t="shared" si="22"/>
        <v/>
      </c>
      <c r="U72" s="2294"/>
      <c r="V72" s="821" t="e">
        <f t="shared" si="24"/>
        <v>#N/A</v>
      </c>
      <c r="W72" t="e">
        <v>#N/A</v>
      </c>
      <c r="X72" t="e">
        <v>#N/A</v>
      </c>
      <c r="Y72" t="e">
        <v>#N/A</v>
      </c>
      <c r="Z72" t="e">
        <v>#N/A</v>
      </c>
      <c r="AA72" s="454" t="e">
        <v>#N/A</v>
      </c>
      <c r="AB72" t="e">
        <v>#N/A</v>
      </c>
      <c r="AC72" t="e">
        <v>#N/A</v>
      </c>
      <c r="AD72" t="e">
        <v>#N/A</v>
      </c>
      <c r="AE72" t="e">
        <v>#N/A</v>
      </c>
      <c r="AF72" t="e">
        <v>#N/A</v>
      </c>
      <c r="AG72" s="769" t="e" cm="1">
        <f t="array" ref="AG72">INDEX(W72:AF72,ROWS($1:5))</f>
        <v>#N/A</v>
      </c>
    </row>
    <row r="73" spans="2:33">
      <c r="B73" t="s">
        <v>1124</v>
      </c>
      <c r="E73" t="s">
        <v>1054</v>
      </c>
      <c r="F73" t="s">
        <v>1056</v>
      </c>
      <c r="G73" s="160">
        <f>G72-G71*G69</f>
        <v>10.420460845517127</v>
      </c>
      <c r="H73" s="160">
        <f t="shared" ref="H73:K73" si="28">H72-H71*H69</f>
        <v>10.416328120127019</v>
      </c>
      <c r="I73" s="160">
        <f t="shared" si="28"/>
        <v>10.416337742016111</v>
      </c>
      <c r="J73" s="160">
        <f t="shared" si="28"/>
        <v>10.41633771960727</v>
      </c>
      <c r="K73" s="160">
        <f t="shared" si="28"/>
        <v>10.416337719659467</v>
      </c>
      <c r="L73" s="160"/>
      <c r="M73" s="160"/>
      <c r="N73" s="836"/>
      <c r="O73" s="22"/>
      <c r="P73" s="22"/>
      <c r="Q73" s="22"/>
      <c r="R73" s="840" t="e">
        <f>VLOOKUP(N73,Isolation!B68:R77,9)</f>
        <v>#N/A</v>
      </c>
      <c r="S73" s="22" t="str">
        <f t="shared" si="22"/>
        <v/>
      </c>
      <c r="U73" s="2294"/>
      <c r="V73" s="821" t="e">
        <f t="shared" si="24"/>
        <v>#N/A</v>
      </c>
      <c r="W73" t="e">
        <v>#N/A</v>
      </c>
      <c r="X73" t="e">
        <v>#N/A</v>
      </c>
      <c r="Y73" t="e">
        <v>#N/A</v>
      </c>
      <c r="Z73" t="e">
        <v>#N/A</v>
      </c>
      <c r="AA73" t="e">
        <v>#N/A</v>
      </c>
      <c r="AB73" s="454" t="e">
        <v>#N/A</v>
      </c>
      <c r="AC73" t="e">
        <v>#N/A</v>
      </c>
      <c r="AD73" t="e">
        <v>#N/A</v>
      </c>
      <c r="AE73" t="e">
        <v>#N/A</v>
      </c>
      <c r="AF73" t="e">
        <v>#N/A</v>
      </c>
      <c r="AG73" s="769" t="e" cm="1">
        <f t="array" ref="AG73">INDEX(W73:AF73,ROWS($1:6))</f>
        <v>#N/A</v>
      </c>
    </row>
    <row r="74" spans="2:33">
      <c r="B74" t="s">
        <v>1125</v>
      </c>
      <c r="F74" t="s">
        <v>1010</v>
      </c>
      <c r="G74" s="160">
        <f>G71*PI()*($E$18/1000)</f>
        <v>38.168375020468083</v>
      </c>
      <c r="H74" s="160">
        <f t="shared" ref="H74:K74" si="29">H71*PI()*($E$18/1000)</f>
        <v>38.244908750427079</v>
      </c>
      <c r="I74" s="160">
        <f t="shared" si="29"/>
        <v>38.244818473403711</v>
      </c>
      <c r="J74" s="160">
        <f t="shared" si="29"/>
        <v>38.244818683507006</v>
      </c>
      <c r="K74" s="160">
        <f t="shared" si="29"/>
        <v>38.244818683017677</v>
      </c>
      <c r="N74" s="836"/>
      <c r="O74" s="22"/>
      <c r="P74" s="22"/>
      <c r="Q74" s="22"/>
      <c r="R74" s="840" t="e">
        <f>VLOOKUP(N74,Isolation!B69:R78,9)</f>
        <v>#N/A</v>
      </c>
      <c r="S74" s="22" t="str">
        <f t="shared" si="22"/>
        <v/>
      </c>
      <c r="U74" s="2294"/>
      <c r="V74" s="821" t="e">
        <f t="shared" si="24"/>
        <v>#N/A</v>
      </c>
      <c r="W74" t="e">
        <v>#N/A</v>
      </c>
      <c r="X74" t="e">
        <v>#N/A</v>
      </c>
      <c r="Y74" t="e">
        <v>#N/A</v>
      </c>
      <c r="Z74" t="e">
        <v>#N/A</v>
      </c>
      <c r="AA74" t="e">
        <v>#N/A</v>
      </c>
      <c r="AB74" t="e">
        <v>#N/A</v>
      </c>
      <c r="AC74" s="454" t="e">
        <v>#N/A</v>
      </c>
      <c r="AD74" t="e">
        <v>#N/A</v>
      </c>
      <c r="AE74" t="e">
        <v>#N/A</v>
      </c>
      <c r="AF74" t="e">
        <v>#N/A</v>
      </c>
      <c r="AG74" s="769" t="e" cm="1">
        <f t="array" ref="AG74">INDEX(W74:AF74,ROWS($1:7))</f>
        <v>#N/A</v>
      </c>
    </row>
    <row r="75" spans="2:33">
      <c r="N75" s="836"/>
      <c r="O75" s="22"/>
      <c r="P75" s="22"/>
      <c r="Q75" s="22"/>
      <c r="R75" s="840" t="e">
        <f>VLOOKUP(N75,Isolation!B70:R79,9)</f>
        <v>#N/A</v>
      </c>
      <c r="S75" s="22" t="str">
        <f t="shared" si="22"/>
        <v/>
      </c>
      <c r="U75" s="2294"/>
      <c r="V75" s="821" t="e">
        <f t="shared" si="24"/>
        <v>#N/A</v>
      </c>
      <c r="W75" t="e">
        <v>#N/A</v>
      </c>
      <c r="X75" t="e">
        <v>#N/A</v>
      </c>
      <c r="Y75" t="e">
        <v>#N/A</v>
      </c>
      <c r="Z75" t="e">
        <v>#N/A</v>
      </c>
      <c r="AA75" t="e">
        <v>#N/A</v>
      </c>
      <c r="AB75" t="e">
        <v>#N/A</v>
      </c>
      <c r="AC75" t="e">
        <v>#N/A</v>
      </c>
      <c r="AD75" s="454" t="e">
        <v>#N/A</v>
      </c>
      <c r="AE75" t="e">
        <v>#N/A</v>
      </c>
      <c r="AF75" t="e">
        <v>#N/A</v>
      </c>
      <c r="AG75" s="769" t="e" cm="1">
        <f t="array" ref="AG75">INDEX(W75:AF75,ROWS($1:8))</f>
        <v>#N/A</v>
      </c>
    </row>
    <row r="76" spans="2:33">
      <c r="B76" s="734" t="s">
        <v>1126</v>
      </c>
      <c r="N76" s="836"/>
      <c r="O76" s="22"/>
      <c r="P76" s="22"/>
      <c r="Q76" s="22"/>
      <c r="R76" s="840" t="e">
        <f>VLOOKUP(N76,Isolation!B71:R80,9)</f>
        <v>#N/A</v>
      </c>
      <c r="S76" s="22" t="str">
        <f t="shared" si="22"/>
        <v/>
      </c>
      <c r="U76" s="2294"/>
      <c r="V76" s="821" t="e">
        <f t="shared" si="24"/>
        <v>#N/A</v>
      </c>
      <c r="W76" t="e">
        <v>#N/A</v>
      </c>
      <c r="X76" t="e">
        <v>#N/A</v>
      </c>
      <c r="Y76" t="e">
        <v>#N/A</v>
      </c>
      <c r="Z76" t="e">
        <v>#N/A</v>
      </c>
      <c r="AA76" t="e">
        <v>#N/A</v>
      </c>
      <c r="AB76" t="e">
        <v>#N/A</v>
      </c>
      <c r="AC76" t="e">
        <v>#N/A</v>
      </c>
      <c r="AD76" t="e">
        <v>#N/A</v>
      </c>
      <c r="AE76" s="454" t="e">
        <v>#N/A</v>
      </c>
      <c r="AF76" t="e">
        <v>#N/A</v>
      </c>
      <c r="AG76" s="769" t="e" cm="1">
        <f t="array" ref="AG76">INDEX(W76:AF76,ROWS($1:9))</f>
        <v>#N/A</v>
      </c>
    </row>
    <row r="77" spans="2:33" ht="15.75" thickBot="1">
      <c r="B77" s="4"/>
      <c r="E77" t="s">
        <v>1012</v>
      </c>
      <c r="G77">
        <v>1</v>
      </c>
      <c r="H77">
        <v>2</v>
      </c>
      <c r="I77">
        <v>3</v>
      </c>
      <c r="J77">
        <v>4</v>
      </c>
      <c r="K77">
        <v>5</v>
      </c>
      <c r="U77" s="2294"/>
      <c r="V77" s="821" t="e">
        <f t="shared" si="24"/>
        <v>#N/A</v>
      </c>
      <c r="W77" t="e">
        <v>#N/A</v>
      </c>
      <c r="X77" t="e">
        <v>#N/A</v>
      </c>
      <c r="Y77" t="e">
        <v>#N/A</v>
      </c>
      <c r="Z77" t="e">
        <v>#N/A</v>
      </c>
      <c r="AA77" t="e">
        <v>#N/A</v>
      </c>
      <c r="AB77" t="e">
        <v>#N/A</v>
      </c>
      <c r="AC77" t="e">
        <v>#N/A</v>
      </c>
      <c r="AD77" t="e">
        <v>#N/A</v>
      </c>
      <c r="AE77" t="e">
        <v>#N/A</v>
      </c>
      <c r="AF77" s="454" t="e">
        <v>#N/A</v>
      </c>
      <c r="AG77" s="839" t="e" cm="1">
        <f t="array" ref="AG77">INDEX(W77:AF77,ROWS($1:10))</f>
        <v>#N/A</v>
      </c>
    </row>
    <row r="78" spans="2:33">
      <c r="B78" t="s">
        <v>1072</v>
      </c>
      <c r="E78" t="s">
        <v>1013</v>
      </c>
      <c r="F78" t="s">
        <v>1056</v>
      </c>
      <c r="G78" s="733">
        <f>E11+1</f>
        <v>7.8</v>
      </c>
      <c r="H78" s="733">
        <f>G109</f>
        <v>93.309037312918022</v>
      </c>
      <c r="I78" s="733">
        <f t="shared" ref="I78:K78" si="30">H109</f>
        <v>93.306843067636748</v>
      </c>
      <c r="J78" s="733">
        <f t="shared" si="30"/>
        <v>93.306843137006311</v>
      </c>
      <c r="K78" s="733">
        <f t="shared" si="30"/>
        <v>93.306843137004122</v>
      </c>
      <c r="N78" s="160"/>
      <c r="O78" s="160"/>
      <c r="P78" s="160"/>
      <c r="Q78" s="160"/>
      <c r="R78" s="160"/>
    </row>
    <row r="79" spans="2:33">
      <c r="B79" t="s">
        <v>1127</v>
      </c>
      <c r="G79" s="739">
        <f>Hypothèses!$D$218</f>
        <v>0.8</v>
      </c>
      <c r="H79">
        <f>G79</f>
        <v>0.8</v>
      </c>
      <c r="I79">
        <f>H79</f>
        <v>0.8</v>
      </c>
      <c r="J79">
        <f>I79</f>
        <v>0.8</v>
      </c>
      <c r="K79">
        <f>J79</f>
        <v>0.8</v>
      </c>
      <c r="N79" s="2295" t="s">
        <v>1522</v>
      </c>
      <c r="O79" s="2295"/>
      <c r="P79" s="2295"/>
      <c r="Q79" s="2295"/>
      <c r="R79" s="2295"/>
      <c r="S79" s="2295"/>
      <c r="T79" s="2295"/>
      <c r="U79" s="2295"/>
      <c r="V79" s="2295"/>
      <c r="W79" s="2295"/>
      <c r="X79" s="2295"/>
      <c r="Y79" s="2295"/>
      <c r="Z79" s="2295"/>
      <c r="AA79" s="2295"/>
      <c r="AB79" s="2295"/>
      <c r="AC79" s="2295"/>
      <c r="AD79" s="2295"/>
      <c r="AE79" s="2295"/>
      <c r="AF79" s="2295"/>
      <c r="AG79" s="2295"/>
    </row>
    <row r="80" spans="2:33" ht="17.25">
      <c r="B80" s="4" t="s">
        <v>1128</v>
      </c>
      <c r="N80" s="2296" t="s">
        <v>1136</v>
      </c>
      <c r="O80" s="829" t="s">
        <v>1205</v>
      </c>
      <c r="P80" s="829" t="s">
        <v>1138</v>
      </c>
      <c r="Q80" s="2302" t="s">
        <v>1148</v>
      </c>
      <c r="R80" s="829" t="s">
        <v>1203</v>
      </c>
      <c r="S80" s="829" t="s">
        <v>1135</v>
      </c>
      <c r="W80" s="2299" t="s">
        <v>1208</v>
      </c>
      <c r="X80" s="2299"/>
      <c r="Y80" s="2299"/>
      <c r="Z80" s="2299"/>
      <c r="AA80" s="2299"/>
      <c r="AB80" s="2299"/>
      <c r="AC80" s="2299"/>
      <c r="AD80" s="2299"/>
      <c r="AE80" s="2299"/>
      <c r="AF80" s="2299"/>
    </row>
    <row r="81" spans="2:33" ht="17.25">
      <c r="B81" t="s">
        <v>1129</v>
      </c>
      <c r="E81" t="s">
        <v>1015</v>
      </c>
      <c r="F81" t="s">
        <v>1056</v>
      </c>
      <c r="G81">
        <f>(G78+$E$11)/2</f>
        <v>7.3</v>
      </c>
      <c r="H81" s="160">
        <f t="shared" ref="H81:K81" si="31">(H78+$E$11)/2</f>
        <v>50.05451865645901</v>
      </c>
      <c r="I81" s="160">
        <f t="shared" si="31"/>
        <v>50.053421533818373</v>
      </c>
      <c r="J81" s="160">
        <f t="shared" si="31"/>
        <v>50.053421568503154</v>
      </c>
      <c r="K81" s="160">
        <f t="shared" si="31"/>
        <v>50.05342156850206</v>
      </c>
      <c r="N81" s="2296"/>
      <c r="O81" s="830" t="s">
        <v>1220</v>
      </c>
      <c r="P81" s="830" t="s">
        <v>1142</v>
      </c>
      <c r="Q81" s="2303"/>
      <c r="R81" s="831" t="s">
        <v>1158</v>
      </c>
      <c r="S81" s="830" t="s">
        <v>1213</v>
      </c>
      <c r="W81" s="2300" t="s">
        <v>985</v>
      </c>
      <c r="X81" s="2300"/>
      <c r="Y81" s="2300"/>
      <c r="Z81" s="2300"/>
      <c r="AA81" s="2300"/>
      <c r="AB81" s="2300"/>
      <c r="AC81" s="2300"/>
      <c r="AD81" s="2300"/>
      <c r="AE81" s="2300"/>
      <c r="AF81" s="2300"/>
      <c r="AG81" s="2301" t="s">
        <v>1156</v>
      </c>
    </row>
    <row r="82" spans="2:33" ht="15.75" thickBot="1">
      <c r="F82" t="s">
        <v>1016</v>
      </c>
      <c r="G82">
        <f>G81+273.15</f>
        <v>280.45</v>
      </c>
      <c r="H82" s="160">
        <f t="shared" ref="H82:K82" si="32">H81+273.15</f>
        <v>323.20451865645896</v>
      </c>
      <c r="I82" s="160">
        <f t="shared" si="32"/>
        <v>323.20342153381836</v>
      </c>
      <c r="J82" s="160">
        <f t="shared" si="32"/>
        <v>323.20342156850313</v>
      </c>
      <c r="K82" s="160">
        <f t="shared" si="32"/>
        <v>323.20342156850205</v>
      </c>
      <c r="N82" s="836" t="e" cm="1" vm="2">
        <f t="array" ref="N82">_xlfn._xlws.FILTER(Isolation!B77:E86,Isolation!E77:E86=P6&amp;"_"&amp;P7)</f>
        <v>#VALUE!</v>
      </c>
      <c r="O82" s="22"/>
      <c r="P82" s="22"/>
      <c r="Q82" s="22"/>
      <c r="R82" s="840" t="e" vm="1">
        <f>VLOOKUP(N82,Isolation!B77:R86,9)</f>
        <v>#VALUE!</v>
      </c>
      <c r="S82" s="22" t="e" vm="1">
        <f>IF(N82="","",AG83)</f>
        <v>#VALUE!</v>
      </c>
      <c r="V82" s="774">
        <f>$E$32</f>
        <v>2017.1516248443409</v>
      </c>
      <c r="W82" s="818" cm="1">
        <f t="array" ref="W82:AF82">TRANSPOSE(P82:P91)</f>
        <v>0</v>
      </c>
      <c r="X82" s="818">
        <v>0</v>
      </c>
      <c r="Y82" s="818">
        <v>0</v>
      </c>
      <c r="Z82" s="818">
        <v>0</v>
      </c>
      <c r="AA82" s="818">
        <v>0</v>
      </c>
      <c r="AB82" s="818">
        <v>0</v>
      </c>
      <c r="AC82" s="818">
        <v>0</v>
      </c>
      <c r="AD82" s="818">
        <v>0</v>
      </c>
      <c r="AE82" s="818">
        <v>0</v>
      </c>
      <c r="AF82" s="818">
        <v>0</v>
      </c>
      <c r="AG82" s="2301"/>
    </row>
    <row r="83" spans="2:33">
      <c r="B83" t="s">
        <v>1109</v>
      </c>
      <c r="E83" t="s">
        <v>1017</v>
      </c>
      <c r="F83" t="s">
        <v>1018</v>
      </c>
      <c r="G83" s="735">
        <f>(Propriété_air!$Q$22*G82^4+Propriété_air!$R$22*G82^3+Propriété_air!$S$22*G82^2+Propriété_air!$T$22*G82+Propriété_air!$U$22)/10^3</f>
        <v>2.4697997985030862E-2</v>
      </c>
      <c r="H83" s="735">
        <f>(Propriété_air!$Q$22*H82^4+Propriété_air!$R$22*H82^3+Propriété_air!$S$22*H82^2+Propriété_air!$T$22*H82+Propriété_air!$U$22)/10^3</f>
        <v>2.8074917496867417E-2</v>
      </c>
      <c r="I83" s="735">
        <f>(Propriété_air!$Q$22*I82^4+Propriété_air!$R$22*I82^3+Propriété_air!$S$22*I82^2+Propriété_air!$T$22*I82+Propriété_air!$U$22)/10^3</f>
        <v>2.8074832339812276E-2</v>
      </c>
      <c r="J83" s="735">
        <f>(Propriété_air!$Q$22*J82^4+Propriété_air!$R$22*J82^3+Propriété_air!$S$22*J82^2+Propriété_air!$T$22*J82+Propriété_air!$U$22)/10^3</f>
        <v>2.8074832342504456E-2</v>
      </c>
      <c r="K83" s="735">
        <f>(Propriété_air!$Q$22*K82^4+Propriété_air!$R$22*K82^3+Propriété_air!$S$22*K82^2+Propriété_air!$T$22*K82+Propriété_air!$U$22)/10^3</f>
        <v>2.8074832342504377E-2</v>
      </c>
      <c r="N83" s="836"/>
      <c r="O83" s="22"/>
      <c r="P83" s="22"/>
      <c r="Q83" s="22"/>
      <c r="R83" s="840" t="e">
        <f>VLOOKUP(N83,Isolation!B78:R87,9)</f>
        <v>#N/A</v>
      </c>
      <c r="S83" s="22" t="str">
        <f t="shared" ref="S83:S91" si="33">IF(N83="","",AG84)</f>
        <v/>
      </c>
      <c r="U83" s="2294" t="s">
        <v>1204</v>
      </c>
      <c r="V83" s="821" t="e" vm="1">
        <f>R82</f>
        <v>#VALUE!</v>
      </c>
      <c r="W83" s="454"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838" t="e" cm="1" vm="1">
        <f t="array" ref="AG83">INDEX(W83:AF83,ROWS($1:1))</f>
        <v>#VALUE!</v>
      </c>
    </row>
    <row r="84" spans="2:33">
      <c r="B84" t="s">
        <v>1110</v>
      </c>
      <c r="E84" t="s">
        <v>1019</v>
      </c>
      <c r="F84" t="s">
        <v>1057</v>
      </c>
      <c r="G84" s="736">
        <f>(Propriété_air!$Q$10*G82^4+Propriété_air!$R$10*G82^3+Propriété_air!$S$10*G82^2+Propriété_air!$T$10*G82+Propriété_air!$U$10)/10^7</f>
        <v>1.7520728318945848E-5</v>
      </c>
      <c r="H84" s="736">
        <f>(Propriété_air!$Q$10*H82^4+Propriété_air!$R$10*H82^3+Propriété_air!$S$10*H82^2+Propriété_air!$T$10*H82+Propriété_air!$U$10)/10^7</f>
        <v>1.9585411769593222E-5</v>
      </c>
      <c r="I84" s="736">
        <f>(Propriété_air!$Q$10*I82^4+Propriété_air!$R$10*I82^3+Propriété_air!$S$10*I82^2+Propriété_air!$T$10*I82+Propriété_air!$U$10)/10^7</f>
        <v>1.9585360389139012E-5</v>
      </c>
      <c r="J84" s="736">
        <f>(Propriété_air!$Q$10*J82^4+Propriété_air!$R$10*J82^3+Propriété_air!$S$10*J82^2+Propriété_air!$T$10*J82+Propriété_air!$U$10)/10^7</f>
        <v>1.9585360390763371E-5</v>
      </c>
      <c r="K84" s="736">
        <f>(Propriété_air!$Q$10*K82^4+Propriété_air!$R$10*K82^3+Propriété_air!$S$10*K82^2+Propriété_air!$T$10*K82+Propriété_air!$U$10)/10^7</f>
        <v>1.958536039076332E-5</v>
      </c>
      <c r="N84" s="836"/>
      <c r="O84" s="22"/>
      <c r="P84" s="22"/>
      <c r="Q84" s="22"/>
      <c r="R84" s="840" t="e">
        <f>VLOOKUP(N84,Isolation!B79:R88,9)</f>
        <v>#N/A</v>
      </c>
      <c r="S84" s="22" t="str">
        <f t="shared" si="33"/>
        <v/>
      </c>
      <c r="U84" s="2294"/>
      <c r="V84" s="821" t="e">
        <f t="shared" ref="V84:V92" si="34">R83</f>
        <v>#N/A</v>
      </c>
      <c r="W84" t="e">
        <v>#N/A</v>
      </c>
      <c r="X84" s="454" t="e">
        <v>#N/A</v>
      </c>
      <c r="Y84" t="e">
        <v>#N/A</v>
      </c>
      <c r="Z84" t="e">
        <v>#N/A</v>
      </c>
      <c r="AA84" t="e">
        <v>#N/A</v>
      </c>
      <c r="AB84" t="e">
        <v>#N/A</v>
      </c>
      <c r="AC84" t="e">
        <v>#N/A</v>
      </c>
      <c r="AD84" t="e">
        <v>#N/A</v>
      </c>
      <c r="AE84" t="e">
        <v>#N/A</v>
      </c>
      <c r="AF84" t="e">
        <v>#N/A</v>
      </c>
      <c r="AG84" s="769" t="e" cm="1">
        <f t="array" ref="AG84">INDEX(W84:AF84,ROWS($1:2))</f>
        <v>#N/A</v>
      </c>
    </row>
    <row r="85" spans="2:33">
      <c r="B85" t="s">
        <v>1020</v>
      </c>
      <c r="E85" t="s">
        <v>1021</v>
      </c>
      <c r="G85" s="724">
        <f>Propriété_air!$Q$34*G82^4+Propriété_air!$R$34*G82^3+Propriété_air!$S$34*G82^2+Propriété_air!$T$34*G82+Propriété_air!$U$34</f>
        <v>0.71227928382239991</v>
      </c>
      <c r="H85" s="724">
        <f>Propriété_air!$Q$34*H82^4+Propriété_air!$R$34*H82^3+Propriété_air!$S$34*H82^2+Propriété_air!$T$34*H82+Propriété_air!$U$34</f>
        <v>0.70205771530012484</v>
      </c>
      <c r="I85" s="724">
        <f>Propriété_air!$Q$34*I82^4+Propriété_air!$R$34*I82^3+Propriété_air!$S$34*I82^2+Propriété_air!$T$34*I82+Propriété_air!$U$34</f>
        <v>0.70205794639816088</v>
      </c>
      <c r="J85" s="724">
        <f>Propriété_air!$Q$34*J82^4+Propriété_air!$R$34*J82^3+Propriété_air!$S$34*J82^2+Propriété_air!$T$34*J82+Propriété_air!$U$34</f>
        <v>0.70205794639085495</v>
      </c>
      <c r="K85" s="724">
        <f>Propriété_air!$Q$34*K82^4+Propriété_air!$R$34*K82^3+Propriété_air!$S$34*K82^2+Propriété_air!$T$34*K82+Propriété_air!$U$34</f>
        <v>0.70205794639085517</v>
      </c>
      <c r="N85" s="836"/>
      <c r="O85" s="22"/>
      <c r="P85" s="22"/>
      <c r="Q85" s="22"/>
      <c r="R85" s="840" t="e">
        <f>VLOOKUP(N85,Isolation!B80:R89,9)</f>
        <v>#N/A</v>
      </c>
      <c r="S85" s="22" t="str">
        <f t="shared" si="33"/>
        <v/>
      </c>
      <c r="U85" s="2294"/>
      <c r="V85" s="821" t="e">
        <f t="shared" si="34"/>
        <v>#N/A</v>
      </c>
      <c r="W85" t="e">
        <v>#N/A</v>
      </c>
      <c r="X85" t="e">
        <v>#N/A</v>
      </c>
      <c r="Y85" s="454" t="e">
        <v>#N/A</v>
      </c>
      <c r="Z85" t="e">
        <v>#N/A</v>
      </c>
      <c r="AA85" t="e">
        <v>#N/A</v>
      </c>
      <c r="AB85" t="e">
        <v>#N/A</v>
      </c>
      <c r="AC85" t="e">
        <v>#N/A</v>
      </c>
      <c r="AD85" t="e">
        <v>#N/A</v>
      </c>
      <c r="AE85" t="e">
        <v>#N/A</v>
      </c>
      <c r="AF85" t="e">
        <v>#N/A</v>
      </c>
      <c r="AG85" s="769" t="e" cm="1">
        <f t="array" ref="AG85">INDEX(W85:AF85,ROWS($1:3))</f>
        <v>#N/A</v>
      </c>
    </row>
    <row r="86" spans="2:33">
      <c r="B86" t="s">
        <v>1111</v>
      </c>
      <c r="E86" t="s">
        <v>1022</v>
      </c>
      <c r="F86" t="s">
        <v>1023</v>
      </c>
      <c r="G86">
        <f>1/G82</f>
        <v>3.5656979853806382E-3</v>
      </c>
      <c r="H86">
        <f t="shared" ref="H86:K86" si="35">1/H82</f>
        <v>3.0940161485270615E-3</v>
      </c>
      <c r="I86">
        <f t="shared" si="35"/>
        <v>3.0940266512474563E-3</v>
      </c>
      <c r="J86">
        <f t="shared" si="35"/>
        <v>3.0940266509154189E-3</v>
      </c>
      <c r="K86">
        <f t="shared" si="35"/>
        <v>3.0940266509154294E-3</v>
      </c>
      <c r="N86" s="836"/>
      <c r="O86" s="22"/>
      <c r="P86" s="22"/>
      <c r="Q86" s="22"/>
      <c r="R86" s="840" t="e">
        <f>VLOOKUP(N86,Isolation!B81:R90,9)</f>
        <v>#N/A</v>
      </c>
      <c r="S86" s="22" t="str">
        <f t="shared" si="33"/>
        <v/>
      </c>
      <c r="U86" s="2294"/>
      <c r="V86" s="821" t="e">
        <f t="shared" si="34"/>
        <v>#N/A</v>
      </c>
      <c r="W86" t="e">
        <v>#N/A</v>
      </c>
      <c r="X86" t="e">
        <v>#N/A</v>
      </c>
      <c r="Y86" t="e">
        <v>#N/A</v>
      </c>
      <c r="Z86" s="454" t="e">
        <v>#N/A</v>
      </c>
      <c r="AA86" t="e">
        <v>#N/A</v>
      </c>
      <c r="AB86" t="e">
        <v>#N/A</v>
      </c>
      <c r="AC86" t="e">
        <v>#N/A</v>
      </c>
      <c r="AD86" t="e">
        <v>#N/A</v>
      </c>
      <c r="AE86" t="e">
        <v>#N/A</v>
      </c>
      <c r="AF86" t="e">
        <v>#N/A</v>
      </c>
      <c r="AG86" s="769" t="e" cm="1">
        <f t="array" ref="AG86">INDEX(W86:AF86,ROWS($1:4))</f>
        <v>#N/A</v>
      </c>
    </row>
    <row r="87" spans="2:33">
      <c r="B87" t="s">
        <v>1112</v>
      </c>
      <c r="E87" t="s">
        <v>1024</v>
      </c>
      <c r="F87" t="s">
        <v>1055</v>
      </c>
      <c r="G87" s="735">
        <f>Propriété_air!$Q$45/G82</f>
        <v>1.2587070965238392</v>
      </c>
      <c r="H87" s="735">
        <f>Propriété_air!$Q$45/H82</f>
        <v>1.0922013302522131</v>
      </c>
      <c r="I87" s="735">
        <f>Propriété_air!$Q$45/I82</f>
        <v>1.0922050377587791</v>
      </c>
      <c r="J87" s="735">
        <f>Propriété_air!$Q$45/J82</f>
        <v>1.0922050376415684</v>
      </c>
      <c r="K87" s="735">
        <f>Propriété_air!$Q$45/K82</f>
        <v>1.0922050376415722</v>
      </c>
      <c r="N87" s="836"/>
      <c r="O87" s="22"/>
      <c r="P87" s="22"/>
      <c r="Q87" s="22"/>
      <c r="R87" s="840" t="e">
        <f>VLOOKUP(N87,Isolation!B82:R91,9)</f>
        <v>#N/A</v>
      </c>
      <c r="S87" s="22" t="str">
        <f t="shared" si="33"/>
        <v/>
      </c>
      <c r="U87" s="2294"/>
      <c r="V87" s="821" t="e">
        <f t="shared" si="34"/>
        <v>#N/A</v>
      </c>
      <c r="W87" t="e">
        <v>#N/A</v>
      </c>
      <c r="X87" t="e">
        <v>#N/A</v>
      </c>
      <c r="Y87" t="e">
        <v>#N/A</v>
      </c>
      <c r="Z87" t="e">
        <v>#N/A</v>
      </c>
      <c r="AA87" s="454" t="e">
        <v>#N/A</v>
      </c>
      <c r="AB87" t="e">
        <v>#N/A</v>
      </c>
      <c r="AC87" t="e">
        <v>#N/A</v>
      </c>
      <c r="AD87" t="e">
        <v>#N/A</v>
      </c>
      <c r="AE87" t="e">
        <v>#N/A</v>
      </c>
      <c r="AF87" t="e">
        <v>#N/A</v>
      </c>
      <c r="AG87" s="769" t="e" cm="1">
        <f t="array" ref="AG87">INDEX(W87:AF87,ROWS($1:5))</f>
        <v>#N/A</v>
      </c>
    </row>
    <row r="88" spans="2:33">
      <c r="B88" t="s">
        <v>1025</v>
      </c>
      <c r="E88" t="s">
        <v>1026</v>
      </c>
      <c r="F88" t="s">
        <v>1059</v>
      </c>
      <c r="G88" s="736">
        <f>(Propriété_air!$Q$16*G82^4+Propriété_air!$R$16*G82^3+Propriété_air!$S$16*G82^2+Propriété_air!$T$16*G82+Propriété_air!$U$16)/10^6</f>
        <v>1.4107550211958557E-5</v>
      </c>
      <c r="H88" s="736">
        <f>(Propriété_air!$Q$16*H82^4+Propriété_air!$R$16*H82^3+Propriété_air!$S$16*H82^2+Propriété_air!$T$16*H82+Propriété_air!$U$16)/10^6</f>
        <v>1.8151685966752025E-5</v>
      </c>
      <c r="I88" s="736">
        <f>(Propriété_air!$Q$16*I82^4+Propriété_air!$R$16*I82^3+Propriété_air!$S$16*I82^2+Propriété_air!$T$16*I82+Propriété_air!$U$16)/10^6</f>
        <v>1.8151577101081318E-5</v>
      </c>
      <c r="J88" s="736">
        <f>(Propriété_air!$Q$16*J82^4+Propriété_air!$R$16*J82^3+Propriété_air!$S$16*J82^2+Propriété_air!$T$16*J82+Propriété_air!$U$16)/10^6</f>
        <v>1.8151577104523027E-5</v>
      </c>
      <c r="K88" s="736">
        <f>(Propriété_air!$Q$16*K82^4+Propriété_air!$R$16*K82^3+Propriété_air!$S$16*K82^2+Propriété_air!$T$16*K82+Propriété_air!$U$16)/10^6</f>
        <v>1.8151577104522918E-5</v>
      </c>
      <c r="N88" s="836"/>
      <c r="O88" s="22"/>
      <c r="P88" s="22"/>
      <c r="Q88" s="22"/>
      <c r="R88" s="840" t="e">
        <f>VLOOKUP(N88,Isolation!B83:R92,9)</f>
        <v>#N/A</v>
      </c>
      <c r="S88" s="22" t="str">
        <f t="shared" si="33"/>
        <v/>
      </c>
      <c r="U88" s="2294"/>
      <c r="V88" s="821" t="e">
        <f t="shared" si="34"/>
        <v>#N/A</v>
      </c>
      <c r="W88" t="e">
        <v>#N/A</v>
      </c>
      <c r="X88" t="e">
        <v>#N/A</v>
      </c>
      <c r="Y88" t="e">
        <v>#N/A</v>
      </c>
      <c r="Z88" t="e">
        <v>#N/A</v>
      </c>
      <c r="AA88" t="e">
        <v>#N/A</v>
      </c>
      <c r="AB88" s="454" t="e">
        <v>#N/A</v>
      </c>
      <c r="AC88" t="e">
        <v>#N/A</v>
      </c>
      <c r="AD88" t="e">
        <v>#N/A</v>
      </c>
      <c r="AE88" t="e">
        <v>#N/A</v>
      </c>
      <c r="AF88" t="e">
        <v>#N/A</v>
      </c>
      <c r="AG88" s="769" t="e" cm="1">
        <f t="array" ref="AG88">INDEX(W88:AF88,ROWS($1:6))</f>
        <v>#N/A</v>
      </c>
    </row>
    <row r="89" spans="2:33">
      <c r="B89" t="s">
        <v>1113</v>
      </c>
      <c r="E89" t="s">
        <v>1028</v>
      </c>
      <c r="F89" t="s">
        <v>1029</v>
      </c>
      <c r="G89" s="160">
        <f>Propriété_air!$Q$4*G82^4+Propriété_air!$R$4*G82^3+Propriété_air!$S$4*G82^2+Propriété_air!$T$4*G82+Propriété_air!$U$4</f>
        <v>1.0045728873008533</v>
      </c>
      <c r="H89" s="160">
        <f>Propriété_air!$Q$4*H82^4+Propriété_air!$R$4*H82^3+Propriété_air!$S$4*H82^2+Propriété_air!$T$4*H82+Propriété_air!$U$4</f>
        <v>1.006071816937012</v>
      </c>
      <c r="I89" s="160">
        <f>Propriété_air!$Q$4*I82^4+Propriété_air!$R$4*I82^3+Propriété_air!$S$4*I82^2+Propriété_air!$T$4*I82+Propriété_air!$U$4</f>
        <v>1.0060717509780075</v>
      </c>
      <c r="J89" s="160">
        <f>Propriété_air!$Q$4*J82^4+Propriété_air!$R$4*J82^3+Propriété_air!$S$4*J82^2+Propriété_air!$T$4*J82+Propriété_air!$U$4</f>
        <v>1.0060717509800927</v>
      </c>
      <c r="K89" s="160">
        <f>Propriété_air!$Q$4*K82^4+Propriété_air!$R$4*K82^3+Propriété_air!$S$4*K82^2+Propriété_air!$T$4*K82+Propriété_air!$U$4</f>
        <v>1.0060717509800927</v>
      </c>
      <c r="M89" s="736"/>
      <c r="N89" s="836"/>
      <c r="O89" s="22"/>
      <c r="P89" s="22"/>
      <c r="Q89" s="22"/>
      <c r="R89" s="840" t="e">
        <f>VLOOKUP(N89,Isolation!B84:R93,9)</f>
        <v>#N/A</v>
      </c>
      <c r="S89" s="22" t="str">
        <f t="shared" si="33"/>
        <v/>
      </c>
      <c r="U89" s="2294"/>
      <c r="V89" s="821" t="e">
        <f t="shared" si="34"/>
        <v>#N/A</v>
      </c>
      <c r="W89" t="e">
        <v>#N/A</v>
      </c>
      <c r="X89" t="e">
        <v>#N/A</v>
      </c>
      <c r="Y89" t="e">
        <v>#N/A</v>
      </c>
      <c r="Z89" t="e">
        <v>#N/A</v>
      </c>
      <c r="AA89" t="e">
        <v>#N/A</v>
      </c>
      <c r="AB89" t="e">
        <v>#N/A</v>
      </c>
      <c r="AC89" s="454" t="e">
        <v>#N/A</v>
      </c>
      <c r="AD89" t="e">
        <v>#N/A</v>
      </c>
      <c r="AE89" t="e">
        <v>#N/A</v>
      </c>
      <c r="AF89" t="e">
        <v>#N/A</v>
      </c>
      <c r="AG89" s="769" t="e" cm="1">
        <f t="array" ref="AG89">INDEX(W89:AF89,ROWS($1:7))</f>
        <v>#N/A</v>
      </c>
    </row>
    <row r="90" spans="2:33">
      <c r="B90" t="s">
        <v>1030</v>
      </c>
      <c r="E90" t="s">
        <v>1031</v>
      </c>
      <c r="F90" t="s">
        <v>1059</v>
      </c>
      <c r="G90" s="736">
        <f>(Propriété_air!$Q$28*G82^4+Propriété_air!$R$28*G82^3+Propriété_air!$S$28*G82^2+Propriété_air!$T$28*G82+Propriété_air!$U$28)/10^6</f>
        <v>1.9736849477875458E-5</v>
      </c>
      <c r="H90" s="736">
        <f>(Propriété_air!$Q$28*H82^4+Propriété_air!$R$28*H82^3+Propriété_air!$S$28*H82^2+Propriété_air!$T$28*H82+Propriété_air!$U$28)/10^6</f>
        <v>2.5909869535854841E-5</v>
      </c>
      <c r="I90" s="736">
        <f>(Propriété_air!$Q$28*I82^4+Propriété_air!$R$28*I82^3+Propriété_air!$S$28*I82^2+Propriété_air!$T$28*I82+Propriété_air!$U$28)/10^6</f>
        <v>2.5909703087868567E-5</v>
      </c>
      <c r="J90" s="736">
        <f>(Propriété_air!$Q$28*J82^4+Propriété_air!$R$28*J82^3+Propriété_air!$S$28*J82^2+Propriété_air!$T$28*J82+Propriété_air!$U$28)/10^6</f>
        <v>2.5909703093130702E-5</v>
      </c>
      <c r="K90" s="736">
        <f>(Propriété_air!$Q$28*K82^4+Propriété_air!$R$28*K82^3+Propriété_air!$S$28*K82^2+Propriété_air!$T$28*K82+Propriété_air!$U$28)/10^6</f>
        <v>2.5909703093130543E-5</v>
      </c>
      <c r="N90" s="836"/>
      <c r="O90" s="22"/>
      <c r="P90" s="22"/>
      <c r="Q90" s="22"/>
      <c r="R90" s="840" t="e">
        <f>VLOOKUP(N90,Isolation!B85:R94,9)</f>
        <v>#N/A</v>
      </c>
      <c r="S90" s="22" t="str">
        <f t="shared" si="33"/>
        <v/>
      </c>
      <c r="U90" s="2294"/>
      <c r="V90" s="821" t="e">
        <f t="shared" si="34"/>
        <v>#N/A</v>
      </c>
      <c r="W90" t="e">
        <v>#N/A</v>
      </c>
      <c r="X90" t="e">
        <v>#N/A</v>
      </c>
      <c r="Y90" t="e">
        <v>#N/A</v>
      </c>
      <c r="Z90" t="e">
        <v>#N/A</v>
      </c>
      <c r="AA90" t="e">
        <v>#N/A</v>
      </c>
      <c r="AB90" t="e">
        <v>#N/A</v>
      </c>
      <c r="AC90" t="e">
        <v>#N/A</v>
      </c>
      <c r="AD90" s="454" t="e">
        <v>#N/A</v>
      </c>
      <c r="AE90" t="e">
        <v>#N/A</v>
      </c>
      <c r="AF90" t="e">
        <v>#N/A</v>
      </c>
      <c r="AG90" s="769" t="e" cm="1">
        <f t="array" ref="AG90">INDEX(W90:AF90,ROWS($1:8))</f>
        <v>#N/A</v>
      </c>
    </row>
    <row r="91" spans="2:33">
      <c r="B91" t="s">
        <v>1032</v>
      </c>
      <c r="E91" t="s">
        <v>1033</v>
      </c>
      <c r="G91" s="743">
        <f>($E$9/1000)*$E$12/G88</f>
        <v>14085.31438942248</v>
      </c>
      <c r="H91" s="743">
        <f t="shared" ref="H91:K91" si="36">($E$9/1000)*$E$12/H88</f>
        <v>10947.152807952423</v>
      </c>
      <c r="I91" s="743">
        <f t="shared" si="36"/>
        <v>10947.218464458529</v>
      </c>
      <c r="J91" s="743">
        <f t="shared" si="36"/>
        <v>10947.218462382834</v>
      </c>
      <c r="K91" s="743">
        <f t="shared" si="36"/>
        <v>10947.2184623829</v>
      </c>
      <c r="N91" s="836"/>
      <c r="O91" s="22"/>
      <c r="P91" s="22"/>
      <c r="Q91" s="22"/>
      <c r="R91" s="840" t="e">
        <f>VLOOKUP(N91,Isolation!B86:R95,9)</f>
        <v>#N/A</v>
      </c>
      <c r="S91" s="22" t="str">
        <f t="shared" si="33"/>
        <v/>
      </c>
      <c r="U91" s="2294"/>
      <c r="V91" s="821" t="e">
        <f t="shared" si="34"/>
        <v>#N/A</v>
      </c>
      <c r="W91" t="e">
        <v>#N/A</v>
      </c>
      <c r="X91" t="e">
        <v>#N/A</v>
      </c>
      <c r="Y91" t="e">
        <v>#N/A</v>
      </c>
      <c r="Z91" t="e">
        <v>#N/A</v>
      </c>
      <c r="AA91" t="e">
        <v>#N/A</v>
      </c>
      <c r="AB91" t="e">
        <v>#N/A</v>
      </c>
      <c r="AC91" t="e">
        <v>#N/A</v>
      </c>
      <c r="AD91" t="e">
        <v>#N/A</v>
      </c>
      <c r="AE91" s="454" t="e">
        <v>#N/A</v>
      </c>
      <c r="AF91" t="e">
        <v>#N/A</v>
      </c>
      <c r="AG91" s="769" t="e" cm="1">
        <f t="array" ref="AG91">INDEX(W91:AF91,ROWS($1:9))</f>
        <v>#N/A</v>
      </c>
    </row>
    <row r="92" spans="2:33" ht="15.75" thickBot="1">
      <c r="B92" t="s">
        <v>1034</v>
      </c>
      <c r="E92" t="s">
        <v>1035</v>
      </c>
      <c r="G92" s="743">
        <f>9.81*G86*ABS(G78-$E$11)*($E$9/1000)^3/(G88*G90)</f>
        <v>88265.180210679231</v>
      </c>
      <c r="H92" s="743">
        <f t="shared" ref="H92:K92" si="37">9.81*H86*ABS(H78-$E$11)*($E$9/1000)^3/(H88*H90)</f>
        <v>3922619.2013639403</v>
      </c>
      <c r="I92" s="743">
        <f t="shared" si="37"/>
        <v>3922581.7466370906</v>
      </c>
      <c r="J92" s="743">
        <f t="shared" si="37"/>
        <v>3922581.7478212263</v>
      </c>
      <c r="K92" s="743">
        <f t="shared" si="37"/>
        <v>3922581.7478211876</v>
      </c>
      <c r="U92" s="2294"/>
      <c r="V92" s="821" t="e">
        <f t="shared" si="34"/>
        <v>#N/A</v>
      </c>
      <c r="W92" t="e">
        <v>#N/A</v>
      </c>
      <c r="X92" t="e">
        <v>#N/A</v>
      </c>
      <c r="Y92" t="e">
        <v>#N/A</v>
      </c>
      <c r="Z92" t="e">
        <v>#N/A</v>
      </c>
      <c r="AA92" t="e">
        <v>#N/A</v>
      </c>
      <c r="AB92" t="e">
        <v>#N/A</v>
      </c>
      <c r="AC92" t="e">
        <v>#N/A</v>
      </c>
      <c r="AD92" t="e">
        <v>#N/A</v>
      </c>
      <c r="AE92" t="e">
        <v>#N/A</v>
      </c>
      <c r="AF92" s="454" t="e">
        <v>#N/A</v>
      </c>
      <c r="AG92" s="839" t="e" cm="1">
        <f t="array" ref="AG92">INDEX(W92:AF92,ROWS($1:10))</f>
        <v>#N/A</v>
      </c>
    </row>
    <row r="94" spans="2:33">
      <c r="B94" s="4" t="s">
        <v>1130</v>
      </c>
      <c r="N94" s="2295" t="s">
        <v>2006</v>
      </c>
      <c r="O94" s="2295"/>
      <c r="P94" s="2295"/>
      <c r="Q94" s="2295"/>
      <c r="R94" s="2295"/>
      <c r="S94" s="2295"/>
      <c r="T94" s="2295"/>
      <c r="U94" s="2295"/>
      <c r="V94" s="2295"/>
      <c r="W94" s="2295"/>
      <c r="X94" s="2295"/>
      <c r="Y94" s="2295"/>
      <c r="Z94" s="2295"/>
      <c r="AA94" s="2295"/>
      <c r="AB94" s="2295"/>
      <c r="AC94" s="2295"/>
      <c r="AD94" s="2295"/>
      <c r="AE94" s="2295"/>
      <c r="AF94" s="2295"/>
      <c r="AG94" s="2295"/>
    </row>
    <row r="95" spans="2:33">
      <c r="B95" t="s">
        <v>1036</v>
      </c>
      <c r="E95" t="s">
        <v>1037</v>
      </c>
      <c r="F95" t="s">
        <v>1060</v>
      </c>
      <c r="G95" s="160">
        <f>'Facteurs conversion'!$C$30*$G$79*((G78+273.15)^4-($E$11+273.15)^4)/((G78+273.15)-($E$11+273.15))</f>
        <v>4.0024823771495974</v>
      </c>
      <c r="H95" s="160">
        <f>'Facteurs conversion'!$C$30*$G$79*((H78+273.15)^4-($E$11+273.15)^4)/((H78+273.15)-($E$11+273.15))</f>
        <v>6.2359638393348531</v>
      </c>
      <c r="I95" s="160">
        <f>'Facteurs conversion'!$C$30*$G$79*((I78+273.15)^4-($E$11+273.15)^4)/((I78+273.15)-($E$11+273.15))</f>
        <v>6.235895514173583</v>
      </c>
      <c r="J95" s="160">
        <f>'Facteurs conversion'!$C$30*$G$79*((J78+273.15)^4-($E$11+273.15)^4)/((J78+273.15)-($E$11+273.15))</f>
        <v>6.2358955163336258</v>
      </c>
      <c r="K95" s="160">
        <f>'Facteurs conversion'!$C$30*$G$79*((K78+273.15)^4-($E$11+273.15)^4)/((K78+273.15)-($E$11+273.15))</f>
        <v>6.2358955163335601</v>
      </c>
      <c r="N95" s="2296" t="s">
        <v>1136</v>
      </c>
      <c r="O95" s="842" t="s">
        <v>1157</v>
      </c>
      <c r="P95" s="842" t="s">
        <v>1138</v>
      </c>
      <c r="Q95" s="2297" t="s">
        <v>1148</v>
      </c>
      <c r="R95" s="842" t="s">
        <v>1203</v>
      </c>
      <c r="S95" s="842" t="s">
        <v>1135</v>
      </c>
      <c r="W95" s="2299" t="s">
        <v>1194</v>
      </c>
      <c r="X95" s="2299"/>
      <c r="Y95" s="2299"/>
      <c r="Z95" s="2299"/>
      <c r="AA95" s="2299"/>
      <c r="AB95" s="2299"/>
      <c r="AC95" s="2299"/>
      <c r="AD95" s="2299"/>
      <c r="AE95" s="2299"/>
      <c r="AF95" s="2299"/>
    </row>
    <row r="96" spans="2:33">
      <c r="B96" t="s">
        <v>1038</v>
      </c>
      <c r="N96" s="2296"/>
      <c r="O96" s="843" t="s">
        <v>1141</v>
      </c>
      <c r="P96" s="843" t="s">
        <v>1142</v>
      </c>
      <c r="Q96" s="2298"/>
      <c r="R96" s="844" t="s">
        <v>1158</v>
      </c>
      <c r="S96" s="843" t="s">
        <v>1212</v>
      </c>
      <c r="W96" s="2300" t="s">
        <v>985</v>
      </c>
      <c r="X96" s="2300"/>
      <c r="Y96" s="2300"/>
      <c r="Z96" s="2300"/>
      <c r="AA96" s="2300"/>
      <c r="AB96" s="2300"/>
      <c r="AC96" s="2300"/>
      <c r="AD96" s="2300"/>
      <c r="AE96" s="2300"/>
      <c r="AF96" s="2300"/>
      <c r="AG96" s="2301" t="s">
        <v>1156</v>
      </c>
    </row>
    <row r="97" spans="2:33" ht="15.75" thickBot="1">
      <c r="B97" t="s">
        <v>1115</v>
      </c>
      <c r="E97" t="s">
        <v>1039</v>
      </c>
      <c r="G97" s="733">
        <f>0.3+(0.62*G91^0.5*G85^(1/3))*(1+(G91/282000)^(5/8))^(4/5)/(1 + (0.4/G85)^(2/3))^(1/4)</f>
        <v>65.006971449916918</v>
      </c>
      <c r="H97" s="733">
        <f>0.3+(0.62*H91^0.5*H85^(1/3))*(1+(H91/282000)^(5/8))^(4/5)/(1 + (0.4/H85)^(2/3))^(1/4)</f>
        <v>56.132826791158521</v>
      </c>
      <c r="I97" s="733">
        <f t="shared" ref="I97:K97" si="38">0.3+(0.62*I91^0.5*I85^(1/3))*(1+(I91/282000)^(5/8))^(4/5)/(1 + (0.4/I85)^(2/3))^(1/4)</f>
        <v>56.133021023999376</v>
      </c>
      <c r="J97" s="733">
        <f t="shared" si="38"/>
        <v>56.133021017858816</v>
      </c>
      <c r="K97" s="733">
        <f t="shared" si="38"/>
        <v>56.133021017859008</v>
      </c>
      <c r="N97" s="836" t="e" cm="1" vm="2">
        <f t="array" ref="N97">_xlfn._xlws.FILTER(Isolation!B92:E101,Isolation!E92:E101=P6&amp;"_"&amp;P7)</f>
        <v>#VALUE!</v>
      </c>
      <c r="O97" s="22"/>
      <c r="P97" s="22"/>
      <c r="Q97" s="22"/>
      <c r="R97" s="840" t="e" vm="1">
        <f>VLOOKUP(N97,Isolation!B92:R101,9)</f>
        <v>#VALUE!</v>
      </c>
      <c r="S97" s="22" t="e" vm="1">
        <f>IF(N97="","",AG98)</f>
        <v>#VALUE!</v>
      </c>
      <c r="V97" s="774">
        <f>$E$30</f>
        <v>542.96817309158337</v>
      </c>
      <c r="W97" s="818" cm="1">
        <f t="array" ref="W97:AF97">TRANSPOSE(P97:P106)</f>
        <v>0</v>
      </c>
      <c r="X97" s="818">
        <v>0</v>
      </c>
      <c r="Y97" s="818">
        <v>0</v>
      </c>
      <c r="Z97" s="818">
        <v>0</v>
      </c>
      <c r="AA97" s="818">
        <v>0</v>
      </c>
      <c r="AB97" s="818">
        <v>0</v>
      </c>
      <c r="AC97" s="818">
        <v>0</v>
      </c>
      <c r="AD97" s="818">
        <v>0</v>
      </c>
      <c r="AE97" s="818">
        <v>0</v>
      </c>
      <c r="AF97" s="818">
        <v>0</v>
      </c>
      <c r="AG97" s="2301"/>
    </row>
    <row r="98" spans="2:33">
      <c r="E98" t="s">
        <v>1040</v>
      </c>
      <c r="F98" t="s">
        <v>1060</v>
      </c>
      <c r="G98" s="160">
        <f>G97*G83/($E$9/1000)</f>
        <v>18.060090549865091</v>
      </c>
      <c r="H98" s="160">
        <f t="shared" ref="H98:K98" si="39">H97*H83/($E$9/1000)</f>
        <v>17.726934544743806</v>
      </c>
      <c r="I98" s="160">
        <f t="shared" si="39"/>
        <v>17.726942114465015</v>
      </c>
      <c r="J98" s="160">
        <f t="shared" si="39"/>
        <v>17.726942114225704</v>
      </c>
      <c r="K98" s="160">
        <f t="shared" si="39"/>
        <v>17.726942114225711</v>
      </c>
      <c r="N98" s="836"/>
      <c r="O98" s="22"/>
      <c r="P98" s="22"/>
      <c r="Q98" s="22"/>
      <c r="R98" s="840" t="e">
        <f>VLOOKUP(N98,Isolation!B93:R102,9)</f>
        <v>#N/A</v>
      </c>
      <c r="S98" s="22" t="str">
        <f t="shared" ref="S98:S103" si="40">IF(N98="","",AG99)</f>
        <v/>
      </c>
      <c r="U98" s="2294" t="s">
        <v>1204</v>
      </c>
      <c r="V98" s="821" t="e" vm="1">
        <f>R97</f>
        <v>#VALUE!</v>
      </c>
      <c r="W98" s="454" t="e" vm="1">
        <f t="dataTable" ref="W98:AF107" dt2D="1" dtr="1" r1="E10" r2="E9" ca="1"/>
        <v>#VALUE!</v>
      </c>
      <c r="X98" t="e" vm="1">
        <v>#VALUE!</v>
      </c>
      <c r="Y98" t="e" vm="1">
        <v>#VALUE!</v>
      </c>
      <c r="Z98" t="e" vm="1">
        <v>#VALUE!</v>
      </c>
      <c r="AA98" t="e" vm="1">
        <v>#VALUE!</v>
      </c>
      <c r="AB98" t="e" vm="1">
        <v>#VALUE!</v>
      </c>
      <c r="AC98" t="e" vm="1">
        <v>#VALUE!</v>
      </c>
      <c r="AD98" t="e" vm="1">
        <v>#VALUE!</v>
      </c>
      <c r="AE98" t="e" vm="1">
        <v>#VALUE!</v>
      </c>
      <c r="AF98" t="e" vm="1">
        <v>#VALUE!</v>
      </c>
      <c r="AG98" s="838" t="e" cm="1" vm="1">
        <f t="array" ref="AG98">INDEX(W98:AF98,ROWS($1:1))</f>
        <v>#VALUE!</v>
      </c>
    </row>
    <row r="99" spans="2:33">
      <c r="B99" t="s">
        <v>1041</v>
      </c>
      <c r="E99" t="s">
        <v>1042</v>
      </c>
      <c r="G99" s="160">
        <f>(0.6 + 0.387*G92^(1/6)/( 1 +(0.559/G85)^(9/16))^(8/27))^2</f>
        <v>7.5312053432954933</v>
      </c>
      <c r="H99" s="160">
        <f t="shared" ref="H99:K99" si="41">(0.6 + 0.387*H92^(1/6)/( 1 +(0.559/H85)^(9/16))^(8/27))^2</f>
        <v>21.447547493016135</v>
      </c>
      <c r="I99" s="160">
        <f t="shared" si="41"/>
        <v>21.447489032256868</v>
      </c>
      <c r="J99" s="160">
        <f t="shared" si="41"/>
        <v>21.447489034105111</v>
      </c>
      <c r="K99" s="160">
        <f t="shared" si="41"/>
        <v>21.447489034105061</v>
      </c>
      <c r="N99" s="836"/>
      <c r="O99" s="22"/>
      <c r="P99" s="22"/>
      <c r="Q99" s="22"/>
      <c r="R99" s="840" t="e">
        <f>VLOOKUP(N99,Isolation!B94:R103,9)</f>
        <v>#N/A</v>
      </c>
      <c r="S99" s="22" t="str">
        <f t="shared" si="40"/>
        <v/>
      </c>
      <c r="U99" s="2294"/>
      <c r="V99" s="821" t="e">
        <f t="shared" ref="V99:V107" si="42">R98</f>
        <v>#N/A</v>
      </c>
      <c r="W99" t="e">
        <v>#N/A</v>
      </c>
      <c r="X99" s="454" t="e">
        <v>#N/A</v>
      </c>
      <c r="Y99" t="e">
        <v>#N/A</v>
      </c>
      <c r="Z99" t="e">
        <v>#N/A</v>
      </c>
      <c r="AA99" t="e">
        <v>#N/A</v>
      </c>
      <c r="AB99" t="e">
        <v>#N/A</v>
      </c>
      <c r="AC99" t="e">
        <v>#N/A</v>
      </c>
      <c r="AD99" t="e">
        <v>#N/A</v>
      </c>
      <c r="AE99" t="e">
        <v>#N/A</v>
      </c>
      <c r="AF99" t="e">
        <v>#N/A</v>
      </c>
      <c r="AG99" s="769" t="e" cm="1">
        <f t="array" ref="AG99">INDEX(W99:AF99,ROWS($1:2))</f>
        <v>#N/A</v>
      </c>
    </row>
    <row r="100" spans="2:33">
      <c r="E100" t="s">
        <v>1043</v>
      </c>
      <c r="F100" t="s">
        <v>1060</v>
      </c>
      <c r="G100" s="160">
        <f>G99*G83/($E$9/1000)</f>
        <v>2.0923025241121005</v>
      </c>
      <c r="H100" s="160">
        <f t="shared" ref="H100:K100" si="43">H99*H83/($E$9/1000)</f>
        <v>6.7732072708275988</v>
      </c>
      <c r="I100" s="160">
        <f t="shared" si="43"/>
        <v>6.7731682642359301</v>
      </c>
      <c r="J100" s="160">
        <f t="shared" si="43"/>
        <v>6.7731682654691081</v>
      </c>
      <c r="K100" s="160">
        <f t="shared" si="43"/>
        <v>6.7731682654690735</v>
      </c>
      <c r="N100" s="836"/>
      <c r="O100" s="22"/>
      <c r="P100" s="22"/>
      <c r="Q100" s="22"/>
      <c r="R100" s="840" t="e">
        <f>VLOOKUP(N100,Isolation!B95:R104,9)</f>
        <v>#N/A</v>
      </c>
      <c r="S100" s="22" t="str">
        <f t="shared" si="40"/>
        <v/>
      </c>
      <c r="U100" s="2294"/>
      <c r="V100" s="821" t="e">
        <f t="shared" si="42"/>
        <v>#N/A</v>
      </c>
      <c r="W100" t="e">
        <v>#N/A</v>
      </c>
      <c r="X100" t="e">
        <v>#N/A</v>
      </c>
      <c r="Y100" s="454" t="e">
        <v>#N/A</v>
      </c>
      <c r="Z100" t="e">
        <v>#N/A</v>
      </c>
      <c r="AA100" t="e">
        <v>#N/A</v>
      </c>
      <c r="AB100" t="e">
        <v>#N/A</v>
      </c>
      <c r="AC100" t="e">
        <v>#N/A</v>
      </c>
      <c r="AD100" t="e">
        <v>#N/A</v>
      </c>
      <c r="AE100" t="e">
        <v>#N/A</v>
      </c>
      <c r="AF100" t="e">
        <v>#N/A</v>
      </c>
      <c r="AG100" s="769" t="e" cm="1">
        <f t="array" ref="AG100">INDEX(W100:AF100,ROWS($1:3))</f>
        <v>#N/A</v>
      </c>
    </row>
    <row r="101" spans="2:33">
      <c r="B101" t="s">
        <v>1116</v>
      </c>
      <c r="E101" t="s">
        <v>1044</v>
      </c>
      <c r="G101" s="733">
        <f>(G97^4+G99^4)^(1/4)</f>
        <v>65.009898895481697</v>
      </c>
      <c r="H101" s="733">
        <f t="shared" ref="H101:K101" si="44">(H97^4+H99^4)^(1/4)</f>
        <v>56.429554236165856</v>
      </c>
      <c r="I101" s="733">
        <f t="shared" si="44"/>
        <v>56.429742211315826</v>
      </c>
      <c r="J101" s="733">
        <f t="shared" si="44"/>
        <v>56.429742205373138</v>
      </c>
      <c r="K101" s="733">
        <f t="shared" si="44"/>
        <v>56.429742205373337</v>
      </c>
      <c r="N101" s="836"/>
      <c r="O101" s="22"/>
      <c r="P101" s="22"/>
      <c r="Q101" s="22"/>
      <c r="R101" s="840" t="e">
        <f>VLOOKUP(N101,Isolation!B96:R105,9)</f>
        <v>#N/A</v>
      </c>
      <c r="S101" s="22" t="str">
        <f t="shared" si="40"/>
        <v/>
      </c>
      <c r="U101" s="2294"/>
      <c r="V101" s="821" t="e">
        <f t="shared" si="42"/>
        <v>#N/A</v>
      </c>
      <c r="W101" t="e">
        <v>#N/A</v>
      </c>
      <c r="X101" t="e">
        <v>#N/A</v>
      </c>
      <c r="Y101" t="e">
        <v>#N/A</v>
      </c>
      <c r="Z101" s="454" t="e">
        <v>#N/A</v>
      </c>
      <c r="AA101" t="e">
        <v>#N/A</v>
      </c>
      <c r="AB101" t="e">
        <v>#N/A</v>
      </c>
      <c r="AC101" t="e">
        <v>#N/A</v>
      </c>
      <c r="AD101" t="e">
        <v>#N/A</v>
      </c>
      <c r="AE101" t="e">
        <v>#N/A</v>
      </c>
      <c r="AF101" t="e">
        <v>#N/A</v>
      </c>
      <c r="AG101" s="769" t="e" cm="1">
        <f t="array" ref="AG101">INDEX(W101:AF101,ROWS($1:4))</f>
        <v>#N/A</v>
      </c>
    </row>
    <row r="102" spans="2:33">
      <c r="E102" t="s">
        <v>1045</v>
      </c>
      <c r="F102" t="s">
        <v>1060</v>
      </c>
      <c r="G102" s="160">
        <f>G101*G83/($E$9/1000)</f>
        <v>18.060903846205477</v>
      </c>
      <c r="H102" s="160">
        <f t="shared" ref="H102:K102" si="45">H101*H83/($E$9/1000)</f>
        <v>17.820642064852208</v>
      </c>
      <c r="I102" s="160">
        <f t="shared" si="45"/>
        <v>17.820647374145324</v>
      </c>
      <c r="J102" s="160">
        <f t="shared" si="45"/>
        <v>17.820647373977486</v>
      </c>
      <c r="K102" s="160">
        <f t="shared" si="45"/>
        <v>17.820647373977497</v>
      </c>
      <c r="N102" s="836"/>
      <c r="O102" s="22"/>
      <c r="P102" s="22"/>
      <c r="Q102" s="22"/>
      <c r="R102" s="840" t="e">
        <f>VLOOKUP(N102,Isolation!B97:R106,9)</f>
        <v>#N/A</v>
      </c>
      <c r="S102" s="22" t="str">
        <f t="shared" si="40"/>
        <v/>
      </c>
      <c r="U102" s="2294"/>
      <c r="V102" s="821" t="e">
        <f t="shared" si="42"/>
        <v>#N/A</v>
      </c>
      <c r="W102" t="e">
        <v>#N/A</v>
      </c>
      <c r="X102" t="e">
        <v>#N/A</v>
      </c>
      <c r="Y102" t="e">
        <v>#N/A</v>
      </c>
      <c r="Z102" t="e">
        <v>#N/A</v>
      </c>
      <c r="AA102" s="454" t="e">
        <v>#N/A</v>
      </c>
      <c r="AB102" t="e">
        <v>#N/A</v>
      </c>
      <c r="AC102" t="e">
        <v>#N/A</v>
      </c>
      <c r="AD102" t="e">
        <v>#N/A</v>
      </c>
      <c r="AE102" t="e">
        <v>#N/A</v>
      </c>
      <c r="AF102" t="e">
        <v>#N/A</v>
      </c>
      <c r="AG102" s="769" t="e" cm="1">
        <f t="array" ref="AG102">INDEX(W102:AF102,ROWS($1:5))</f>
        <v>#N/A</v>
      </c>
    </row>
    <row r="103" spans="2:33">
      <c r="B103" t="s">
        <v>1117</v>
      </c>
      <c r="E103" t="s">
        <v>1046</v>
      </c>
      <c r="F103" t="s">
        <v>1060</v>
      </c>
      <c r="G103" s="160">
        <f>G102+G95</f>
        <v>22.063386223355074</v>
      </c>
      <c r="H103" s="160">
        <f t="shared" ref="H103:K103" si="46">H102+H95</f>
        <v>24.056605904187062</v>
      </c>
      <c r="I103" s="160">
        <f t="shared" si="46"/>
        <v>24.056542888318909</v>
      </c>
      <c r="J103" s="160">
        <f t="shared" si="46"/>
        <v>24.056542890311114</v>
      </c>
      <c r="K103" s="160">
        <f t="shared" si="46"/>
        <v>24.056542890311057</v>
      </c>
      <c r="N103" s="836"/>
      <c r="O103" s="22"/>
      <c r="P103" s="22"/>
      <c r="Q103" s="22"/>
      <c r="R103" s="840" t="e">
        <f>VLOOKUP(N103,Isolation!B98:R107,9)</f>
        <v>#N/A</v>
      </c>
      <c r="S103" s="22" t="str">
        <f t="shared" si="40"/>
        <v/>
      </c>
      <c r="U103" s="2294"/>
      <c r="V103" s="821" t="e">
        <f t="shared" si="42"/>
        <v>#N/A</v>
      </c>
      <c r="W103" t="e">
        <v>#N/A</v>
      </c>
      <c r="X103" t="e">
        <v>#N/A</v>
      </c>
      <c r="Y103" t="e">
        <v>#N/A</v>
      </c>
      <c r="Z103" t="e">
        <v>#N/A</v>
      </c>
      <c r="AA103" t="e">
        <v>#N/A</v>
      </c>
      <c r="AB103" s="454" t="e">
        <v>#N/A</v>
      </c>
      <c r="AC103" t="e">
        <v>#N/A</v>
      </c>
      <c r="AD103" t="e">
        <v>#N/A</v>
      </c>
      <c r="AE103" t="e">
        <v>#N/A</v>
      </c>
      <c r="AF103" t="e">
        <v>#N/A</v>
      </c>
      <c r="AG103" s="769" t="e" cm="1">
        <f t="array" ref="AG103">INDEX(W103:AF103,ROWS($1:6))</f>
        <v>#N/A</v>
      </c>
    </row>
    <row r="104" spans="2:33">
      <c r="B104" s="4" t="s">
        <v>1118</v>
      </c>
      <c r="G104" s="160"/>
      <c r="H104" s="160"/>
      <c r="I104" s="160"/>
      <c r="J104" s="160"/>
      <c r="K104" s="160"/>
      <c r="N104" s="836"/>
      <c r="O104" s="22"/>
      <c r="P104" s="22"/>
      <c r="Q104" s="22"/>
      <c r="R104" s="840" t="e">
        <f>VLOOKUP(N104,Isolation!B99:R108,9)</f>
        <v>#N/A</v>
      </c>
      <c r="S104" s="22" t="str">
        <f>IF(N104="","",AG105)</f>
        <v/>
      </c>
      <c r="U104" s="2294"/>
      <c r="V104" s="821" t="e">
        <f t="shared" si="42"/>
        <v>#N/A</v>
      </c>
      <c r="W104" t="e">
        <v>#N/A</v>
      </c>
      <c r="X104" t="e">
        <v>#N/A</v>
      </c>
      <c r="Y104" t="e">
        <v>#N/A</v>
      </c>
      <c r="Z104" t="e">
        <v>#N/A</v>
      </c>
      <c r="AA104" t="e">
        <v>#N/A</v>
      </c>
      <c r="AB104" t="e">
        <v>#N/A</v>
      </c>
      <c r="AC104" s="454" t="e">
        <v>#N/A</v>
      </c>
      <c r="AD104" t="e">
        <v>#N/A</v>
      </c>
      <c r="AE104" t="e">
        <v>#N/A</v>
      </c>
      <c r="AF104" t="e">
        <v>#N/A</v>
      </c>
      <c r="AG104" s="769" t="e" cm="1">
        <f t="array" ref="AG104">INDEX(W104:AF104,ROWS($1:7))</f>
        <v>#N/A</v>
      </c>
    </row>
    <row r="105" spans="2:33">
      <c r="B105" t="s">
        <v>1131</v>
      </c>
      <c r="E105" t="s">
        <v>1047</v>
      </c>
      <c r="F105" t="s">
        <v>1018</v>
      </c>
      <c r="G105" s="160">
        <f>Propriété_matériau!$G$9*($E$10+273.15)^3+Propriété_matériau!$H$9*($E$10+273.15)^2+Propriété_matériau!$I$9*($E$10+273.15)+Propriété_matériau!$J$9</f>
        <v>60.381356365592872</v>
      </c>
      <c r="H105" s="160">
        <f>Propriété_matériau!$G$9*($E$10+273.15)^3+Propriété_matériau!$H$9*($E$10+273.15)^2+Propriété_matériau!$I$9*($E$10+273.15)+Propriété_matériau!$J$9</f>
        <v>60.381356365592872</v>
      </c>
      <c r="I105" s="160">
        <f>Propriété_matériau!$G$9*($E$10+273.15)^3+Propriété_matériau!$H$9*($E$10+273.15)^2+Propriété_matériau!$I$9*($E$10+273.15)+Propriété_matériau!$J$9</f>
        <v>60.381356365592872</v>
      </c>
      <c r="J105" s="160">
        <f>Propriété_matériau!$G$9*($E$10+273.15)^3+Propriété_matériau!$H$9*($E$10+273.15)^2+Propriété_matériau!$I$9*($E$10+273.15)+Propriété_matériau!$J$9</f>
        <v>60.381356365592872</v>
      </c>
      <c r="K105" s="160">
        <f>Propriété_matériau!$G$9*($E$10+273.15)^3+Propriété_matériau!$H$9*($E$10+273.15)^2+Propriété_matériau!$I$9*($E$10+273.15)+Propriété_matériau!$J$9</f>
        <v>60.381356365592872</v>
      </c>
      <c r="N105" s="836"/>
      <c r="O105" s="22"/>
      <c r="P105" s="22"/>
      <c r="Q105" s="22"/>
      <c r="R105" s="840" t="e">
        <f>VLOOKUP(N105,Isolation!B100:R109,9)</f>
        <v>#N/A</v>
      </c>
      <c r="S105" s="22" t="str">
        <f t="shared" ref="S105:S106" si="47">IF(N105="","",AG106)</f>
        <v/>
      </c>
      <c r="U105" s="2294"/>
      <c r="V105" s="821" t="e">
        <f t="shared" si="42"/>
        <v>#N/A</v>
      </c>
      <c r="W105" t="e">
        <v>#N/A</v>
      </c>
      <c r="X105" t="e">
        <v>#N/A</v>
      </c>
      <c r="Y105" t="e">
        <v>#N/A</v>
      </c>
      <c r="Z105" t="e">
        <v>#N/A</v>
      </c>
      <c r="AA105" t="e">
        <v>#N/A</v>
      </c>
      <c r="AB105" t="e">
        <v>#N/A</v>
      </c>
      <c r="AC105" t="e">
        <v>#N/A</v>
      </c>
      <c r="AD105" s="454" t="e">
        <v>#N/A</v>
      </c>
      <c r="AE105" t="e">
        <v>#N/A</v>
      </c>
      <c r="AF105" t="e">
        <v>#N/A</v>
      </c>
      <c r="AG105" s="769" t="e" cm="1">
        <f t="array" ref="AG105">INDEX(W105:AF105,ROWS($1:8))</f>
        <v>#N/A</v>
      </c>
    </row>
    <row r="106" spans="2:33">
      <c r="B106" t="s">
        <v>1119</v>
      </c>
      <c r="E106" t="s">
        <v>1048</v>
      </c>
      <c r="F106" t="s">
        <v>1061</v>
      </c>
      <c r="G106" s="741">
        <f>($E$9/1000)*LN($E$9/$E$8)/(2*G105)</f>
        <v>1.2729211346106643E-5</v>
      </c>
      <c r="H106" s="741">
        <f t="shared" ref="H106:K106" si="48">($E$9/1000)*LN($E$9/$E$8)/(2*H105)</f>
        <v>1.2729211346106643E-5</v>
      </c>
      <c r="I106" s="741">
        <f t="shared" si="48"/>
        <v>1.2729211346106643E-5</v>
      </c>
      <c r="J106" s="741">
        <f t="shared" si="48"/>
        <v>1.2729211346106643E-5</v>
      </c>
      <c r="K106" s="741">
        <f t="shared" si="48"/>
        <v>1.2729211346106643E-5</v>
      </c>
      <c r="N106" s="836"/>
      <c r="O106" s="22"/>
      <c r="P106" s="22"/>
      <c r="Q106" s="22"/>
      <c r="R106" s="840" t="e">
        <f>VLOOKUP(N106,Isolation!B101:R110,9)</f>
        <v>#N/A</v>
      </c>
      <c r="S106" s="22" t="str">
        <f t="shared" si="47"/>
        <v/>
      </c>
      <c r="U106" s="2294"/>
      <c r="V106" s="821" t="e">
        <f t="shared" si="42"/>
        <v>#N/A</v>
      </c>
      <c r="W106" t="e">
        <v>#N/A</v>
      </c>
      <c r="X106" t="e">
        <v>#N/A</v>
      </c>
      <c r="Y106" t="e">
        <v>#N/A</v>
      </c>
      <c r="Z106" t="e">
        <v>#N/A</v>
      </c>
      <c r="AA106" t="e">
        <v>#N/A</v>
      </c>
      <c r="AB106" t="e">
        <v>#N/A</v>
      </c>
      <c r="AC106" t="e">
        <v>#N/A</v>
      </c>
      <c r="AD106" t="e">
        <v>#N/A</v>
      </c>
      <c r="AE106" s="454" t="e">
        <v>#N/A</v>
      </c>
      <c r="AF106" t="e">
        <v>#N/A</v>
      </c>
      <c r="AG106" s="769" t="e" cm="1">
        <f t="array" ref="AG106">INDEX(W106:AF106,ROWS($1:9))</f>
        <v>#N/A</v>
      </c>
    </row>
    <row r="107" spans="2:33" ht="15.75" thickBot="1">
      <c r="B107" s="4" t="s">
        <v>1132</v>
      </c>
      <c r="E107" t="s">
        <v>1051</v>
      </c>
      <c r="F107" t="s">
        <v>1061</v>
      </c>
      <c r="G107" s="724">
        <f>G106+1/G103</f>
        <v>4.5336687640784988E-2</v>
      </c>
      <c r="H107" s="724">
        <f t="shared" ref="H107:K107" si="49">H106+1/H103</f>
        <v>4.1581352980751149E-2</v>
      </c>
      <c r="I107" s="724">
        <f t="shared" si="49"/>
        <v>4.1581461869336131E-2</v>
      </c>
      <c r="J107" s="724">
        <f t="shared" si="49"/>
        <v>4.1581461865893683E-2</v>
      </c>
      <c r="K107" s="724">
        <f t="shared" si="49"/>
        <v>4.158146186589378E-2</v>
      </c>
      <c r="U107" s="2294"/>
      <c r="V107" s="821" t="e">
        <f t="shared" si="42"/>
        <v>#N/A</v>
      </c>
      <c r="W107" t="e">
        <v>#N/A</v>
      </c>
      <c r="X107" t="e">
        <v>#N/A</v>
      </c>
      <c r="Y107" t="e">
        <v>#N/A</v>
      </c>
      <c r="Z107" t="e">
        <v>#N/A</v>
      </c>
      <c r="AA107" t="e">
        <v>#N/A</v>
      </c>
      <c r="AB107" t="e">
        <v>#N/A</v>
      </c>
      <c r="AC107" t="e">
        <v>#N/A</v>
      </c>
      <c r="AD107" t="e">
        <v>#N/A</v>
      </c>
      <c r="AE107" t="e">
        <v>#N/A</v>
      </c>
      <c r="AF107" s="454" t="e">
        <v>#N/A</v>
      </c>
      <c r="AG107" s="839" t="e" cm="1">
        <f t="array" ref="AG107">INDEX(W107:AF107,ROWS($1:10))</f>
        <v>#N/A</v>
      </c>
    </row>
    <row r="108" spans="2:33">
      <c r="B108" t="s">
        <v>1123</v>
      </c>
      <c r="E108" t="s">
        <v>1052</v>
      </c>
      <c r="F108" t="s">
        <v>1062</v>
      </c>
      <c r="G108" s="748">
        <f>($E$10-$E$11)/G107</f>
        <v>1908.6823020455456</v>
      </c>
      <c r="H108" s="748">
        <f t="shared" ref="H108:K108" si="50">($E$10-$E$11)/H107</f>
        <v>2081.061031693494</v>
      </c>
      <c r="I108" s="748">
        <f t="shared" si="50"/>
        <v>2081.0555820584691</v>
      </c>
      <c r="J108" s="748">
        <f t="shared" si="50"/>
        <v>2081.0555822307556</v>
      </c>
      <c r="K108" s="748">
        <f t="shared" si="50"/>
        <v>2081.0555822307506</v>
      </c>
    </row>
    <row r="109" spans="2:33">
      <c r="B109" t="s">
        <v>1133</v>
      </c>
      <c r="E109" t="s">
        <v>1053</v>
      </c>
      <c r="F109" t="s">
        <v>1056</v>
      </c>
      <c r="G109" s="733">
        <f>$E$10 - G108*G106</f>
        <v>93.309037312918022</v>
      </c>
      <c r="H109" s="733">
        <f t="shared" ref="H109:K109" si="51">$E$10 - H108*H106</f>
        <v>93.306843067636748</v>
      </c>
      <c r="I109" s="733">
        <f t="shared" si="51"/>
        <v>93.306843137006311</v>
      </c>
      <c r="J109" s="733">
        <f t="shared" si="51"/>
        <v>93.306843137004122</v>
      </c>
      <c r="K109" s="733">
        <f t="shared" si="51"/>
        <v>93.306843137004122</v>
      </c>
    </row>
    <row r="110" spans="2:33">
      <c r="B110" t="s">
        <v>1125</v>
      </c>
      <c r="F110" t="s">
        <v>1010</v>
      </c>
      <c r="G110" s="160">
        <f>G108*PI()*($E$9/1000)</f>
        <v>533.07127430492517</v>
      </c>
      <c r="H110" s="160">
        <f t="shared" ref="H110:K110" si="52">H108*PI()*($E$9/1000)</f>
        <v>581.21451374190065</v>
      </c>
      <c r="I110" s="160">
        <f t="shared" si="52"/>
        <v>581.21299172648503</v>
      </c>
      <c r="J110" s="160">
        <f t="shared" si="52"/>
        <v>581.21299177460241</v>
      </c>
      <c r="K110" s="160">
        <f t="shared" si="52"/>
        <v>581.21299177460105</v>
      </c>
    </row>
  </sheetData>
  <mergeCells count="44">
    <mergeCell ref="U38:U47"/>
    <mergeCell ref="N34:AG34"/>
    <mergeCell ref="N35:N36"/>
    <mergeCell ref="Q35:Q36"/>
    <mergeCell ref="W35:AF35"/>
    <mergeCell ref="W36:AF36"/>
    <mergeCell ref="AG36:AG37"/>
    <mergeCell ref="W10:AQ10"/>
    <mergeCell ref="B3:Z3"/>
    <mergeCell ref="B7:K7"/>
    <mergeCell ref="B21:K21"/>
    <mergeCell ref="W11:AP11"/>
    <mergeCell ref="U13:U32"/>
    <mergeCell ref="N10:N11"/>
    <mergeCell ref="Q10:Q11"/>
    <mergeCell ref="N9:S9"/>
    <mergeCell ref="N49:AG49"/>
    <mergeCell ref="W50:AF50"/>
    <mergeCell ref="AG51:AG52"/>
    <mergeCell ref="U53:U62"/>
    <mergeCell ref="W51:AF51"/>
    <mergeCell ref="N50:N51"/>
    <mergeCell ref="Q50:Q51"/>
    <mergeCell ref="N64:AG64"/>
    <mergeCell ref="N65:N66"/>
    <mergeCell ref="Q65:Q66"/>
    <mergeCell ref="W65:AF65"/>
    <mergeCell ref="W66:AF66"/>
    <mergeCell ref="AG66:AG67"/>
    <mergeCell ref="U83:U92"/>
    <mergeCell ref="U68:U77"/>
    <mergeCell ref="N79:AG79"/>
    <mergeCell ref="N80:N81"/>
    <mergeCell ref="Q80:Q81"/>
    <mergeCell ref="W80:AF80"/>
    <mergeCell ref="W81:AF81"/>
    <mergeCell ref="AG81:AG82"/>
    <mergeCell ref="U98:U107"/>
    <mergeCell ref="N94:AG94"/>
    <mergeCell ref="N95:N96"/>
    <mergeCell ref="Q95:Q96"/>
    <mergeCell ref="W95:AF95"/>
    <mergeCell ref="W96:AF96"/>
    <mergeCell ref="AG96:AG9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heetViews>
  <sheetFormatPr baseColWidth="10" defaultColWidth="9.140625" defaultRowHeight="15"/>
  <cols>
    <col min="1" max="1" width="4.140625" customWidth="1"/>
    <col min="8" max="8" width="8" customWidth="1"/>
    <col min="9" max="9" width="4.42578125" customWidth="1"/>
    <col min="10" max="10" width="9.140625" customWidth="1"/>
    <col min="11" max="11" width="11.5703125" bestFit="1" customWidth="1"/>
    <col min="12" max="13" width="12.140625" bestFit="1" customWidth="1"/>
    <col min="14" max="15" width="9.42578125" bestFit="1" customWidth="1"/>
    <col min="16" max="16" width="5.42578125" customWidth="1"/>
    <col min="17" max="17" width="14.5703125" bestFit="1" customWidth="1"/>
    <col min="18" max="18" width="15.42578125" bestFit="1" customWidth="1"/>
    <col min="19" max="20" width="14.5703125" bestFit="1" customWidth="1"/>
    <col min="21" max="21" width="11.85546875" bestFit="1" customWidth="1"/>
    <col min="23" max="23" width="9.42578125" bestFit="1" customWidth="1"/>
    <col min="24" max="24" width="12.5703125" bestFit="1" customWidth="1"/>
    <col min="25" max="25" width="12" bestFit="1" customWidth="1"/>
    <col min="26" max="27" width="9.42578125" bestFit="1" customWidth="1"/>
  </cols>
  <sheetData>
    <row r="1" spans="1:23">
      <c r="A1" s="723"/>
      <c r="B1" s="724"/>
      <c r="C1" s="724"/>
      <c r="D1" s="724"/>
      <c r="E1" s="724"/>
      <c r="F1" s="724"/>
      <c r="G1" s="724"/>
      <c r="H1" s="214"/>
      <c r="Q1" s="2318" t="s">
        <v>1099</v>
      </c>
      <c r="R1" s="2318"/>
      <c r="S1" s="2318"/>
      <c r="T1" s="2318"/>
      <c r="U1" s="2318"/>
    </row>
    <row r="2" spans="1:23" ht="36">
      <c r="A2" s="725"/>
      <c r="B2" s="2317" t="s">
        <v>1398</v>
      </c>
      <c r="C2" s="2317"/>
      <c r="D2" s="2317"/>
      <c r="E2" s="2317"/>
      <c r="F2" s="2317"/>
      <c r="G2" s="2317"/>
      <c r="H2" s="2317"/>
      <c r="I2" s="2317"/>
      <c r="J2" s="2317"/>
      <c r="K2" s="2317"/>
      <c r="L2" s="2317"/>
      <c r="M2" s="2317"/>
      <c r="N2" s="2317"/>
      <c r="O2" s="2317"/>
      <c r="Q2" s="939" t="s">
        <v>1098</v>
      </c>
      <c r="W2" s="734"/>
    </row>
    <row r="3" spans="1:23">
      <c r="A3" s="723"/>
      <c r="B3" s="726" t="s">
        <v>1001</v>
      </c>
      <c r="C3" s="724"/>
      <c r="D3" s="724"/>
      <c r="E3" s="724"/>
      <c r="M3" s="727" t="s">
        <v>663</v>
      </c>
      <c r="N3" s="728" t="s">
        <v>1097</v>
      </c>
      <c r="O3" s="729"/>
      <c r="Q3" t="s">
        <v>1082</v>
      </c>
      <c r="R3" t="s">
        <v>1081</v>
      </c>
      <c r="S3" t="s">
        <v>1080</v>
      </c>
      <c r="T3" t="s">
        <v>1079</v>
      </c>
      <c r="U3" t="s">
        <v>1078</v>
      </c>
    </row>
    <row r="4" spans="1:23">
      <c r="A4" s="723"/>
      <c r="B4" s="730" t="s">
        <v>1002</v>
      </c>
      <c r="C4" s="724"/>
      <c r="D4" s="724"/>
      <c r="E4" s="724"/>
      <c r="M4" s="727" t="s">
        <v>1003</v>
      </c>
      <c r="N4" s="731" t="s">
        <v>1004</v>
      </c>
      <c r="O4" s="731"/>
      <c r="Q4" s="454">
        <f t="array" ref="Q4:U6">LINEST(C9:C27,B9:B27^{1,2,3,4},TRUE,TRUE)</f>
        <v>3.0372373621801462E-13</v>
      </c>
      <c r="R4" s="454">
        <v>-1.1131995687117516E-9</v>
      </c>
      <c r="S4" s="454">
        <v>1.4438227340031111E-6</v>
      </c>
      <c r="T4" s="454">
        <v>-5.6533877610402195E-4</v>
      </c>
      <c r="U4" s="454">
        <v>1.0722383900928794</v>
      </c>
    </row>
    <row r="5" spans="1:23">
      <c r="Q5" s="937">
        <v>1.0101369092938971E-13</v>
      </c>
      <c r="R5" s="937">
        <v>2.2348378890550622E-10</v>
      </c>
      <c r="S5" s="937">
        <v>1.6870590590906647E-7</v>
      </c>
      <c r="T5" s="937">
        <v>4.9894249012810751E-5</v>
      </c>
      <c r="U5" s="937">
        <v>4.6703615120748517E-3</v>
      </c>
      <c r="V5" s="2319" t="s">
        <v>1404</v>
      </c>
      <c r="W5" s="2319"/>
    </row>
    <row r="6" spans="1:23">
      <c r="C6" s="2316" t="s">
        <v>1096</v>
      </c>
      <c r="D6" s="2316"/>
      <c r="E6" s="2316"/>
      <c r="F6" s="2316"/>
      <c r="G6" s="2316"/>
      <c r="H6" s="2316"/>
      <c r="J6" s="2316" t="s">
        <v>1095</v>
      </c>
      <c r="K6" s="2316"/>
      <c r="L6" s="2316"/>
      <c r="M6" s="2316"/>
      <c r="N6" s="2316"/>
      <c r="O6" s="2316"/>
      <c r="Q6" s="937">
        <v>0.99904221298497753</v>
      </c>
      <c r="R6" s="937">
        <v>1.6371331436087757E-3</v>
      </c>
      <c r="S6" s="937" t="e">
        <v>#N/A</v>
      </c>
      <c r="T6" s="937" t="e">
        <v>#N/A</v>
      </c>
      <c r="U6" s="937" t="e">
        <v>#N/A</v>
      </c>
      <c r="V6" s="2319"/>
      <c r="W6" s="2319"/>
    </row>
    <row r="7" spans="1:23">
      <c r="B7" s="218" t="s">
        <v>270</v>
      </c>
      <c r="C7" s="218" t="s">
        <v>1028</v>
      </c>
      <c r="D7" s="218" t="s">
        <v>1094</v>
      </c>
      <c r="E7" s="218" t="s">
        <v>1093</v>
      </c>
      <c r="F7" s="218" t="s">
        <v>1092</v>
      </c>
      <c r="G7" s="218" t="s">
        <v>1091</v>
      </c>
      <c r="H7" s="218" t="s">
        <v>1021</v>
      </c>
      <c r="I7" s="218"/>
      <c r="J7" s="218" t="s">
        <v>1028</v>
      </c>
      <c r="K7" s="218" t="s">
        <v>1094</v>
      </c>
      <c r="L7" s="218" t="s">
        <v>1093</v>
      </c>
      <c r="M7" s="218" t="s">
        <v>1092</v>
      </c>
      <c r="N7" s="218" t="s">
        <v>1091</v>
      </c>
      <c r="O7" s="218" t="s">
        <v>1021</v>
      </c>
      <c r="P7" s="218"/>
    </row>
    <row r="8" spans="1:23">
      <c r="B8" s="706" t="s">
        <v>486</v>
      </c>
      <c r="C8" s="706" t="s">
        <v>1029</v>
      </c>
      <c r="D8" s="706" t="s">
        <v>1090</v>
      </c>
      <c r="E8" s="706" t="s">
        <v>1027</v>
      </c>
      <c r="F8" s="706" t="s">
        <v>1089</v>
      </c>
      <c r="G8" s="706" t="s">
        <v>1027</v>
      </c>
      <c r="H8" s="706"/>
      <c r="I8" s="218"/>
      <c r="J8" s="218" t="s">
        <v>1029</v>
      </c>
      <c r="K8" s="218" t="s">
        <v>1090</v>
      </c>
      <c r="L8" s="218" t="s">
        <v>1027</v>
      </c>
      <c r="M8" s="218" t="s">
        <v>1089</v>
      </c>
      <c r="N8" s="218" t="s">
        <v>1027</v>
      </c>
      <c r="O8" s="218"/>
      <c r="P8" s="218"/>
      <c r="Q8" s="734" t="s">
        <v>1088</v>
      </c>
    </row>
    <row r="9" spans="1:23">
      <c r="B9" s="218">
        <v>100</v>
      </c>
      <c r="C9" s="745">
        <v>1.032</v>
      </c>
      <c r="D9" s="218">
        <v>71.099999999999994</v>
      </c>
      <c r="E9" s="746">
        <v>2</v>
      </c>
      <c r="F9" s="746">
        <v>9.34</v>
      </c>
      <c r="G9" s="746">
        <v>2.54</v>
      </c>
      <c r="H9" s="745">
        <v>0.78600000000000003</v>
      </c>
      <c r="I9" s="724"/>
      <c r="J9" s="724">
        <f>$Q$4*B9^4+$R$4*B9^3+$S$4*B9^2+$T$4*B9+$U$4</f>
        <v>1.0290599126274182</v>
      </c>
      <c r="K9" s="733">
        <f>$Q$10*B9^4+$R$10*B9^3+$S$10*B9^2+$T$10*B9+$U$10</f>
        <v>71.180195548158878</v>
      </c>
      <c r="L9" s="160">
        <f t="shared" ref="L9:L27" si="0">$Q$16*B9^4+$R$16*B9^3+$S$16*B9^2+$T$16*B9+$U$16</f>
        <v>1.948425213230669</v>
      </c>
      <c r="M9" s="160">
        <f t="shared" ref="M9:M27" si="1">$Q$22*B9^4+$R$22*B9^3+$S$22*B9^2+$T$22*B9+$U$22</f>
        <v>9.3968629082587825</v>
      </c>
      <c r="N9" s="160">
        <f t="shared" ref="N9:N27" si="2">$Q$28*B9^4+$R$28*B9^3+$S$28*B9^2+$T$28*B9+$U$28</f>
        <v>2.7587310172664941</v>
      </c>
      <c r="O9" s="724">
        <f t="shared" ref="O9:O27" si="3">$Q$34*B9^4+$R$34*B9^3+$S$34*B9^2+$T$34*B9+$U$34</f>
        <v>0.78428874557936368</v>
      </c>
      <c r="P9" s="724"/>
      <c r="Q9" t="s">
        <v>1082</v>
      </c>
      <c r="R9" t="s">
        <v>1081</v>
      </c>
      <c r="S9" t="s">
        <v>1080</v>
      </c>
      <c r="T9" t="s">
        <v>1079</v>
      </c>
      <c r="U9" t="s">
        <v>1078</v>
      </c>
    </row>
    <row r="10" spans="1:23">
      <c r="B10" s="218">
        <v>150</v>
      </c>
      <c r="C10" s="745">
        <v>1.012</v>
      </c>
      <c r="D10" s="218">
        <v>103.4</v>
      </c>
      <c r="E10" s="746">
        <v>4.4260000000000002</v>
      </c>
      <c r="F10" s="746">
        <v>13.8</v>
      </c>
      <c r="G10" s="746">
        <v>5.84</v>
      </c>
      <c r="H10" s="745">
        <v>0.75800000000000001</v>
      </c>
      <c r="I10" s="724"/>
      <c r="J10" s="724">
        <f>$Q$4*B10^4+$R$4*B10^3+$S$4*B10^2+$T$4*B10+$U$4</f>
        <v>1.0163202967894043</v>
      </c>
      <c r="K10" s="733">
        <f t="shared" ref="K10:K27" si="4">$Q$10*B10^4+$R$10*B10^3+$S$10*B10^2+$T$10*B10+$U$10</f>
        <v>103.1638166562652</v>
      </c>
      <c r="L10" s="160">
        <f t="shared" si="0"/>
        <v>4.450256847652688</v>
      </c>
      <c r="M10" s="160">
        <f t="shared" si="1"/>
        <v>13.770279453574641</v>
      </c>
      <c r="N10" s="160">
        <f t="shared" si="2"/>
        <v>5.694165453158571</v>
      </c>
      <c r="O10" s="724">
        <f t="shared" si="3"/>
        <v>0.7594405381041538</v>
      </c>
      <c r="P10" s="724"/>
      <c r="Q10" s="938">
        <f t="array" ref="Q10:U12">LINEST(D9:D27,B9:B27^{1,2,3,4},TRUE,TRUE)</f>
        <v>-1.5858001199232249E-10</v>
      </c>
      <c r="R10" s="938">
        <v>5.115022890093732E-7</v>
      </c>
      <c r="S10" s="938">
        <v>-7.2456743025899083E-4</v>
      </c>
      <c r="T10" s="938">
        <v>0.79780638359636646</v>
      </c>
      <c r="U10" s="938">
        <v>-1.8504127966980022</v>
      </c>
    </row>
    <row r="11" spans="1:23">
      <c r="B11" s="218">
        <v>200</v>
      </c>
      <c r="C11" s="745">
        <v>1.0069999999999999</v>
      </c>
      <c r="D11" s="218">
        <v>132.5</v>
      </c>
      <c r="E11" s="746">
        <v>7.59</v>
      </c>
      <c r="F11" s="746">
        <v>18.100000000000001</v>
      </c>
      <c r="G11" s="746">
        <v>10.3</v>
      </c>
      <c r="H11" s="745">
        <v>0.73699999999999999</v>
      </c>
      <c r="I11" s="724"/>
      <c r="J11" s="724">
        <f>$Q$4*B11^4+$R$4*B11^3+$S$4*B11^2+$T$4*B11+$U$4</f>
        <v>1.0085039056604541</v>
      </c>
      <c r="K11" s="733">
        <f t="shared" si="4"/>
        <v>132.5664570051029</v>
      </c>
      <c r="L11" s="160">
        <f>$Q$16*B11^4+$R$16*B11^3+$S$16*B11^2+$T$16*B11+$U$16</f>
        <v>7.6437606921278602</v>
      </c>
      <c r="M11" s="160">
        <f>$Q$22*B11^4+$R$22*B11^3+$S$22*B11^2+$T$22*B11+$U$22</f>
        <v>18.055626802416402</v>
      </c>
      <c r="N11" s="160">
        <f t="shared" si="2"/>
        <v>10.098893770114632</v>
      </c>
      <c r="O11" s="724">
        <f t="shared" si="3"/>
        <v>0.73841327394282041</v>
      </c>
      <c r="P11" s="724"/>
      <c r="Q11" s="937">
        <v>1.0541834453440922E-11</v>
      </c>
      <c r="R11" s="937">
        <v>2.3322869246668932E-8</v>
      </c>
      <c r="S11" s="937">
        <v>1.7606224612209644E-5</v>
      </c>
      <c r="T11" s="937">
        <v>5.2069863840484348E-3</v>
      </c>
      <c r="U11" s="937">
        <v>0.48740103885947411</v>
      </c>
      <c r="V11" s="2319" t="s">
        <v>1404</v>
      </c>
      <c r="W11" s="2319"/>
    </row>
    <row r="12" spans="1:23">
      <c r="B12" s="218">
        <v>250</v>
      </c>
      <c r="C12" s="745">
        <v>1.006</v>
      </c>
      <c r="D12" s="218">
        <v>159.6</v>
      </c>
      <c r="E12" s="746">
        <v>11.44</v>
      </c>
      <c r="F12" s="746">
        <v>22.3</v>
      </c>
      <c r="G12" s="746">
        <v>15.9</v>
      </c>
      <c r="H12" s="745">
        <v>0.72</v>
      </c>
      <c r="I12" s="724"/>
      <c r="J12" s="724">
        <f t="shared" ref="J12:J27" si="5">$Q$4*B12^4+$R$4*B12^3+$S$4*B12^2+$T$4*B12+$U$4</f>
        <v>1.0049352945255488</v>
      </c>
      <c r="K12" s="733">
        <f t="shared" si="4"/>
        <v>159.68848880513312</v>
      </c>
      <c r="L12" s="160">
        <f t="shared" si="0"/>
        <v>11.478387013220061</v>
      </c>
      <c r="M12" s="160">
        <f t="shared" si="1"/>
        <v>22.225289508355864</v>
      </c>
      <c r="N12" s="160">
        <f>$Q$28*B12^4+$R$28*B12^3+$S$28*B12^2+$T$28*B12+$U$28</f>
        <v>15.758648743458242</v>
      </c>
      <c r="O12" s="724">
        <f t="shared" si="3"/>
        <v>0.72108456417724165</v>
      </c>
      <c r="P12" s="724"/>
      <c r="Q12" s="937">
        <v>0.99999806017817594</v>
      </c>
      <c r="R12" s="937">
        <v>0.17085195501101869</v>
      </c>
      <c r="S12" s="937" t="e">
        <v>#N/A</v>
      </c>
      <c r="T12" s="937" t="e">
        <v>#N/A</v>
      </c>
      <c r="U12" s="937" t="e">
        <v>#N/A</v>
      </c>
      <c r="V12" s="2319"/>
      <c r="W12" s="2319"/>
    </row>
    <row r="13" spans="1:23">
      <c r="B13" s="218">
        <v>300</v>
      </c>
      <c r="C13" s="745">
        <v>1.0069999999999999</v>
      </c>
      <c r="D13" s="218">
        <v>184.6</v>
      </c>
      <c r="E13" s="746">
        <v>15.89</v>
      </c>
      <c r="F13" s="746">
        <v>26.3</v>
      </c>
      <c r="G13" s="746">
        <v>22.5</v>
      </c>
      <c r="H13" s="745">
        <v>0.70699999999999996</v>
      </c>
      <c r="I13" s="724"/>
      <c r="J13" s="724">
        <f t="shared" si="5"/>
        <v>1.0049845772301014</v>
      </c>
      <c r="K13" s="733">
        <f t="shared" si="4"/>
        <v>184.80649726501804</v>
      </c>
      <c r="L13" s="160">
        <f t="shared" si="0"/>
        <v>15.906973857568786</v>
      </c>
      <c r="M13" s="160">
        <f t="shared" si="1"/>
        <v>26.256409770065705</v>
      </c>
      <c r="N13" s="160">
        <f t="shared" si="2"/>
        <v>22.479498443854318</v>
      </c>
      <c r="O13" s="724">
        <f t="shared" si="3"/>
        <v>0.70730075421056726</v>
      </c>
      <c r="P13" s="724"/>
    </row>
    <row r="14" spans="1:23">
      <c r="B14" s="218">
        <v>350</v>
      </c>
      <c r="C14" s="745">
        <v>1.0089999999999999</v>
      </c>
      <c r="D14" s="218">
        <v>208.2</v>
      </c>
      <c r="E14" s="746">
        <v>20.92</v>
      </c>
      <c r="F14" s="746">
        <v>30</v>
      </c>
      <c r="G14" s="746">
        <v>29.9</v>
      </c>
      <c r="H14" s="745">
        <v>0.7</v>
      </c>
      <c r="I14" s="724"/>
      <c r="J14" s="724">
        <f t="shared" si="5"/>
        <v>1.008067426179958</v>
      </c>
      <c r="K14" s="733">
        <f t="shared" si="4"/>
        <v>208.17328059162099</v>
      </c>
      <c r="L14" s="160">
        <f t="shared" si="0"/>
        <v>20.885747051889165</v>
      </c>
      <c r="M14" s="160">
        <f t="shared" si="1"/>
        <v>30.130887431319515</v>
      </c>
      <c r="N14" s="160">
        <f t="shared" si="2"/>
        <v>30.08784623730913</v>
      </c>
      <c r="O14" s="724">
        <f t="shared" si="3"/>
        <v>0.69687692376721877</v>
      </c>
      <c r="P14" s="724"/>
      <c r="Q14" s="734" t="s">
        <v>1087</v>
      </c>
    </row>
    <row r="15" spans="1:23">
      <c r="B15" s="218">
        <v>400</v>
      </c>
      <c r="C15" s="745">
        <v>1.014</v>
      </c>
      <c r="D15" s="218">
        <v>230.1</v>
      </c>
      <c r="E15" s="746">
        <v>26.41</v>
      </c>
      <c r="F15" s="746">
        <v>33.799999999999997</v>
      </c>
      <c r="G15" s="746">
        <v>38.299999999999997</v>
      </c>
      <c r="H15" s="745">
        <v>0.69</v>
      </c>
      <c r="I15" s="724"/>
      <c r="J15" s="724">
        <f t="shared" si="5"/>
        <v>1.0136450723413974</v>
      </c>
      <c r="K15" s="733">
        <f t="shared" si="4"/>
        <v>230.01784999000645</v>
      </c>
      <c r="L15" s="160">
        <f t="shared" si="0"/>
        <v>26.374320202971948</v>
      </c>
      <c r="M15" s="160">
        <f t="shared" si="1"/>
        <v>33.83537998099176</v>
      </c>
      <c r="N15" s="160">
        <f t="shared" si="2"/>
        <v>38.430430785170309</v>
      </c>
      <c r="O15" s="724">
        <f>$Q$34*B15^4+$R$34*B15^3+$S$34*B15^2+$T$34*B15+$U$34</f>
        <v>0.68959688689288923</v>
      </c>
      <c r="P15" s="724"/>
      <c r="Q15" t="s">
        <v>1082</v>
      </c>
      <c r="R15" t="s">
        <v>1081</v>
      </c>
      <c r="S15" t="s">
        <v>1080</v>
      </c>
      <c r="T15" t="s">
        <v>1079</v>
      </c>
      <c r="U15" t="s">
        <v>1078</v>
      </c>
    </row>
    <row r="16" spans="1:23">
      <c r="B16" s="218">
        <v>450</v>
      </c>
      <c r="C16" s="745">
        <v>1.0209999999999999</v>
      </c>
      <c r="D16" s="218">
        <v>250.7</v>
      </c>
      <c r="E16" s="746">
        <v>32.39</v>
      </c>
      <c r="F16" s="746">
        <v>37.299999999999997</v>
      </c>
      <c r="G16" s="746">
        <v>47.2</v>
      </c>
      <c r="H16" s="745">
        <v>0.68600000000000005</v>
      </c>
      <c r="I16" s="724"/>
      <c r="J16" s="724">
        <f t="shared" si="5"/>
        <v>1.0212243052411312</v>
      </c>
      <c r="K16" s="733">
        <f t="shared" si="4"/>
        <v>250.54542966344019</v>
      </c>
      <c r="L16" s="160">
        <f t="shared" si="0"/>
        <v>32.335694697683508</v>
      </c>
      <c r="M16" s="160">
        <f t="shared" si="1"/>
        <v>37.361302553057826</v>
      </c>
      <c r="N16" s="160">
        <f t="shared" si="2"/>
        <v>47.374326044126825</v>
      </c>
      <c r="O16" s="724">
        <f>$Q$34*B16^4+$R$34*B16^3+$S$34*B16^2+$T$34*B16+$U$34</f>
        <v>0.68521319195454367</v>
      </c>
      <c r="P16" s="724"/>
      <c r="Q16" s="454">
        <f t="array" ref="Q16:U18">LINEST(E9:E27,B9:B27^{1,2,3,4},TRUE,TRUE)</f>
        <v>2.2585200504167324E-11</v>
      </c>
      <c r="R16" s="454">
        <v>-8.3209284934417669E-8</v>
      </c>
      <c r="S16" s="454">
        <v>1.7267315516179553E-4</v>
      </c>
      <c r="T16" s="454">
        <v>1.0637280178279989E-2</v>
      </c>
      <c r="U16" s="454">
        <v>-0.76108359133128456</v>
      </c>
    </row>
    <row r="17" spans="2:23">
      <c r="B17" s="218">
        <v>500</v>
      </c>
      <c r="C17" s="745">
        <v>1.03</v>
      </c>
      <c r="D17" s="218">
        <v>270.10000000000002</v>
      </c>
      <c r="E17" s="746">
        <v>38.79</v>
      </c>
      <c r="F17" s="746">
        <v>40.700000000000003</v>
      </c>
      <c r="G17" s="746">
        <v>56.7</v>
      </c>
      <c r="H17" s="745">
        <v>0.68400000000000005</v>
      </c>
      <c r="I17" s="724"/>
      <c r="J17" s="724">
        <f t="shared" si="5"/>
        <v>1.0303574729663032</v>
      </c>
      <c r="K17" s="733">
        <f>$Q$10*B17^4+$R$10*B17^3+$S$10*B17^2+$T$10*B17+$U$10</f>
        <v>269.93745681338902</v>
      </c>
      <c r="L17" s="160">
        <f t="shared" si="0"/>
        <v>38.736259702965846</v>
      </c>
      <c r="M17" s="160">
        <f t="shared" si="1"/>
        <v>40.704827926593978</v>
      </c>
      <c r="N17" s="160">
        <f t="shared" si="2"/>
        <v>56.806941266209009</v>
      </c>
      <c r="O17" s="724">
        <f t="shared" si="3"/>
        <v>0.68344712164041843</v>
      </c>
      <c r="P17" s="724"/>
      <c r="Q17" s="937">
        <v>3.4322828413445388E-12</v>
      </c>
      <c r="R17" s="937">
        <v>7.5936199036150618E-9</v>
      </c>
      <c r="S17" s="937">
        <v>5.7323554931770415E-6</v>
      </c>
      <c r="T17" s="937">
        <v>1.6953263779674135E-3</v>
      </c>
      <c r="U17" s="937">
        <v>0.15869137671619982</v>
      </c>
      <c r="V17" s="2319" t="s">
        <v>1404</v>
      </c>
      <c r="W17" s="2319"/>
    </row>
    <row r="18" spans="2:23">
      <c r="B18" s="218">
        <v>550</v>
      </c>
      <c r="C18" s="745">
        <v>1.04</v>
      </c>
      <c r="D18" s="218">
        <v>288.39999999999998</v>
      </c>
      <c r="E18" s="746">
        <v>45.57</v>
      </c>
      <c r="F18" s="746">
        <v>43.9</v>
      </c>
      <c r="G18" s="746">
        <v>66.7</v>
      </c>
      <c r="H18" s="745">
        <v>0.68300000000000005</v>
      </c>
      <c r="I18" s="724"/>
      <c r="J18" s="724">
        <f t="shared" si="5"/>
        <v>1.0406424821644904</v>
      </c>
      <c r="K18" s="733">
        <f t="shared" si="4"/>
        <v>288.35158163952087</v>
      </c>
      <c r="L18" s="160">
        <f t="shared" si="0"/>
        <v>45.545792165836581</v>
      </c>
      <c r="M18" s="160">
        <f t="shared" si="1"/>
        <v>43.866886525777346</v>
      </c>
      <c r="N18" s="160">
        <f t="shared" si="2"/>
        <v>66.636020998788553</v>
      </c>
      <c r="O18" s="724">
        <f t="shared" si="3"/>
        <v>0.68398869296002174</v>
      </c>
      <c r="P18" s="724"/>
      <c r="Q18" s="937">
        <v>0.99999838078633174</v>
      </c>
      <c r="R18" s="937">
        <v>5.5627152578086612E-2</v>
      </c>
      <c r="S18" s="937" t="e">
        <v>#N/A</v>
      </c>
      <c r="T18" s="937" t="e">
        <v>#N/A</v>
      </c>
      <c r="U18" s="937" t="e">
        <v>#N/A</v>
      </c>
      <c r="V18" s="2319"/>
      <c r="W18" s="2319"/>
    </row>
    <row r="19" spans="2:23">
      <c r="B19" s="218">
        <v>600</v>
      </c>
      <c r="C19" s="745">
        <v>1.0509999999999999</v>
      </c>
      <c r="D19" s="218">
        <v>305.8</v>
      </c>
      <c r="E19" s="746">
        <v>52.69</v>
      </c>
      <c r="F19" s="746">
        <v>46.9</v>
      </c>
      <c r="G19" s="746">
        <v>76.900000000000006</v>
      </c>
      <c r="H19" s="745">
        <v>0.68500000000000005</v>
      </c>
      <c r="I19" s="724"/>
      <c r="J19" s="724">
        <f t="shared" si="5"/>
        <v>1.0517227980437025</v>
      </c>
      <c r="K19" s="733">
        <f t="shared" si="4"/>
        <v>305.92166733970487</v>
      </c>
      <c r="L19" s="160">
        <f t="shared" si="0"/>
        <v>52.737456813388967</v>
      </c>
      <c r="M19" s="160">
        <f t="shared" si="1"/>
        <v>46.853166419886023</v>
      </c>
      <c r="N19" s="160">
        <f t="shared" si="2"/>
        <v>76.789645084578467</v>
      </c>
      <c r="O19" s="724">
        <f t="shared" si="3"/>
        <v>0.68649665724413356</v>
      </c>
      <c r="P19" s="724"/>
    </row>
    <row r="20" spans="2:23">
      <c r="B20" s="218">
        <v>650</v>
      </c>
      <c r="C20" s="745">
        <v>1.0629999999999999</v>
      </c>
      <c r="D20" s="218">
        <v>322.5</v>
      </c>
      <c r="E20" s="746">
        <v>60.21</v>
      </c>
      <c r="F20" s="746">
        <v>49.7</v>
      </c>
      <c r="G20" s="746">
        <v>87.3</v>
      </c>
      <c r="H20" s="745">
        <v>0.69</v>
      </c>
      <c r="I20" s="724"/>
      <c r="J20" s="724">
        <f t="shared" si="5"/>
        <v>1.0632874443723817</v>
      </c>
      <c r="K20" s="733">
        <f t="shared" si="4"/>
        <v>322.75779011001123</v>
      </c>
      <c r="L20" s="160">
        <f t="shared" si="0"/>
        <v>60.28780615279188</v>
      </c>
      <c r="M20" s="160">
        <f>$Q$22*B20^4+$R$22*B20^3+$S$22*B20^2+$T$22*B20+$U$22</f>
        <v>49.67411332329894</v>
      </c>
      <c r="N20" s="160">
        <f t="shared" si="2"/>
        <v>87.216228661633181</v>
      </c>
      <c r="O20" s="724">
        <f t="shared" si="3"/>
        <v>0.69059850014480539</v>
      </c>
      <c r="P20" s="724"/>
      <c r="Q20" s="734" t="s">
        <v>1086</v>
      </c>
    </row>
    <row r="21" spans="2:23">
      <c r="B21" s="218">
        <v>700</v>
      </c>
      <c r="C21" s="745">
        <v>1.075</v>
      </c>
      <c r="D21" s="218">
        <v>338.8</v>
      </c>
      <c r="E21" s="746">
        <v>68.099999999999994</v>
      </c>
      <c r="F21" s="746">
        <v>52.4</v>
      </c>
      <c r="G21" s="746">
        <v>98</v>
      </c>
      <c r="H21" s="745">
        <v>0.69499999999999995</v>
      </c>
      <c r="I21" s="724"/>
      <c r="J21" s="724">
        <f t="shared" si="5"/>
        <v>1.0750710034794031</v>
      </c>
      <c r="K21" s="733">
        <f t="shared" si="4"/>
        <v>338.94623914471146</v>
      </c>
      <c r="L21" s="160">
        <f t="shared" si="0"/>
        <v>68.176780471289817</v>
      </c>
      <c r="M21" s="160">
        <f t="shared" si="1"/>
        <v>52.344930595495953</v>
      </c>
      <c r="N21" s="160">
        <f>$Q$28*B21^4+$R$28*B21^3+$S$28*B21^2+$T$28*B21+$U$28</f>
        <v>97.884522163348407</v>
      </c>
      <c r="O21" s="724">
        <f t="shared" si="3"/>
        <v>0.6958904416353604</v>
      </c>
      <c r="P21" s="724"/>
      <c r="Q21" t="s">
        <v>1082</v>
      </c>
      <c r="R21" t="s">
        <v>1081</v>
      </c>
      <c r="S21" t="s">
        <v>1080</v>
      </c>
      <c r="T21" t="s">
        <v>1079</v>
      </c>
      <c r="U21" t="s">
        <v>1078</v>
      </c>
    </row>
    <row r="22" spans="2:23">
      <c r="B22" s="218">
        <v>750</v>
      </c>
      <c r="C22" s="745">
        <v>1.087</v>
      </c>
      <c r="D22" s="218">
        <v>354.6</v>
      </c>
      <c r="E22" s="746">
        <v>76.37</v>
      </c>
      <c r="F22" s="746">
        <v>54.9</v>
      </c>
      <c r="G22" s="746">
        <v>109</v>
      </c>
      <c r="H22" s="745">
        <v>0.70199999999999996</v>
      </c>
      <c r="I22" s="724"/>
      <c r="J22" s="724">
        <f>$Q$4*B22^4+$R$4*B22^3+$S$4*B22^2+$T$4*B22+$U$4</f>
        <v>1.0868536162540738</v>
      </c>
      <c r="K22" s="733">
        <f t="shared" si="4"/>
        <v>354.54951663627816</v>
      </c>
      <c r="L22" s="160">
        <f t="shared" si="0"/>
        <v>76.387707836202921</v>
      </c>
      <c r="M22" s="160">
        <f t="shared" si="1"/>
        <v>54.885579241057769</v>
      </c>
      <c r="N22" s="160">
        <f t="shared" si="2"/>
        <v>108.78361131846128</v>
      </c>
      <c r="O22" s="724">
        <f t="shared" si="3"/>
        <v>0.7019374360103936</v>
      </c>
      <c r="P22" s="724"/>
      <c r="Q22" s="454">
        <f t="array" ref="Q22:U24">LINEST(F9:F27,B9:B27^{1,2,3,4},TRUE,TRUE)</f>
        <v>3.1717634005963577E-11</v>
      </c>
      <c r="R22" s="454">
        <v>-5.9022939041784138E-8</v>
      </c>
      <c r="S22" s="454">
        <v>4.5853085981636459E-6</v>
      </c>
      <c r="T22" s="454">
        <v>8.8867887584962543E-2</v>
      </c>
      <c r="U22" s="454">
        <v>0.52007223942208114</v>
      </c>
    </row>
    <row r="23" spans="2:23">
      <c r="B23" s="218">
        <v>800</v>
      </c>
      <c r="C23" s="745">
        <v>1.099</v>
      </c>
      <c r="D23" s="218">
        <v>369.8</v>
      </c>
      <c r="E23" s="746">
        <v>84.93</v>
      </c>
      <c r="F23" s="746">
        <v>57.3</v>
      </c>
      <c r="G23" s="746">
        <v>120</v>
      </c>
      <c r="H23" s="745">
        <v>0.70899999999999996</v>
      </c>
      <c r="I23" s="724"/>
      <c r="J23" s="724">
        <f t="shared" si="5"/>
        <v>1.0984609821461349</v>
      </c>
      <c r="K23" s="733">
        <f t="shared" si="4"/>
        <v>369.60633777538482</v>
      </c>
      <c r="L23" s="160">
        <f t="shared" si="0"/>
        <v>84.907304094926943</v>
      </c>
      <c r="M23" s="160">
        <f t="shared" si="1"/>
        <v>57.320777909666049</v>
      </c>
      <c r="N23" s="160">
        <f t="shared" si="2"/>
        <v>119.9229171510502</v>
      </c>
      <c r="O23" s="724">
        <f t="shared" si="3"/>
        <v>0.70827317188577121</v>
      </c>
      <c r="P23" s="724"/>
      <c r="Q23" s="937">
        <v>3.7221270580883258E-12</v>
      </c>
      <c r="R23" s="937">
        <v>8.2348744024287879E-9</v>
      </c>
      <c r="S23" s="937">
        <v>6.2164327574406084E-6</v>
      </c>
      <c r="T23" s="937">
        <v>1.8384907291764639E-3</v>
      </c>
      <c r="U23" s="937">
        <v>0.17209230546083823</v>
      </c>
      <c r="V23" s="2319" t="s">
        <v>1404</v>
      </c>
      <c r="W23" s="2319"/>
    </row>
    <row r="24" spans="2:23">
      <c r="B24" s="218">
        <v>850</v>
      </c>
      <c r="C24" s="745">
        <v>1.1100000000000001</v>
      </c>
      <c r="D24" s="218">
        <v>384.3</v>
      </c>
      <c r="E24" s="746">
        <v>93.8</v>
      </c>
      <c r="F24" s="746">
        <v>59.6</v>
      </c>
      <c r="G24" s="746">
        <v>131</v>
      </c>
      <c r="H24" s="745">
        <v>0.71599999999999997</v>
      </c>
      <c r="I24" s="724"/>
      <c r="J24" s="724">
        <f t="shared" si="5"/>
        <v>1.1097643591657589</v>
      </c>
      <c r="K24" s="733">
        <f t="shared" si="4"/>
        <v>384.13163075090665</v>
      </c>
      <c r="L24" s="160">
        <f t="shared" si="0"/>
        <v>93.72567287493321</v>
      </c>
      <c r="M24" s="160">
        <f t="shared" si="1"/>
        <v>59.680002896103318</v>
      </c>
      <c r="N24" s="160">
        <f t="shared" si="2"/>
        <v>131.33219598053495</v>
      </c>
      <c r="O24" s="724">
        <f t="shared" si="3"/>
        <v>0.714400072198632</v>
      </c>
      <c r="P24" s="724"/>
      <c r="Q24" s="937">
        <v>0.99999107992221492</v>
      </c>
      <c r="R24" s="937">
        <v>6.0324670007147523E-2</v>
      </c>
      <c r="S24" s="937" t="e">
        <v>#N/A</v>
      </c>
      <c r="T24" s="937" t="e">
        <v>#N/A</v>
      </c>
      <c r="U24" s="937" t="e">
        <v>#N/A</v>
      </c>
      <c r="V24" s="2319"/>
      <c r="W24" s="2319"/>
    </row>
    <row r="25" spans="2:23">
      <c r="B25" s="218">
        <v>900</v>
      </c>
      <c r="C25" s="745">
        <v>1.121</v>
      </c>
      <c r="D25" s="218">
        <v>398.1</v>
      </c>
      <c r="E25" s="746">
        <v>102.9</v>
      </c>
      <c r="F25" s="746">
        <v>62</v>
      </c>
      <c r="G25" s="746">
        <v>143</v>
      </c>
      <c r="H25" s="745">
        <v>0.72</v>
      </c>
      <c r="I25" s="724"/>
      <c r="J25" s="724">
        <f t="shared" si="5"/>
        <v>1.120680563883552</v>
      </c>
      <c r="K25" s="733">
        <f t="shared" si="4"/>
        <v>398.11653674991948</v>
      </c>
      <c r="L25" s="160">
        <f t="shared" si="0"/>
        <v>102.83630558376879</v>
      </c>
      <c r="M25" s="160">
        <f t="shared" si="1"/>
        <v>61.997488140252997</v>
      </c>
      <c r="N25" s="160">
        <f t="shared" si="2"/>
        <v>143.06153942167671</v>
      </c>
      <c r="O25" s="724">
        <f t="shared" si="3"/>
        <v>0.71978929420738558</v>
      </c>
      <c r="P25" s="724"/>
    </row>
    <row r="26" spans="2:23">
      <c r="B26" s="218">
        <v>950</v>
      </c>
      <c r="C26" s="745">
        <v>1.131</v>
      </c>
      <c r="D26" s="218">
        <v>411.3</v>
      </c>
      <c r="E26" s="746">
        <v>112.2</v>
      </c>
      <c r="F26" s="746">
        <v>64.3</v>
      </c>
      <c r="G26" s="746">
        <v>155</v>
      </c>
      <c r="H26" s="745">
        <v>0.72299999999999998</v>
      </c>
      <c r="I26" s="724"/>
      <c r="J26" s="724">
        <f t="shared" si="5"/>
        <v>1.1311719714305524</v>
      </c>
      <c r="K26" s="733">
        <f t="shared" si="4"/>
        <v>411.5284099577006</v>
      </c>
      <c r="L26" s="160">
        <f t="shared" si="0"/>
        <v>112.23608140905625</v>
      </c>
      <c r="M26" s="160">
        <f t="shared" si="1"/>
        <v>64.312225227099376</v>
      </c>
      <c r="N26" s="160">
        <f t="shared" si="2"/>
        <v>155.18137438457808</v>
      </c>
      <c r="O26" s="724">
        <f t="shared" si="3"/>
        <v>0.72388072949171345</v>
      </c>
      <c r="P26" s="724"/>
      <c r="Q26" s="734" t="s">
        <v>1085</v>
      </c>
    </row>
    <row r="27" spans="2:23">
      <c r="B27" s="218">
        <v>1000</v>
      </c>
      <c r="C27" s="745">
        <v>1.141</v>
      </c>
      <c r="D27" s="218">
        <v>424.4</v>
      </c>
      <c r="E27" s="746">
        <v>121.9</v>
      </c>
      <c r="F27" s="746">
        <v>66.7</v>
      </c>
      <c r="G27" s="746">
        <v>168</v>
      </c>
      <c r="H27" s="745">
        <v>0.72599999999999998</v>
      </c>
      <c r="I27" s="724"/>
      <c r="J27" s="724">
        <f t="shared" si="5"/>
        <v>1.1412465154982316</v>
      </c>
      <c r="K27" s="733">
        <f t="shared" si="4"/>
        <v>424.3108175577284</v>
      </c>
      <c r="L27" s="160">
        <f t="shared" si="0"/>
        <v>121.92526731849389</v>
      </c>
      <c r="M27" s="160">
        <f t="shared" si="1"/>
        <v>66.66796338672772</v>
      </c>
      <c r="N27" s="160">
        <f t="shared" si="2"/>
        <v>167.78246307468277</v>
      </c>
      <c r="O27" s="724">
        <f t="shared" si="3"/>
        <v>0.72608300395256919</v>
      </c>
      <c r="P27" s="724"/>
      <c r="Q27" t="s">
        <v>1082</v>
      </c>
      <c r="R27" t="s">
        <v>1081</v>
      </c>
      <c r="S27" t="s">
        <v>1080</v>
      </c>
      <c r="T27" t="s">
        <v>1079</v>
      </c>
      <c r="U27" t="s">
        <v>1078</v>
      </c>
    </row>
    <row r="28" spans="2:23">
      <c r="Q28" s="454">
        <f t="array" ref="Q28:U30">LINEST(G9:G27,B9:B27^{1,2,3,4},TRUE,TRUE)</f>
        <v>1.3556863560902054E-10</v>
      </c>
      <c r="R28" s="454">
        <v>-3.8058767782822785E-7</v>
      </c>
      <c r="S28" s="454">
        <v>4.46482543839259E-4</v>
      </c>
      <c r="T28" s="454">
        <v>-3.5935527709455684E-2</v>
      </c>
      <c r="U28" s="454">
        <v>2.2544891640867988</v>
      </c>
    </row>
    <row r="29" spans="2:23">
      <c r="B29" s="243" t="s">
        <v>1084</v>
      </c>
      <c r="Q29" s="937">
        <v>1.1751447809526765E-11</v>
      </c>
      <c r="R29" s="937">
        <v>2.5999030997037343E-8</v>
      </c>
      <c r="S29" s="937">
        <v>1.9626435092201076E-5</v>
      </c>
      <c r="T29" s="937">
        <v>5.8044573747872679E-3</v>
      </c>
      <c r="U29" s="937">
        <v>0.54332743468539479</v>
      </c>
      <c r="V29" s="2319" t="s">
        <v>1404</v>
      </c>
      <c r="W29" s="2319"/>
    </row>
    <row r="30" spans="2:23">
      <c r="Q30" s="937">
        <v>0.99999016062225266</v>
      </c>
      <c r="R30" s="937">
        <v>0.19045620962224993</v>
      </c>
      <c r="S30" s="937" t="e">
        <v>#N/A</v>
      </c>
      <c r="T30" s="937" t="e">
        <v>#N/A</v>
      </c>
      <c r="U30" s="937" t="e">
        <v>#N/A</v>
      </c>
      <c r="V30" s="2319"/>
      <c r="W30" s="2319"/>
    </row>
    <row r="31" spans="2:23">
      <c r="C31" s="214"/>
    </row>
    <row r="32" spans="2:23">
      <c r="Q32" s="734" t="s">
        <v>1083</v>
      </c>
    </row>
    <row r="33" spans="3:23">
      <c r="C33" s="214"/>
      <c r="Q33" t="s">
        <v>1082</v>
      </c>
      <c r="R33" t="s">
        <v>1081</v>
      </c>
      <c r="S33" t="s">
        <v>1080</v>
      </c>
      <c r="T33" t="s">
        <v>1079</v>
      </c>
      <c r="U33" t="s">
        <v>1078</v>
      </c>
    </row>
    <row r="34" spans="3:23">
      <c r="Q34" s="454">
        <f t="array" ref="Q34:U36">LINEST(H9:H27,B9:B27^{1,2,3,4},TRUE,TRUE)</f>
        <v>-2.0843785818883019E-13</v>
      </c>
      <c r="R34" s="454">
        <v>-1.7278723430301445E-11</v>
      </c>
      <c r="S34" s="454">
        <v>8.0062429381988664E-7</v>
      </c>
      <c r="T34" s="454">
        <v>-6.946059259984442E-4</v>
      </c>
      <c r="U34" s="454">
        <v>0.84578121775025839</v>
      </c>
    </row>
    <row r="35" spans="3:23">
      <c r="Q35" s="937">
        <v>8.6312891387033503E-14</v>
      </c>
      <c r="R35" s="937">
        <v>1.9095958004393081E-10</v>
      </c>
      <c r="S35" s="937">
        <v>1.4415367262700141E-7</v>
      </c>
      <c r="T35" s="937">
        <v>4.2633002083753841E-5</v>
      </c>
      <c r="U35" s="937">
        <v>3.9906709894567422E-3</v>
      </c>
      <c r="V35" s="2319" t="s">
        <v>1404</v>
      </c>
      <c r="W35" s="2319"/>
    </row>
    <row r="36" spans="3:23">
      <c r="Q36" s="937">
        <v>0.99793029043537729</v>
      </c>
      <c r="R36" s="937">
        <v>1.3988766662252946E-3</v>
      </c>
      <c r="S36" s="937" t="e">
        <v>#N/A</v>
      </c>
      <c r="T36" s="937" t="e">
        <v>#N/A</v>
      </c>
      <c r="U36" s="937" t="e">
        <v>#N/A</v>
      </c>
      <c r="V36" s="2319"/>
      <c r="W36" s="2319"/>
    </row>
    <row r="38" spans="3:23">
      <c r="Q38" s="734" t="s">
        <v>1489</v>
      </c>
      <c r="R38" s="959"/>
    </row>
    <row r="39" spans="3:23">
      <c r="Q39" t="s">
        <v>1491</v>
      </c>
    </row>
    <row r="40" spans="3:23">
      <c r="Q40" t="s">
        <v>1492</v>
      </c>
      <c r="R40">
        <v>101.325</v>
      </c>
      <c r="S40" t="s">
        <v>40</v>
      </c>
    </row>
    <row r="41" spans="3:23">
      <c r="Q41" t="s">
        <v>171</v>
      </c>
      <c r="R41">
        <v>28.965</v>
      </c>
      <c r="S41" t="s">
        <v>238</v>
      </c>
    </row>
    <row r="42" spans="3:23">
      <c r="Q42" t="s">
        <v>1493</v>
      </c>
      <c r="R42">
        <v>8.3140000000000001</v>
      </c>
    </row>
    <row r="44" spans="3:23">
      <c r="Q44" t="s">
        <v>1490</v>
      </c>
    </row>
    <row r="45" spans="3:23">
      <c r="Q45" s="454">
        <f>R40*R41/R42</f>
        <v>353.0044052201107</v>
      </c>
    </row>
  </sheetData>
  <mergeCells count="10">
    <mergeCell ref="V11:W12"/>
    <mergeCell ref="V17:W18"/>
    <mergeCell ref="V23:W24"/>
    <mergeCell ref="V29:W30"/>
    <mergeCell ref="V35:W36"/>
    <mergeCell ref="J6:O6"/>
    <mergeCell ref="C6:H6"/>
    <mergeCell ref="B2:O2"/>
    <mergeCell ref="Q1:U1"/>
    <mergeCell ref="V5:W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heetViews>
  <sheetFormatPr baseColWidth="10" defaultColWidth="9.140625" defaultRowHeight="15"/>
  <cols>
    <col min="1" max="1" width="4.140625" customWidth="1"/>
    <col min="5" max="5" width="9.42578125" customWidth="1"/>
    <col min="6" max="6" width="8.85546875" customWidth="1"/>
    <col min="7" max="7" width="12" bestFit="1" customWidth="1"/>
    <col min="8" max="8" width="8" customWidth="1"/>
    <col min="9" max="9" width="9.5703125" customWidth="1"/>
    <col min="10" max="10" width="9.140625" customWidth="1"/>
    <col min="11" max="11" width="11.85546875" bestFit="1" customWidth="1"/>
    <col min="12" max="13" width="12" bestFit="1" customWidth="1"/>
    <col min="14" max="15" width="9.42578125" bestFit="1" customWidth="1"/>
    <col min="16" max="17" width="9.42578125" customWidth="1"/>
    <col min="18" max="18" width="12.5703125" bestFit="1" customWidth="1"/>
    <col min="19" max="19" width="12.85546875" bestFit="1" customWidth="1"/>
    <col min="20" max="20" width="12.42578125" bestFit="1" customWidth="1"/>
    <col min="21" max="21" width="11" bestFit="1" customWidth="1"/>
    <col min="22" max="22" width="10.5703125" bestFit="1" customWidth="1"/>
    <col min="24" max="24" width="9.42578125" bestFit="1" customWidth="1"/>
    <col min="25" max="25" width="12.5703125" bestFit="1" customWidth="1"/>
    <col min="26" max="26" width="12" bestFit="1" customWidth="1"/>
    <col min="27" max="28" width="9.42578125" bestFit="1" customWidth="1"/>
  </cols>
  <sheetData>
    <row r="1" spans="1:24">
      <c r="A1" s="723"/>
      <c r="B1" s="724"/>
      <c r="C1" s="724"/>
      <c r="D1" s="724"/>
      <c r="E1" s="724"/>
      <c r="F1" s="724"/>
      <c r="G1" s="724"/>
      <c r="H1" s="214"/>
      <c r="R1" s="2318"/>
      <c r="S1" s="2318"/>
      <c r="T1" s="2318"/>
      <c r="U1" s="2318"/>
      <c r="V1" s="2318"/>
    </row>
    <row r="2" spans="1:24" ht="36">
      <c r="A2" s="725"/>
      <c r="B2" s="2317" t="s">
        <v>1399</v>
      </c>
      <c r="C2" s="2317"/>
      <c r="D2" s="2317"/>
      <c r="E2" s="2317"/>
      <c r="F2" s="2317"/>
      <c r="G2" s="2317"/>
      <c r="H2" s="2317"/>
      <c r="I2" s="2317"/>
      <c r="J2" s="2317"/>
      <c r="K2" s="2317"/>
      <c r="L2" s="2317"/>
      <c r="M2" s="2317"/>
      <c r="N2" s="2317"/>
      <c r="O2" s="2317"/>
      <c r="R2" s="747"/>
      <c r="X2" s="734"/>
    </row>
    <row r="3" spans="1:24">
      <c r="A3" s="723"/>
      <c r="B3" s="726" t="s">
        <v>1001</v>
      </c>
      <c r="C3" s="724"/>
      <c r="D3" s="724"/>
      <c r="E3" s="724"/>
      <c r="I3" s="727" t="s">
        <v>663</v>
      </c>
      <c r="J3" s="728" t="s">
        <v>1097</v>
      </c>
      <c r="K3" s="729"/>
    </row>
    <row r="4" spans="1:24">
      <c r="A4" s="723"/>
      <c r="B4" s="730" t="s">
        <v>1002</v>
      </c>
      <c r="C4" s="724"/>
      <c r="D4" s="724"/>
      <c r="E4" s="724"/>
      <c r="I4" s="727" t="s">
        <v>1003</v>
      </c>
      <c r="J4" s="731" t="s">
        <v>1004</v>
      </c>
      <c r="K4" s="731"/>
    </row>
    <row r="6" spans="1:24">
      <c r="B6" s="4" t="s">
        <v>1108</v>
      </c>
    </row>
    <row r="7" spans="1:24">
      <c r="B7" t="s">
        <v>270</v>
      </c>
      <c r="C7" t="s">
        <v>486</v>
      </c>
      <c r="D7" t="s">
        <v>1101</v>
      </c>
      <c r="G7" s="734" t="s">
        <v>1107</v>
      </c>
      <c r="P7" s="218"/>
      <c r="Q7" s="218"/>
      <c r="R7" s="4"/>
    </row>
    <row r="8" spans="1:24">
      <c r="B8" t="s">
        <v>486</v>
      </c>
      <c r="C8" t="s">
        <v>1018</v>
      </c>
      <c r="D8" t="s">
        <v>1018</v>
      </c>
      <c r="G8" t="s">
        <v>1106</v>
      </c>
      <c r="H8" t="s">
        <v>1105</v>
      </c>
      <c r="I8" t="s">
        <v>1104</v>
      </c>
      <c r="J8" t="s">
        <v>1103</v>
      </c>
      <c r="P8" s="218"/>
      <c r="Q8" s="218"/>
      <c r="R8" s="4"/>
    </row>
    <row r="9" spans="1:24">
      <c r="B9">
        <v>400</v>
      </c>
      <c r="C9">
        <v>58.7</v>
      </c>
      <c r="D9" s="160">
        <f>$G$9*B9^3+$H$9*B9^2+$I$9*B9+$J$9</f>
        <v>58.699999999999989</v>
      </c>
      <c r="G9" s="940">
        <f t="array" ref="G9:J11">LINEST(C9:C12,B9:B12^{1,2,3},TRUE,TRUE)</f>
        <v>2.0833333333331473E-9</v>
      </c>
      <c r="H9" s="940">
        <v>3.6704440637576654E-19</v>
      </c>
      <c r="I9" s="940">
        <v>-5.1083333333333571E-2</v>
      </c>
      <c r="J9" s="454">
        <v>79.000000000000043</v>
      </c>
      <c r="P9" s="724"/>
    </row>
    <row r="10" spans="1:24">
      <c r="B10">
        <v>600</v>
      </c>
      <c r="C10">
        <v>48.8</v>
      </c>
      <c r="D10" s="160">
        <f>$G$9*B10^3+$H$9*B10^2+$I$9*B10+$J$9</f>
        <v>48.8</v>
      </c>
      <c r="G10" s="937">
        <v>0</v>
      </c>
      <c r="H10" s="937">
        <v>0</v>
      </c>
      <c r="I10" s="937">
        <v>0</v>
      </c>
      <c r="J10" s="937">
        <v>0</v>
      </c>
      <c r="K10" s="2320" t="s">
        <v>1404</v>
      </c>
      <c r="L10" s="2320"/>
      <c r="P10" s="724"/>
      <c r="R10" s="737"/>
      <c r="S10" s="737"/>
      <c r="T10" s="737"/>
      <c r="U10" s="737"/>
      <c r="V10" s="737"/>
    </row>
    <row r="11" spans="1:24">
      <c r="B11">
        <v>800</v>
      </c>
      <c r="C11">
        <v>39.200000000000003</v>
      </c>
      <c r="D11" s="160">
        <f>$G$9*B11^3+$H$9*B11^2+$I$9*B11+$J$9</f>
        <v>39.199999999999989</v>
      </c>
      <c r="G11" s="937">
        <v>1</v>
      </c>
      <c r="H11" s="937">
        <v>0</v>
      </c>
      <c r="I11" s="937" t="e">
        <v>#N/A</v>
      </c>
      <c r="J11" s="937" t="e">
        <v>#N/A</v>
      </c>
      <c r="K11" s="2320"/>
      <c r="L11" s="2320"/>
      <c r="P11" s="724"/>
    </row>
    <row r="12" spans="1:24">
      <c r="B12">
        <v>1000</v>
      </c>
      <c r="C12" s="733">
        <v>30</v>
      </c>
      <c r="D12" s="160">
        <f>$G$9*B12^3+$H$9*B12^2+$I$9*B12+$J$9</f>
        <v>29.999999999999986</v>
      </c>
      <c r="P12" s="724"/>
    </row>
    <row r="13" spans="1:24">
      <c r="P13" s="724"/>
    </row>
    <row r="14" spans="1:24">
      <c r="B14" s="4" t="s">
        <v>1102</v>
      </c>
      <c r="P14" s="724"/>
      <c r="R14" s="4"/>
    </row>
    <row r="15" spans="1:24">
      <c r="B15" t="s">
        <v>270</v>
      </c>
      <c r="C15" t="s">
        <v>486</v>
      </c>
      <c r="D15" t="s">
        <v>1101</v>
      </c>
      <c r="P15" s="724"/>
    </row>
    <row r="16" spans="1:24">
      <c r="B16" t="s">
        <v>486</v>
      </c>
      <c r="C16" t="s">
        <v>1018</v>
      </c>
      <c r="D16" t="s">
        <v>1018</v>
      </c>
      <c r="G16" s="734" t="s">
        <v>1100</v>
      </c>
      <c r="P16" s="724"/>
    </row>
    <row r="17" spans="2:18">
      <c r="B17">
        <v>310</v>
      </c>
      <c r="C17" s="724">
        <v>5.5E-2</v>
      </c>
      <c r="D17" s="735">
        <f t="shared" ref="D17:D22" si="0">$G$18*B17^4+$H$18*B17^3+$I$18*B17^2+$J$18*B17+$K$18</f>
        <v>5.5085129131576156E-2</v>
      </c>
      <c r="G17" t="s">
        <v>1082</v>
      </c>
      <c r="H17" t="s">
        <v>1081</v>
      </c>
      <c r="I17" t="s">
        <v>1080</v>
      </c>
      <c r="J17" t="s">
        <v>1079</v>
      </c>
      <c r="K17" t="s">
        <v>1078</v>
      </c>
      <c r="P17" s="724"/>
    </row>
    <row r="18" spans="2:18">
      <c r="B18">
        <v>365</v>
      </c>
      <c r="C18" s="724">
        <v>5.8999999999999997E-2</v>
      </c>
      <c r="D18" s="735">
        <f t="shared" si="0"/>
        <v>5.8689597180103234E-2</v>
      </c>
      <c r="G18" s="454">
        <f t="array" ref="G18:K20">LINEST(C17:C22,B17:B22^{1,2,3,4},TRUE,TRUE)</f>
        <v>3.1571145066949835E-13</v>
      </c>
      <c r="H18" s="454">
        <v>-7.4641409880469617E-10</v>
      </c>
      <c r="I18" s="454">
        <v>7.3655470313128447E-7</v>
      </c>
      <c r="J18" s="454">
        <v>-2.2488083011171439E-4</v>
      </c>
      <c r="K18" s="454">
        <v>7.3336040366444422E-2</v>
      </c>
      <c r="P18" s="724"/>
    </row>
    <row r="19" spans="2:18">
      <c r="B19">
        <v>420</v>
      </c>
      <c r="C19" s="724">
        <v>6.3E-2</v>
      </c>
      <c r="D19" s="735">
        <f t="shared" si="0"/>
        <v>6.3337994181665372E-2</v>
      </c>
      <c r="G19" s="937">
        <v>9.1150066721115415E-13</v>
      </c>
      <c r="H19" s="937">
        <v>1.9171639537169332E-9</v>
      </c>
      <c r="I19" s="937">
        <v>1.4673917996666513E-6</v>
      </c>
      <c r="J19" s="937">
        <v>4.8355639788389445E-4</v>
      </c>
      <c r="K19" s="937">
        <v>5.7855679102829828E-2</v>
      </c>
      <c r="L19" s="2320" t="s">
        <v>1404</v>
      </c>
      <c r="M19" s="2320"/>
      <c r="P19" s="724"/>
    </row>
    <row r="20" spans="2:18">
      <c r="B20">
        <v>530</v>
      </c>
      <c r="C20" s="724">
        <v>7.4999999999999997E-2</v>
      </c>
      <c r="D20" s="735">
        <f t="shared" si="0"/>
        <v>7.4834676758967988E-2</v>
      </c>
      <c r="G20" s="937">
        <v>0.99986380049760448</v>
      </c>
      <c r="H20" s="937">
        <v>4.9963085170359441E-4</v>
      </c>
      <c r="I20" s="937" t="e">
        <v>#N/A</v>
      </c>
      <c r="J20" s="937" t="e">
        <v>#N/A</v>
      </c>
      <c r="K20" s="937" t="e">
        <v>#N/A</v>
      </c>
      <c r="L20" s="2320"/>
      <c r="M20" s="2320"/>
      <c r="P20" s="724"/>
      <c r="R20" s="4"/>
    </row>
    <row r="21" spans="2:18">
      <c r="B21">
        <v>645</v>
      </c>
      <c r="C21" s="724">
        <v>8.8999999999999996E-2</v>
      </c>
      <c r="D21" s="735">
        <f t="shared" si="0"/>
        <v>8.906553619851626E-2</v>
      </c>
      <c r="P21" s="724"/>
    </row>
    <row r="22" spans="2:18">
      <c r="B22">
        <v>750</v>
      </c>
      <c r="C22" s="724">
        <v>0.104</v>
      </c>
      <c r="D22" s="735">
        <f t="shared" si="0"/>
        <v>0.10398706654917089</v>
      </c>
      <c r="P22" s="724"/>
    </row>
    <row r="23" spans="2:18">
      <c r="P23" s="724"/>
    </row>
    <row r="24" spans="2:18">
      <c r="P24" s="724"/>
    </row>
    <row r="25" spans="2:18">
      <c r="B25" s="243" t="s">
        <v>1084</v>
      </c>
      <c r="P25" s="724"/>
    </row>
    <row r="26" spans="2:18">
      <c r="P26" s="724"/>
      <c r="R26" s="734"/>
    </row>
    <row r="27" spans="2:18">
      <c r="P27" s="724"/>
    </row>
    <row r="32" spans="2:18">
      <c r="R32" s="734"/>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A1:U107"/>
  <sheetViews>
    <sheetView topLeftCell="A65" workbookViewId="0">
      <selection activeCell="D77" sqref="D77"/>
    </sheetView>
  </sheetViews>
  <sheetFormatPr baseColWidth="10" defaultColWidth="11.42578125" defaultRowHeight="15"/>
  <cols>
    <col min="1" max="1" width="12" customWidth="1"/>
    <col min="2" max="2" width="85.85546875" customWidth="1"/>
    <col min="3" max="3" width="22.5703125" style="142" customWidth="1"/>
    <col min="4" max="6" width="14" customWidth="1"/>
    <col min="7" max="7" width="16.42578125" customWidth="1"/>
    <col min="8" max="8" width="27.5703125" customWidth="1"/>
    <col min="9" max="9" width="30.140625" customWidth="1"/>
    <col min="10" max="10" width="37.140625" customWidth="1"/>
    <col min="11" max="11" width="15.85546875" bestFit="1" customWidth="1"/>
    <col min="12" max="12" width="21.85546875" bestFit="1" customWidth="1"/>
    <col min="13" max="14" width="11.42578125" customWidth="1"/>
    <col min="15" max="15" width="14.85546875" bestFit="1" customWidth="1"/>
    <col min="17" max="18" width="11.42578125" customWidth="1"/>
  </cols>
  <sheetData>
    <row r="1" spans="2:21">
      <c r="B1" s="2307" t="s">
        <v>400</v>
      </c>
      <c r="C1" s="2307"/>
      <c r="D1" s="2307"/>
      <c r="E1" s="2307"/>
      <c r="F1" s="2307"/>
      <c r="G1" s="2307"/>
      <c r="H1" s="2307"/>
    </row>
    <row r="2" spans="2:21" ht="15" customHeight="1">
      <c r="B2" s="5" t="s">
        <v>45</v>
      </c>
      <c r="C2" s="145"/>
      <c r="D2" s="6"/>
      <c r="E2" s="6"/>
      <c r="F2" s="6"/>
      <c r="G2" s="6"/>
      <c r="H2" s="6"/>
      <c r="N2" t="s">
        <v>443</v>
      </c>
      <c r="O2" t="s">
        <v>270</v>
      </c>
      <c r="P2" t="s">
        <v>1492</v>
      </c>
      <c r="Q2" t="s">
        <v>1028</v>
      </c>
      <c r="R2" t="s">
        <v>178</v>
      </c>
      <c r="S2" t="s">
        <v>1052</v>
      </c>
    </row>
    <row r="3" spans="2:21" ht="15" customHeight="1">
      <c r="B3" s="218" t="s">
        <v>339</v>
      </c>
      <c r="D3" s="219" t="e">
        <f>IF(D8=0,"ok",IFERROR(IF((D98-'3c. Calculateur MEÉ 2-3-4'!G30)/'3c. Calculateur MEÉ 2-3-4'!G30&lt;0.1,"ok","nok"),"nok"))</f>
        <v>#DIV/0!</v>
      </c>
      <c r="E3" s="219" t="e">
        <f>IF(E8=0,"ok",IFERROR(IF((E98-'3c. Calculateur MEÉ 2-3-4'!I30)/'3c. Calculateur MEÉ 2-3-4'!I30&lt;0.1,"ok","nok"),"nok"))</f>
        <v>#DIV/0!</v>
      </c>
      <c r="F3" s="219" t="e">
        <f>IF(F8=0,"ok",IFERROR(IF((F98-'3c. Calculateur MEÉ 2-3-4'!K30)/'3c. Calculateur MEÉ 2-3-4'!K30&lt;0.1,"ok","nok"),"nok"))</f>
        <v>#DIV/0!</v>
      </c>
      <c r="G3" s="219" t="e">
        <f>IF(G8=0,"ok",IFERROR(IF((G98-'3c. Calculateur MEÉ 2-3-4'!M30)/'3c. Calculateur MEÉ 2-3-4'!M30&lt;0.1,"ok","nok"),"nok"))</f>
        <v>#DIV/0!</v>
      </c>
      <c r="N3" t="s">
        <v>59</v>
      </c>
      <c r="O3" t="s">
        <v>16</v>
      </c>
      <c r="P3" t="s">
        <v>40</v>
      </c>
      <c r="Q3" t="s">
        <v>955</v>
      </c>
      <c r="R3" t="s">
        <v>54</v>
      </c>
      <c r="S3" t="s">
        <v>5</v>
      </c>
    </row>
    <row r="4" spans="2:21" ht="15" customHeight="1">
      <c r="B4" s="165"/>
      <c r="C4" s="166" t="s">
        <v>46</v>
      </c>
      <c r="D4" s="166" t="s">
        <v>1</v>
      </c>
      <c r="E4" s="166" t="s">
        <v>2</v>
      </c>
      <c r="F4" s="166" t="s">
        <v>3</v>
      </c>
      <c r="G4" s="166" t="s">
        <v>4</v>
      </c>
      <c r="H4" s="165" t="s">
        <v>47</v>
      </c>
      <c r="I4" s="142"/>
      <c r="M4" t="s">
        <v>1883</v>
      </c>
      <c r="N4" s="277">
        <f>C17*C27</f>
        <v>0</v>
      </c>
      <c r="O4" s="1159">
        <f>C16</f>
        <v>80</v>
      </c>
      <c r="Q4" s="160">
        <f>C12</f>
        <v>4.1853360036591161</v>
      </c>
      <c r="R4" s="1161">
        <f>Q4*O4</f>
        <v>334.8268802927293</v>
      </c>
      <c r="S4" s="1161">
        <f>N4*R4/3600</f>
        <v>0</v>
      </c>
    </row>
    <row r="5" spans="2:21" ht="15" customHeight="1">
      <c r="B5" s="1" t="s">
        <v>48</v>
      </c>
      <c r="C5"/>
      <c r="M5" t="s">
        <v>1884</v>
      </c>
      <c r="N5" s="277">
        <f>(1-C17)*C27</f>
        <v>0</v>
      </c>
      <c r="O5" s="1159">
        <f>C11</f>
        <v>10.889082170509718</v>
      </c>
      <c r="Q5" s="160">
        <f>C12</f>
        <v>4.1853360036591161</v>
      </c>
      <c r="R5" s="1161">
        <f>Q5*O5</f>
        <v>45.574467655036877</v>
      </c>
      <c r="S5" s="1161">
        <f>N5*R5/3600</f>
        <v>0</v>
      </c>
    </row>
    <row r="6" spans="2:21" ht="15" customHeight="1">
      <c r="B6" s="165" t="s">
        <v>346</v>
      </c>
      <c r="C6" s="165"/>
      <c r="D6" s="166"/>
      <c r="E6" s="166"/>
      <c r="F6" s="166"/>
      <c r="G6" s="166"/>
      <c r="H6" s="165"/>
      <c r="M6">
        <v>1</v>
      </c>
      <c r="N6" s="277">
        <f>C41</f>
        <v>0</v>
      </c>
      <c r="O6" s="1159">
        <f>G63</f>
        <v>174.97610815868268</v>
      </c>
      <c r="P6" s="160">
        <f>C56</f>
        <v>790.33012724550895</v>
      </c>
      <c r="Q6" s="160"/>
      <c r="R6" s="1161">
        <f>C57</f>
        <v>2773.5444668787422</v>
      </c>
      <c r="S6" s="1161">
        <f>N6*R6/3600</f>
        <v>0</v>
      </c>
    </row>
    <row r="7" spans="2:21" ht="15" customHeight="1">
      <c r="B7" t="s">
        <v>938</v>
      </c>
      <c r="C7" s="177">
        <f>'3c. Calculateur MEÉ 2-3-4'!G30+'3c. Calculateur MEÉ 2-3-4'!I30+'3c. Calculateur MEÉ 2-3-4'!K30+'3c. Calculateur MEÉ 2-3-4'!M30</f>
        <v>0</v>
      </c>
      <c r="D7" s="235"/>
      <c r="E7" s="168"/>
      <c r="F7" s="168"/>
      <c r="G7" s="168"/>
      <c r="H7" s="167" t="s">
        <v>5</v>
      </c>
      <c r="M7" t="s">
        <v>1885</v>
      </c>
      <c r="N7" s="277">
        <f>C27</f>
        <v>0</v>
      </c>
      <c r="O7" s="1160" t="e">
        <f>S7*3600/N7/Q7</f>
        <v>#DIV/0!</v>
      </c>
      <c r="P7" s="160">
        <f>C40</f>
        <v>153.1</v>
      </c>
      <c r="Q7" s="160">
        <f>Q5</f>
        <v>4.1853360036591161</v>
      </c>
      <c r="R7" s="1161" t="s">
        <v>1888</v>
      </c>
      <c r="S7" s="1161">
        <f>S4+S5+S6</f>
        <v>0</v>
      </c>
    </row>
    <row r="8" spans="2:21" ht="15" customHeight="1">
      <c r="B8" s="167" t="s">
        <v>19</v>
      </c>
      <c r="C8" s="168"/>
      <c r="D8" s="236" t="e">
        <f>'3c. Calculateur MEÉ 2-3-4'!G30/'P opération brûleur - avant MEE'!$C$7</f>
        <v>#DIV/0!</v>
      </c>
      <c r="E8" s="236" t="e">
        <f>'3c. Calculateur MEÉ 2-3-4'!I30/'P opération brûleur - avant MEE'!$C$7</f>
        <v>#DIV/0!</v>
      </c>
      <c r="F8" s="236" t="e">
        <f>'3c. Calculateur MEÉ 2-3-4'!K30/'P opération brûleur - avant MEE'!$C$7</f>
        <v>#DIV/0!</v>
      </c>
      <c r="G8" s="236" t="e">
        <f>'3c. Calculateur MEÉ 2-3-4'!M30/'P opération brûleur - avant MEE'!$C$7</f>
        <v>#DIV/0!</v>
      </c>
      <c r="H8" s="167"/>
    </row>
    <row r="9" spans="2:21" ht="15" customHeight="1">
      <c r="B9" s="240"/>
      <c r="C9" s="168"/>
      <c r="D9" s="167"/>
      <c r="E9" s="167"/>
      <c r="F9" s="167"/>
      <c r="G9" s="167"/>
      <c r="H9" s="193"/>
    </row>
    <row r="10" spans="2:21" ht="15" customHeight="1">
      <c r="B10" s="165" t="s">
        <v>66</v>
      </c>
      <c r="C10" s="231"/>
      <c r="D10" s="229"/>
      <c r="E10" s="229"/>
      <c r="F10" s="229"/>
      <c r="G10" s="229"/>
      <c r="H10" s="167"/>
    </row>
    <row r="11" spans="2:21" ht="15" customHeight="1">
      <c r="B11" s="167" t="s">
        <v>35</v>
      </c>
      <c r="C11" s="177">
        <f>Hypothèses!D28</f>
        <v>10.889082170509718</v>
      </c>
      <c r="D11" s="167"/>
      <c r="E11" s="167"/>
      <c r="F11" s="167"/>
      <c r="G11" s="167"/>
      <c r="H11" s="167" t="s">
        <v>18</v>
      </c>
      <c r="I11" s="147" t="s">
        <v>50</v>
      </c>
      <c r="U11" t="s">
        <v>1887</v>
      </c>
    </row>
    <row r="12" spans="2:21" ht="15" customHeight="1">
      <c r="B12" s="167" t="s">
        <v>51</v>
      </c>
      <c r="C12" s="177">
        <f>Hypothèses!D84</f>
        <v>4.1853360036591161</v>
      </c>
      <c r="D12" s="167"/>
      <c r="E12" s="167"/>
      <c r="F12" s="167"/>
      <c r="G12" s="167"/>
      <c r="H12" s="167" t="s">
        <v>52</v>
      </c>
      <c r="I12" s="142"/>
    </row>
    <row r="13" spans="2:21" ht="15" customHeight="1">
      <c r="B13" s="169" t="s">
        <v>67</v>
      </c>
      <c r="C13" s="223">
        <f>C12*C11</f>
        <v>45.574467655036877</v>
      </c>
      <c r="D13" s="229"/>
      <c r="E13" s="229"/>
      <c r="F13" s="229"/>
      <c r="G13" s="229"/>
      <c r="H13" s="167" t="s">
        <v>54</v>
      </c>
    </row>
    <row r="14" spans="2:21" ht="15" customHeight="1">
      <c r="B14" s="169"/>
      <c r="C14" s="1163"/>
      <c r="D14" s="229"/>
      <c r="E14" s="229"/>
      <c r="F14" s="229"/>
      <c r="G14" s="229"/>
      <c r="H14" s="167"/>
    </row>
    <row r="15" spans="2:21" ht="15" customHeight="1">
      <c r="B15" s="165" t="s">
        <v>49</v>
      </c>
      <c r="C15" s="165"/>
      <c r="D15" s="166"/>
      <c r="E15" s="166"/>
      <c r="F15" s="166"/>
      <c r="G15" s="166"/>
      <c r="H15" s="165"/>
      <c r="I15" s="142"/>
    </row>
    <row r="16" spans="2:21" ht="15" customHeight="1">
      <c r="B16" s="167" t="s">
        <v>36</v>
      </c>
      <c r="C16" s="178">
        <f>Hypothèses!D31</f>
        <v>80</v>
      </c>
      <c r="D16" s="167"/>
      <c r="E16" s="167"/>
      <c r="F16" s="167"/>
      <c r="G16" s="167"/>
      <c r="H16" s="167" t="s">
        <v>18</v>
      </c>
      <c r="I16" s="147" t="s">
        <v>50</v>
      </c>
      <c r="O16">
        <f>(33.46*10^-3+0.688*10^-5*O6)/(18*1000)</f>
        <v>1.925768645785097E-6</v>
      </c>
      <c r="P16">
        <f>O16*O6</f>
        <v>3.3696350285349302E-4</v>
      </c>
      <c r="R16" t="s">
        <v>1889</v>
      </c>
    </row>
    <row r="17" spans="2:17" ht="15" customHeight="1">
      <c r="B17" s="167" t="s">
        <v>37</v>
      </c>
      <c r="C17" s="179">
        <f>Hypothèses!D32</f>
        <v>0.8</v>
      </c>
      <c r="D17" s="167"/>
      <c r="E17" s="167"/>
      <c r="F17" s="167"/>
      <c r="G17" s="167"/>
      <c r="H17" s="167"/>
      <c r="I17" s="147" t="s">
        <v>50</v>
      </c>
    </row>
    <row r="18" spans="2:17" ht="15" customHeight="1">
      <c r="B18" s="169" t="s">
        <v>53</v>
      </c>
      <c r="C18" s="177">
        <f>C12*C16</f>
        <v>334.8268802927293</v>
      </c>
      <c r="D18" s="167"/>
      <c r="E18" s="167"/>
      <c r="F18" s="167"/>
      <c r="G18" s="167"/>
      <c r="H18" s="167" t="s">
        <v>54</v>
      </c>
      <c r="I18" s="142"/>
    </row>
    <row r="19" spans="2:17" ht="15" customHeight="1">
      <c r="B19" s="169"/>
      <c r="C19" s="1163"/>
      <c r="D19" s="229"/>
      <c r="E19" s="229"/>
      <c r="F19" s="229"/>
      <c r="G19" s="229"/>
      <c r="H19" s="167"/>
    </row>
    <row r="20" spans="2:17" ht="15" customHeight="1">
      <c r="B20" s="165" t="s">
        <v>55</v>
      </c>
      <c r="C20" s="168"/>
      <c r="D20" s="167"/>
      <c r="E20" s="167"/>
      <c r="F20" s="167"/>
      <c r="G20" s="167"/>
      <c r="H20" s="166"/>
      <c r="I20" s="142"/>
    </row>
    <row r="21" spans="2:17" ht="15" customHeight="1">
      <c r="B21" s="169" t="s">
        <v>56</v>
      </c>
      <c r="C21" s="1164">
        <f>IF(OR('3c. Calculateur MEÉ 2-3-4'!$G$13="Eau chaude",'3c. Calculateur MEÉ 2-3-4'!$G$19&lt;&gt;"Oui"),C22,C23)</f>
        <v>66.177816434101942</v>
      </c>
      <c r="D21" s="319"/>
      <c r="E21" s="167"/>
      <c r="F21" s="167"/>
      <c r="G21" s="167"/>
      <c r="H21" s="167" t="s">
        <v>18</v>
      </c>
    </row>
    <row r="22" spans="2:17" ht="15" customHeight="1">
      <c r="B22" s="1165" t="s">
        <v>1895</v>
      </c>
      <c r="C22" s="1166">
        <f>C17*C16+(1-C17)*C11</f>
        <v>66.177816434101942</v>
      </c>
      <c r="D22" s="1167"/>
      <c r="E22" s="217"/>
      <c r="F22" s="217"/>
      <c r="G22" s="217"/>
      <c r="H22" s="217" t="s">
        <v>18</v>
      </c>
    </row>
    <row r="23" spans="2:17" ht="15" customHeight="1">
      <c r="B23" s="1165" t="s">
        <v>1897</v>
      </c>
      <c r="C23" s="1166">
        <f>G73</f>
        <v>127.99931999999998</v>
      </c>
      <c r="D23" s="1167"/>
      <c r="E23" s="217"/>
      <c r="F23" s="217"/>
      <c r="G23" s="217"/>
      <c r="H23" s="217" t="s">
        <v>18</v>
      </c>
      <c r="I23" t="s">
        <v>1898</v>
      </c>
    </row>
    <row r="24" spans="2:17" ht="15" customHeight="1">
      <c r="B24" s="169" t="s">
        <v>57</v>
      </c>
      <c r="C24" s="493">
        <f>IF(OR('3c. Calculateur MEÉ 2-3-4'!$G$13="Eau chaude",'3c. Calculateur MEÉ 2-3-4'!$G$19&lt;&gt;"Oui"),C25,C26)</f>
        <v>276.97639776519082</v>
      </c>
      <c r="D24" s="214"/>
      <c r="E24" s="167"/>
      <c r="F24" s="167"/>
      <c r="G24" s="167"/>
      <c r="H24" s="167" t="s">
        <v>54</v>
      </c>
    </row>
    <row r="25" spans="2:17" ht="15" customHeight="1">
      <c r="B25" s="1165" t="s">
        <v>1895</v>
      </c>
      <c r="C25" s="1166">
        <f>C17*C18+(1-C17)*C13</f>
        <v>276.97639776519082</v>
      </c>
      <c r="D25" s="1167"/>
      <c r="E25" s="217"/>
      <c r="F25" s="217"/>
      <c r="G25" s="217"/>
      <c r="H25" s="217" t="s">
        <v>54</v>
      </c>
    </row>
    <row r="26" spans="2:17" ht="15" customHeight="1">
      <c r="B26" s="1165" t="s">
        <v>1897</v>
      </c>
      <c r="C26" s="1166">
        <f>D73</f>
        <v>537.76303999999993</v>
      </c>
      <c r="D26" s="1167"/>
      <c r="E26" s="217"/>
      <c r="F26" s="217"/>
      <c r="G26" s="217"/>
      <c r="H26" s="217" t="s">
        <v>54</v>
      </c>
      <c r="I26" t="s">
        <v>1899</v>
      </c>
    </row>
    <row r="27" spans="2:17" ht="15" customHeight="1">
      <c r="B27" s="169" t="s">
        <v>58</v>
      </c>
      <c r="C27" s="223">
        <f>SUM(D27:G27)</f>
        <v>0</v>
      </c>
      <c r="D27" s="223">
        <f>'3c. Calculateur MEÉ 2-3-4'!G30*3600/((1-$C$33)*($C$57-$C$24)+$C$33*($C$34-$C$24))</f>
        <v>0</v>
      </c>
      <c r="E27" s="223">
        <f>'3c. Calculateur MEÉ 2-3-4'!I30*3600/((1-$C$33)*($C$57-$C$24)+$C$33*($C$34-$C$24))</f>
        <v>0</v>
      </c>
      <c r="F27" s="223">
        <f>'3c. Calculateur MEÉ 2-3-4'!K30*3600/((1-$C$33)*($C$57-$C$24)+$C$33*($C$34-$C$24))</f>
        <v>0</v>
      </c>
      <c r="G27" s="223">
        <f>'3c. Calculateur MEÉ 2-3-4'!M30*3600/((1-$C$33)*($C$57-$C$24)+$C$33*($C$34-$C$24))</f>
        <v>0</v>
      </c>
      <c r="H27" s="167" t="s">
        <v>59</v>
      </c>
      <c r="I27" s="211" t="s">
        <v>60</v>
      </c>
    </row>
    <row r="28" spans="2:17" ht="15" customHeight="1">
      <c r="B28" s="169"/>
      <c r="C28" s="231"/>
      <c r="D28" s="494">
        <f>D27/'Facteurs conversion'!$C$14</f>
        <v>0</v>
      </c>
      <c r="E28" s="494">
        <f>E27/'Facteurs conversion'!$C$14</f>
        <v>0</v>
      </c>
      <c r="F28" s="494">
        <f>F27/'Facteurs conversion'!$C$14</f>
        <v>0</v>
      </c>
      <c r="G28" s="494">
        <f>G27/'Facteurs conversion'!$C$14</f>
        <v>0</v>
      </c>
      <c r="H28" s="246" t="s">
        <v>61</v>
      </c>
      <c r="I28" s="212" t="s">
        <v>62</v>
      </c>
    </row>
    <row r="29" spans="2:17" ht="15" customHeight="1">
      <c r="B29" s="169" t="s">
        <v>63</v>
      </c>
      <c r="C29" s="231"/>
      <c r="D29" s="223">
        <f>$C$24*D27/3600</f>
        <v>0</v>
      </c>
      <c r="E29" s="223">
        <f t="shared" ref="E29:F29" si="0">$C$24*E27/3600</f>
        <v>0</v>
      </c>
      <c r="F29" s="223">
        <f t="shared" si="0"/>
        <v>0</v>
      </c>
      <c r="G29" s="223">
        <f>$C$24*G27/3600</f>
        <v>0</v>
      </c>
      <c r="H29" s="167" t="s">
        <v>5</v>
      </c>
      <c r="I29" s="212" t="s">
        <v>64</v>
      </c>
      <c r="Q29" t="s">
        <v>1890</v>
      </c>
    </row>
    <row r="30" spans="2:17" ht="15" customHeight="1">
      <c r="C30" s="228"/>
      <c r="D30" s="228"/>
      <c r="E30" s="228"/>
      <c r="F30" s="228"/>
      <c r="G30" s="228"/>
      <c r="I30" s="212" t="s">
        <v>65</v>
      </c>
    </row>
    <row r="31" spans="2:17" ht="15" customHeight="1">
      <c r="C31" s="228"/>
      <c r="D31" s="228"/>
      <c r="E31" s="228"/>
      <c r="F31" s="228"/>
      <c r="G31" s="228"/>
    </row>
    <row r="32" spans="2:17" ht="15" customHeight="1">
      <c r="B32" s="165" t="s">
        <v>68</v>
      </c>
      <c r="C32" s="231"/>
      <c r="D32" s="229"/>
      <c r="E32" s="229"/>
      <c r="F32" s="229"/>
      <c r="G32" s="229"/>
      <c r="H32" s="167"/>
    </row>
    <row r="33" spans="1:18" ht="15" customHeight="1">
      <c r="B33" s="167" t="s">
        <v>38</v>
      </c>
      <c r="C33" s="495">
        <f>Hypothèses!D33</f>
        <v>0.06</v>
      </c>
      <c r="D33" s="229"/>
      <c r="E33" s="229"/>
      <c r="F33" s="229"/>
      <c r="G33" s="229"/>
      <c r="H33" s="167"/>
      <c r="I33" s="141" t="s">
        <v>69</v>
      </c>
      <c r="R33" t="s">
        <v>1886</v>
      </c>
    </row>
    <row r="34" spans="1:18" ht="15" customHeight="1">
      <c r="A34" s="228"/>
      <c r="B34" s="167" t="s">
        <v>70</v>
      </c>
      <c r="C34" s="223">
        <f>IF('3c. Calculateur MEÉ 2-3-4'!$G$13="Eau chaude",C12*Hypothèses!D37,D63)</f>
        <v>741.05921800149713</v>
      </c>
      <c r="D34" s="229"/>
      <c r="E34" s="229"/>
      <c r="F34" s="229"/>
      <c r="G34" s="229"/>
      <c r="H34" s="167" t="s">
        <v>54</v>
      </c>
    </row>
    <row r="35" spans="1:18" ht="15" customHeight="1">
      <c r="B35" s="167" t="s">
        <v>71</v>
      </c>
      <c r="C35" s="231"/>
      <c r="D35" s="223">
        <f>D36*'Facteurs conversion'!$C$14</f>
        <v>0</v>
      </c>
      <c r="E35" s="223">
        <f>E36*'Facteurs conversion'!$C$14</f>
        <v>0</v>
      </c>
      <c r="F35" s="223">
        <f>F36*'Facteurs conversion'!$C$14</f>
        <v>0</v>
      </c>
      <c r="G35" s="223">
        <f>G36*'Facteurs conversion'!$C$14</f>
        <v>0</v>
      </c>
      <c r="H35" s="167" t="s">
        <v>59</v>
      </c>
    </row>
    <row r="36" spans="1:18" ht="15" customHeight="1">
      <c r="B36" s="167"/>
      <c r="C36" s="231"/>
      <c r="D36" s="494">
        <f>D28*$C$33</f>
        <v>0</v>
      </c>
      <c r="E36" s="494">
        <f>E28*$C$33</f>
        <v>0</v>
      </c>
      <c r="F36" s="494">
        <f>F28*$C$33</f>
        <v>0</v>
      </c>
      <c r="G36" s="494">
        <f>G28*$C$33</f>
        <v>0</v>
      </c>
      <c r="H36" s="246" t="s">
        <v>61</v>
      </c>
    </row>
    <row r="37" spans="1:18" ht="15" customHeight="1">
      <c r="B37" s="445" t="s">
        <v>72</v>
      </c>
      <c r="C37" s="231"/>
      <c r="D37" s="223">
        <f>D35*($C$34)/3600</f>
        <v>0</v>
      </c>
      <c r="E37" s="223">
        <f t="shared" ref="E37:G37" si="1">E35*($C$34)/3600</f>
        <v>0</v>
      </c>
      <c r="F37" s="223">
        <f t="shared" si="1"/>
        <v>0</v>
      </c>
      <c r="G37" s="223">
        <f t="shared" si="1"/>
        <v>0</v>
      </c>
      <c r="H37" s="167" t="s">
        <v>5</v>
      </c>
    </row>
    <row r="38" spans="1:18" ht="15" customHeight="1">
      <c r="B38" s="7"/>
      <c r="C38" s="228"/>
      <c r="D38" s="228"/>
      <c r="E38" s="228"/>
      <c r="F38" s="228"/>
      <c r="G38" s="228"/>
    </row>
    <row r="39" spans="1:18" ht="15" customHeight="1">
      <c r="B39" s="684" t="s">
        <v>944</v>
      </c>
      <c r="C39" s="229"/>
      <c r="D39" s="229"/>
      <c r="E39" s="229"/>
      <c r="F39" s="229"/>
      <c r="G39" s="229"/>
      <c r="H39" s="167"/>
      <c r="I39" s="148" t="s">
        <v>74</v>
      </c>
    </row>
    <row r="40" spans="1:18" ht="15" customHeight="1">
      <c r="B40" s="685" t="s">
        <v>39</v>
      </c>
      <c r="C40" s="177">
        <f>Hypothèses!D34</f>
        <v>153.1</v>
      </c>
      <c r="D40" s="167"/>
      <c r="E40" s="167"/>
      <c r="F40" s="167"/>
      <c r="G40" s="167"/>
      <c r="H40" s="167" t="s">
        <v>40</v>
      </c>
      <c r="I40" s="574"/>
    </row>
    <row r="41" spans="1:18" ht="15" customHeight="1">
      <c r="B41" s="445" t="s">
        <v>1415</v>
      </c>
      <c r="C41" s="323">
        <f>C27*(D73-C25)/(C57-D73)/(1-C42)</f>
        <v>0</v>
      </c>
      <c r="D41" s="177" t="e">
        <f>$C$41*D8</f>
        <v>#DIV/0!</v>
      </c>
      <c r="E41" s="177" t="e">
        <f>$C$41*E8</f>
        <v>#DIV/0!</v>
      </c>
      <c r="F41" s="177" t="e">
        <f>$C$41*F8</f>
        <v>#DIV/0!</v>
      </c>
      <c r="G41" s="177" t="e">
        <f>$C$41*G8</f>
        <v>#DIV/0!</v>
      </c>
      <c r="H41" s="167" t="s">
        <v>59</v>
      </c>
      <c r="I41" s="192" t="s">
        <v>347</v>
      </c>
    </row>
    <row r="42" spans="1:18" ht="15" customHeight="1">
      <c r="B42" s="686" t="s">
        <v>41</v>
      </c>
      <c r="C42" s="180">
        <f>Hypothèses!D35</f>
        <v>9.5000000000000001E-2</v>
      </c>
      <c r="D42" s="172"/>
      <c r="E42" s="172"/>
      <c r="F42" s="172"/>
      <c r="G42" s="172"/>
      <c r="H42" s="167"/>
      <c r="I42" s="239" t="s">
        <v>76</v>
      </c>
    </row>
    <row r="43" spans="1:18" ht="15" customHeight="1">
      <c r="B43" s="685" t="s">
        <v>77</v>
      </c>
      <c r="C43" s="238">
        <f>IF(OR('3c. Calculateur MEÉ 2-3-4'!$G$13="Eau chaude",'3c. Calculateur MEÉ 2-3-4'!$G$19&lt;&gt;"Oui"),0,C42*C41)</f>
        <v>0</v>
      </c>
      <c r="D43" s="182">
        <f>IF(OR('3c. Calculateur MEÉ 2-3-4'!$G$13="Eau chaude",'3c. Calculateur MEÉ 2-3-4'!$G$19&lt;&gt;"Oui"),0,D41*$C$42)</f>
        <v>0</v>
      </c>
      <c r="E43" s="182">
        <f>IF(OR('3c. Calculateur MEÉ 2-3-4'!$G$13="Eau chaude",'3c. Calculateur MEÉ 2-3-4'!$G$19&lt;&gt;"Oui"),0,E41*$C$42)</f>
        <v>0</v>
      </c>
      <c r="F43" s="182">
        <f>IF(OR('3c. Calculateur MEÉ 2-3-4'!$G$13="Eau chaude",'3c. Calculateur MEÉ 2-3-4'!$G$19&lt;&gt;"Oui"),0,F41*$C$42)</f>
        <v>0</v>
      </c>
      <c r="G43" s="182">
        <f>IF(OR('3c. Calculateur MEÉ 2-3-4'!$G$13="Eau chaude",'3c. Calculateur MEÉ 2-3-4'!$G$19&lt;&gt;"Oui"),0,G41*$C$42)</f>
        <v>0</v>
      </c>
      <c r="H43" s="167" t="s">
        <v>59</v>
      </c>
      <c r="K43" s="7"/>
    </row>
    <row r="44" spans="1:18" ht="15" customHeight="1">
      <c r="B44" s="685"/>
      <c r="C44" s="168"/>
      <c r="D44" s="247">
        <f>D43/'Facteurs conversion'!$C$14</f>
        <v>0</v>
      </c>
      <c r="E44" s="247">
        <f>E43/'Facteurs conversion'!$C$14</f>
        <v>0</v>
      </c>
      <c r="F44" s="247">
        <f>F43/'Facteurs conversion'!$C$14</f>
        <v>0</v>
      </c>
      <c r="G44" s="247">
        <f>G43/'Facteurs conversion'!$C$14</f>
        <v>0</v>
      </c>
      <c r="H44" s="246" t="s">
        <v>61</v>
      </c>
      <c r="K44" s="7"/>
    </row>
    <row r="45" spans="1:18" ht="15" customHeight="1">
      <c r="B45" s="685" t="s">
        <v>78</v>
      </c>
      <c r="C45" s="238">
        <f>IF('3c. Calculateur MEÉ 2-3-4'!$G$13="Eau chaude",0,C43*F73/3600)</f>
        <v>0</v>
      </c>
      <c r="D45" s="182">
        <f>IF('3c. Calculateur MEÉ 2-3-4'!$G$13="Eau chaude",0,$F$73*D43/3600)</f>
        <v>0</v>
      </c>
      <c r="E45" s="182">
        <f>IF('3c. Calculateur MEÉ 2-3-4'!$G$13="Eau chaude",0,$F$73*E43/3600)</f>
        <v>0</v>
      </c>
      <c r="F45" s="182">
        <f>IF('3c. Calculateur MEÉ 2-3-4'!$G$13="Eau chaude",0,$F$73*F43/3600)</f>
        <v>0</v>
      </c>
      <c r="G45" s="182">
        <f>IF('3c. Calculateur MEÉ 2-3-4'!$G$13="Eau chaude",0,$F$73*G43/3600)</f>
        <v>0</v>
      </c>
      <c r="H45" s="167" t="s">
        <v>5</v>
      </c>
      <c r="K45" s="7"/>
    </row>
    <row r="46" spans="1:18" ht="15" customHeight="1">
      <c r="B46" s="7"/>
      <c r="C46"/>
      <c r="K46" s="7"/>
    </row>
    <row r="47" spans="1:18" ht="15" customHeight="1">
      <c r="B47" s="684" t="s">
        <v>945</v>
      </c>
      <c r="C47" s="174"/>
      <c r="D47" s="167"/>
      <c r="E47" s="167"/>
      <c r="F47" s="167"/>
      <c r="G47" s="167"/>
      <c r="H47" s="167"/>
      <c r="K47" s="7"/>
    </row>
    <row r="48" spans="1:18" ht="15" customHeight="1">
      <c r="B48" s="686" t="s">
        <v>80</v>
      </c>
      <c r="C48" s="168"/>
      <c r="D48" s="223">
        <f t="shared" ref="D48:G49" si="2">D27-D35</f>
        <v>0</v>
      </c>
      <c r="E48" s="223">
        <f t="shared" si="2"/>
        <v>0</v>
      </c>
      <c r="F48" s="223">
        <f t="shared" si="2"/>
        <v>0</v>
      </c>
      <c r="G48" s="223">
        <f t="shared" si="2"/>
        <v>0</v>
      </c>
      <c r="H48" s="167" t="s">
        <v>59</v>
      </c>
      <c r="K48" s="7"/>
    </row>
    <row r="49" spans="2:12" ht="15" customHeight="1">
      <c r="B49" s="686"/>
      <c r="C49" s="168"/>
      <c r="D49" s="494">
        <f t="shared" si="2"/>
        <v>0</v>
      </c>
      <c r="E49" s="494">
        <f t="shared" si="2"/>
        <v>0</v>
      </c>
      <c r="F49" s="494">
        <f t="shared" si="2"/>
        <v>0</v>
      </c>
      <c r="G49" s="494">
        <f t="shared" si="2"/>
        <v>0</v>
      </c>
      <c r="H49" s="246" t="s">
        <v>61</v>
      </c>
      <c r="K49" s="7"/>
    </row>
    <row r="50" spans="2:12" ht="15" customHeight="1">
      <c r="B50" s="686" t="s">
        <v>81</v>
      </c>
      <c r="C50" s="168"/>
      <c r="D50" s="223">
        <f>D48-D43</f>
        <v>0</v>
      </c>
      <c r="E50" s="223">
        <f t="shared" ref="D50:G51" si="3">E48-E43</f>
        <v>0</v>
      </c>
      <c r="F50" s="223">
        <f t="shared" si="3"/>
        <v>0</v>
      </c>
      <c r="G50" s="223">
        <f t="shared" si="3"/>
        <v>0</v>
      </c>
      <c r="H50" s="167" t="s">
        <v>59</v>
      </c>
    </row>
    <row r="51" spans="2:12" ht="15" customHeight="1">
      <c r="B51" s="686"/>
      <c r="C51" s="168"/>
      <c r="D51" s="494">
        <f t="shared" si="3"/>
        <v>0</v>
      </c>
      <c r="E51" s="494">
        <f t="shared" si="3"/>
        <v>0</v>
      </c>
      <c r="F51" s="494">
        <f t="shared" si="3"/>
        <v>0</v>
      </c>
      <c r="G51" s="494">
        <f t="shared" si="3"/>
        <v>0</v>
      </c>
      <c r="H51" s="246" t="s">
        <v>61</v>
      </c>
    </row>
    <row r="52" spans="2:12" ht="15" customHeight="1">
      <c r="B52" s="686" t="s">
        <v>946</v>
      </c>
      <c r="C52" s="168"/>
      <c r="D52" s="223">
        <f>D50*$C$57/3600</f>
        <v>0</v>
      </c>
      <c r="E52" s="223">
        <f t="shared" ref="E52:G52" si="4">E50*$C$57/3600</f>
        <v>0</v>
      </c>
      <c r="F52" s="223">
        <f t="shared" si="4"/>
        <v>0</v>
      </c>
      <c r="G52" s="223">
        <f t="shared" si="4"/>
        <v>0</v>
      </c>
      <c r="H52" s="167" t="s">
        <v>5</v>
      </c>
    </row>
    <row r="53" spans="2:12" ht="15" customHeight="1">
      <c r="B53" s="7"/>
      <c r="C53"/>
      <c r="L53" s="214"/>
    </row>
    <row r="54" spans="2:12" ht="15" customHeight="1">
      <c r="B54" s="684" t="s">
        <v>83</v>
      </c>
      <c r="C54" s="168"/>
      <c r="D54" s="167"/>
      <c r="E54" s="167"/>
      <c r="F54" s="167"/>
      <c r="G54" s="167"/>
      <c r="H54" s="167"/>
    </row>
    <row r="55" spans="2:12" ht="15" customHeight="1">
      <c r="B55" s="687" t="s">
        <v>42</v>
      </c>
      <c r="C55" s="178">
        <f>'3c. Calculateur MEÉ 2-3-4'!G17</f>
        <v>0</v>
      </c>
      <c r="D55" s="167"/>
      <c r="E55" s="167"/>
      <c r="F55" s="167"/>
      <c r="G55" s="167"/>
      <c r="H55" s="167" t="s">
        <v>18</v>
      </c>
      <c r="I55" s="8"/>
    </row>
    <row r="56" spans="2:12" ht="15" customHeight="1">
      <c r="B56" s="687" t="s">
        <v>84</v>
      </c>
      <c r="C56" s="177">
        <f>Hypothèses!D36</f>
        <v>790.33012724550895</v>
      </c>
      <c r="D56" s="1"/>
      <c r="E56" s="167"/>
      <c r="F56" s="167"/>
      <c r="G56" s="167"/>
      <c r="H56" s="167" t="s">
        <v>40</v>
      </c>
      <c r="I56" s="154" t="s">
        <v>85</v>
      </c>
    </row>
    <row r="57" spans="2:12" ht="15" customHeight="1">
      <c r="B57" s="688" t="s">
        <v>943</v>
      </c>
      <c r="C57" s="177">
        <f>IF('3c. Calculateur MEÉ 2-3-4'!$G$13="Eau Chaude",C12*Hypothèses!F37,IF(C55=0,F63,D68))</f>
        <v>2773.5444668787422</v>
      </c>
      <c r="D57" s="167"/>
      <c r="E57" s="167"/>
      <c r="F57" s="167"/>
      <c r="G57" s="167"/>
      <c r="H57" s="167" t="s">
        <v>54</v>
      </c>
    </row>
    <row r="58" spans="2:12" ht="15" customHeight="1">
      <c r="B58" s="445" t="s">
        <v>87</v>
      </c>
      <c r="C58" s="177">
        <f>E63</f>
        <v>2032.4852488772453</v>
      </c>
      <c r="D58" s="167"/>
      <c r="E58" s="167"/>
      <c r="F58" s="167"/>
      <c r="G58" s="167"/>
      <c r="H58" s="167" t="s">
        <v>54</v>
      </c>
    </row>
    <row r="59" spans="2:12" ht="15" customHeight="1">
      <c r="C59" s="143"/>
    </row>
    <row r="60" spans="2:12" ht="25.5" customHeight="1">
      <c r="B60" s="150" t="s">
        <v>1892</v>
      </c>
      <c r="C60" s="9" t="s">
        <v>89</v>
      </c>
      <c r="D60" s="13" t="s">
        <v>90</v>
      </c>
      <c r="E60" s="13" t="s">
        <v>91</v>
      </c>
      <c r="F60" s="13" t="s">
        <v>92</v>
      </c>
      <c r="G60" s="13" t="s">
        <v>1894</v>
      </c>
    </row>
    <row r="61" spans="2:12" ht="15" customHeight="1">
      <c r="B61" s="155" t="s">
        <v>93</v>
      </c>
      <c r="C61" s="21">
        <f>LOOKUP(C56,'Tables vapeur'!C6:C61)</f>
        <v>748.67499999999995</v>
      </c>
      <c r="D61" s="21">
        <f>VLOOKUP(C61,'Tables vapeur'!C6:G61,3,FALSE)</f>
        <v>732.22</v>
      </c>
      <c r="E61" s="21">
        <f>VLOOKUP(C61,'Tables vapeur'!C6:G61,4,FALSE)</f>
        <v>2039.4</v>
      </c>
      <c r="F61" s="21">
        <f>VLOOKUP(C61,'Tables vapeur'!C6:G61,5,FALSE)</f>
        <v>2771.62</v>
      </c>
      <c r="G61" s="1162">
        <f>VLOOKUP(C61,'Tables vapeur'!$C$6:$G$61,2,FALSE)</f>
        <v>172.96</v>
      </c>
    </row>
    <row r="62" spans="2:12" ht="15" customHeight="1">
      <c r="B62" s="155" t="s">
        <v>94</v>
      </c>
      <c r="C62" s="21">
        <f>IF((C61-C56)=0,C56,INDEX('Tables vapeur'!C6:C61,RANK(LOOKUP(C56,'Tables vapeur'!C6:C61),'Tables vapeur'!C6:C61,1)+1))</f>
        <v>798.67499999999995</v>
      </c>
      <c r="D62" s="21">
        <f>VLOOKUP(C62,'Tables vapeur'!C6:G61,3,FALSE)</f>
        <v>742.83</v>
      </c>
      <c r="E62" s="21">
        <f>VLOOKUP(C62,'Tables vapeur'!C6:G61,4,FALSE)</f>
        <v>2031.1</v>
      </c>
      <c r="F62" s="21">
        <f>VLOOKUP(C62,'Tables vapeur'!C6:G61,5,FALSE)</f>
        <v>2773.93</v>
      </c>
      <c r="G62" s="1162">
        <f>VLOOKUP(C62,'Tables vapeur'!$C$6:$G$61,2,FALSE)</f>
        <v>175.38</v>
      </c>
    </row>
    <row r="63" spans="2:12" ht="15" customHeight="1">
      <c r="B63" s="155" t="s">
        <v>95</v>
      </c>
      <c r="C63" s="21">
        <f>C56</f>
        <v>790.33012724550895</v>
      </c>
      <c r="D63" s="21">
        <f>IF(C61=C62,D61,FORECAST(C63,D61:D62,C61:C62))</f>
        <v>741.05921800149713</v>
      </c>
      <c r="E63" s="21">
        <f>IF(C61=C62,E61,FORECAST(C63,E61:E62,C61:C62))</f>
        <v>2032.4852488772453</v>
      </c>
      <c r="F63" s="21">
        <f>IF(C61=C62,F61,FORECAST(C63,F61:F62,C61:C62))</f>
        <v>2773.5444668787422</v>
      </c>
      <c r="G63" s="1162">
        <f>IF(C61=C62,G61,FORECAST(C63,G61:G62,C61:C62))</f>
        <v>174.97610815868268</v>
      </c>
    </row>
    <row r="64" spans="2:12" ht="15" customHeight="1">
      <c r="F64" s="8"/>
    </row>
    <row r="65" spans="2:13" ht="45" customHeight="1">
      <c r="B65" s="150" t="s">
        <v>1893</v>
      </c>
      <c r="C65" s="13" t="s">
        <v>97</v>
      </c>
      <c r="D65" s="13" t="s">
        <v>98</v>
      </c>
      <c r="E65" s="142"/>
      <c r="F65" s="142"/>
    </row>
    <row r="66" spans="2:13" ht="15" customHeight="1">
      <c r="B66" s="155" t="s">
        <v>93</v>
      </c>
      <c r="C66" s="156">
        <f>LOOKUP(C56,'Tables vapeur'!M7:M34)</f>
        <v>698.67499999999995</v>
      </c>
      <c r="D66" s="156">
        <f>VLOOKUP(C66,'Tables vapeur'!M7:R34,3,FALSE)</f>
        <v>2743.043408</v>
      </c>
      <c r="E66" s="142"/>
      <c r="F66" s="142"/>
    </row>
    <row r="67" spans="2:13" ht="15" customHeight="1">
      <c r="B67" s="155" t="s">
        <v>94</v>
      </c>
      <c r="C67" s="156">
        <f>IF((C66-C56)=0,C56,INDEX('Tables vapeur'!M7:M34,RANK(LOOKUP(C56,'Tables vapeur'!M7:M34),'Tables vapeur'!M7:M34,1)+1))</f>
        <v>898.67499999999995</v>
      </c>
      <c r="D67" s="156">
        <f>VLOOKUP(C67,'Tables vapeur'!M7:R34,3,FALSE)</f>
        <v>2757.347722</v>
      </c>
      <c r="E67" s="159"/>
      <c r="F67" s="159"/>
      <c r="G67" s="159"/>
      <c r="H67" s="159"/>
    </row>
    <row r="68" spans="2:13" ht="15" customHeight="1">
      <c r="B68" s="155" t="s">
        <v>95</v>
      </c>
      <c r="C68" s="156">
        <f>C56</f>
        <v>790.33012724550895</v>
      </c>
      <c r="D68" s="156">
        <f>IF(C66=C67,D66,FORECAST(C68,D66:D67,C66:C67))</f>
        <v>2749.5987265991484</v>
      </c>
      <c r="E68" s="159"/>
      <c r="F68" s="159"/>
      <c r="G68" s="159"/>
      <c r="H68" s="159"/>
    </row>
    <row r="69" spans="2:13" ht="15" customHeight="1">
      <c r="C69"/>
    </row>
    <row r="70" spans="2:13" ht="29.25" customHeight="1">
      <c r="B70" s="150" t="s">
        <v>1891</v>
      </c>
      <c r="C70" s="9" t="s">
        <v>89</v>
      </c>
      <c r="D70" s="13" t="s">
        <v>90</v>
      </c>
      <c r="E70" s="13" t="s">
        <v>91</v>
      </c>
      <c r="F70" s="13" t="s">
        <v>92</v>
      </c>
      <c r="G70" s="13" t="s">
        <v>1894</v>
      </c>
    </row>
    <row r="71" spans="2:13" ht="15" customHeight="1">
      <c r="B71" s="157" t="s">
        <v>93</v>
      </c>
      <c r="C71" s="156">
        <f>LOOKUP(C40,'Tables vapeur'!C6:C61)</f>
        <v>148.67500000000001</v>
      </c>
      <c r="D71" s="156">
        <f>VLOOKUP(C71,'Tables vapeur'!C6:G61,3,FALSE)</f>
        <v>535.37</v>
      </c>
      <c r="E71" s="156">
        <f>VLOOKUP(C71,'Tables vapeur'!C6:G61,4,FALSE)</f>
        <v>2181.5</v>
      </c>
      <c r="F71" s="156">
        <f>VLOOKUP(C71,'Tables vapeur'!C6:G61,5,FALSE)</f>
        <v>2716.87</v>
      </c>
      <c r="G71" s="1162">
        <f>VLOOKUP(C71,'Tables vapeur'!$C$6:$G$61,2,FALSE)</f>
        <v>127.44</v>
      </c>
    </row>
    <row r="72" spans="2:13" ht="15" customHeight="1">
      <c r="B72" s="157" t="s">
        <v>94</v>
      </c>
      <c r="C72" s="156">
        <f>IF((C71-C40)=0,C40,INDEX('Tables vapeur'!C6:C61,RANK(LOOKUP(C40,'Tables vapeur'!C6:C61),'Tables vapeur'!C6:C61,1)+1))</f>
        <v>173.67500000000001</v>
      </c>
      <c r="D72" s="156">
        <f>VLOOKUP(C72,'Tables vapeur'!C6:G61,3,FALSE)</f>
        <v>548.89</v>
      </c>
      <c r="E72" s="156">
        <f>VLOOKUP(C72,'Tables vapeur'!C6:G61,4,FALSE)</f>
        <v>2172.4</v>
      </c>
      <c r="F72" s="156">
        <f>VLOOKUP(C72,'Tables vapeur'!C6:G61,5,FALSE)</f>
        <v>2721.29</v>
      </c>
      <c r="G72" s="1162">
        <f>VLOOKUP(C72,'Tables vapeur'!$C$6:$G$61,2,FALSE)</f>
        <v>130.6</v>
      </c>
      <c r="M72" s="214"/>
    </row>
    <row r="73" spans="2:13" ht="15" customHeight="1">
      <c r="B73" s="157" t="s">
        <v>95</v>
      </c>
      <c r="C73" s="156">
        <f>C40</f>
        <v>153.1</v>
      </c>
      <c r="D73" s="156">
        <f>IF(C71=C72,D71,FORECAST(C73,D71:D72,C71:C72))</f>
        <v>537.76303999999993</v>
      </c>
      <c r="E73" s="156">
        <f>IF(C71=C72,E71,FORECAST(C73,E71:E72,C71:C72))</f>
        <v>2179.8892999999998</v>
      </c>
      <c r="F73" s="156">
        <f>IF(C71=C72,F71,FORECAST(C73,F71:F72,C71:C72))</f>
        <v>2717.6523400000001</v>
      </c>
      <c r="G73" s="1162">
        <f>IF(C71=C72,G71,FORECAST(C73,G71:G72,C71:C72))</f>
        <v>127.99931999999998</v>
      </c>
    </row>
    <row r="74" spans="2:13" ht="15" customHeight="1">
      <c r="B74" s="158"/>
      <c r="C74" s="159"/>
      <c r="D74" s="159"/>
      <c r="E74" s="159"/>
      <c r="F74" s="159"/>
    </row>
    <row r="75" spans="2:13" ht="15" customHeight="1">
      <c r="B75" s="165" t="s">
        <v>12</v>
      </c>
      <c r="C75" s="174"/>
      <c r="D75" s="167"/>
      <c r="E75" s="167"/>
      <c r="F75" s="167"/>
      <c r="G75" s="167"/>
      <c r="H75" s="167"/>
    </row>
    <row r="76" spans="2:13" ht="15" customHeight="1">
      <c r="B76" s="171" t="s">
        <v>355</v>
      </c>
      <c r="C76" s="168"/>
      <c r="D76" s="179">
        <f>Combustion_Chaud1!G2</f>
        <v>0.83747950019628004</v>
      </c>
      <c r="E76" s="179">
        <f>Combustion_Chaud2!G2</f>
        <v>0.83747950019628004</v>
      </c>
      <c r="F76" s="179">
        <f>Combustion_Chaud3!G2</f>
        <v>0.83747950019628004</v>
      </c>
      <c r="G76" s="179">
        <f>Combustion_Chaud4!G2</f>
        <v>0.83747950019628004</v>
      </c>
      <c r="H76" s="167"/>
      <c r="I76" s="215" t="s">
        <v>352</v>
      </c>
    </row>
    <row r="77" spans="2:13" ht="15" customHeight="1">
      <c r="B77" s="171" t="s">
        <v>353</v>
      </c>
      <c r="C77" s="168"/>
      <c r="D77" s="180">
        <f>IF('3c. Calculateur MEÉ 2-3-4'!$G$27&lt;=Hypothèses!$C$58,Hypothèses!$D$58,'P opération brûleur - avant MEE'!E84)</f>
        <v>2.5999999999999999E-2</v>
      </c>
      <c r="E77" s="180">
        <f>IF('3c. Calculateur MEÉ 2-3-4'!$I$27&lt;=Hypothèses!$C$58,Hypothèses!$D$58,'P opération brûleur - avant MEE'!H84)</f>
        <v>2.5999999999999999E-2</v>
      </c>
      <c r="F77" s="180">
        <f>IF('3c. Calculateur MEÉ 2-3-4'!$K$27&lt;=Hypothèses!$C$58,Hypothèses!$D$58,'P opération brûleur - avant MEE'!$E$89)</f>
        <v>2.5999999999999999E-2</v>
      </c>
      <c r="G77" s="180">
        <f>IF('3c. Calculateur MEÉ 2-3-4'!$M$27&lt;=Hypothèses!$C$58,Hypothèses!$D$58,'P opération brûleur - avant MEE'!$H$89)</f>
        <v>2.5999999999999999E-2</v>
      </c>
      <c r="H77" s="167"/>
    </row>
    <row r="78" spans="2:13" ht="15" customHeight="1">
      <c r="B78" s="171" t="s">
        <v>354</v>
      </c>
      <c r="C78" s="168"/>
      <c r="D78" s="693">
        <f>D76-D77</f>
        <v>0.81147950019628001</v>
      </c>
      <c r="E78" s="693">
        <f t="shared" ref="E78:G78" si="5">E76-E77</f>
        <v>0.81147950019628001</v>
      </c>
      <c r="F78" s="693">
        <f t="shared" si="5"/>
        <v>0.81147950019628001</v>
      </c>
      <c r="G78" s="693">
        <f t="shared" si="5"/>
        <v>0.81147950019628001</v>
      </c>
      <c r="H78" s="167"/>
      <c r="I78" s="216" t="s">
        <v>13</v>
      </c>
    </row>
    <row r="79" spans="2:13" ht="15" customHeight="1">
      <c r="B79" s="158"/>
      <c r="C79" s="159"/>
      <c r="D79" s="159"/>
      <c r="E79" s="159"/>
      <c r="F79" s="159"/>
    </row>
    <row r="80" spans="2:13" ht="15" customHeight="1">
      <c r="B80" s="258"/>
      <c r="C80" s="2324" t="s">
        <v>279</v>
      </c>
      <c r="D80" s="2325"/>
      <c r="E80" s="2326"/>
      <c r="F80" s="2324" t="s">
        <v>280</v>
      </c>
      <c r="G80" s="2325"/>
      <c r="H80" s="2325"/>
    </row>
    <row r="81" spans="2:12" ht="28.5" customHeight="1">
      <c r="B81" s="150" t="s">
        <v>361</v>
      </c>
      <c r="C81" s="249" t="s">
        <v>364</v>
      </c>
      <c r="D81" s="13" t="s">
        <v>365</v>
      </c>
      <c r="E81" s="252" t="s">
        <v>366</v>
      </c>
      <c r="F81" s="249" t="s">
        <v>364</v>
      </c>
      <c r="G81" s="13" t="s">
        <v>365</v>
      </c>
      <c r="H81" s="13" t="s">
        <v>366</v>
      </c>
    </row>
    <row r="82" spans="2:12" ht="15" customHeight="1">
      <c r="B82" s="157" t="s">
        <v>951</v>
      </c>
      <c r="C82" s="250" t="e">
        <f>LOOKUP(C84,Hypothèses!$C$58:$C$82)</f>
        <v>#N/A</v>
      </c>
      <c r="D82" s="248" t="e">
        <f>LOOKUP(C82,Hypothèses!$C$58:$C$82,Hypothèses!$D$58:$D$82)</f>
        <v>#N/A</v>
      </c>
      <c r="E82" s="253" t="e">
        <f>D82/'3c. Calculateur MEÉ 2-3-4'!$G$32</f>
        <v>#N/A</v>
      </c>
      <c r="F82" s="250" t="e">
        <f>LOOKUP(F84,Hypothèses!$C$58:$C$82)</f>
        <v>#N/A</v>
      </c>
      <c r="G82" s="248" t="e">
        <f>LOOKUP(F82,Hypothèses!$C$58:$C$82,Hypothèses!$D$58:$D$82)</f>
        <v>#N/A</v>
      </c>
      <c r="H82" s="248" t="e">
        <f>G82/'3c. Calculateur MEÉ 2-3-4'!$I$32</f>
        <v>#N/A</v>
      </c>
      <c r="I82" s="260"/>
    </row>
    <row r="83" spans="2:12" ht="15" customHeight="1">
      <c r="B83" s="157" t="s">
        <v>952</v>
      </c>
      <c r="C83" s="250" t="e">
        <f>IF((C82-C84)=0,C84,INDEX(Hypothèses!$C$58:$C$82,RANK(LOOKUP(C84,Hypothèses!$C$58:$C$82),Hypothèses!$C$58:$C$82,1)+1))</f>
        <v>#N/A</v>
      </c>
      <c r="D83" s="248" t="e">
        <f>LOOKUP(C83,Hypothèses!$C$58:$C$82,Hypothèses!$D$58:$D$82)</f>
        <v>#N/A</v>
      </c>
      <c r="E83" s="253" t="e">
        <f>D83/'3c. Calculateur MEÉ 2-3-4'!$G$32</f>
        <v>#N/A</v>
      </c>
      <c r="F83" s="250" t="e">
        <f>IF((F82-F84)=0,F84,INDEX(Hypothèses!$C$58:$C$82,RANK(LOOKUP(F84,Hypothèses!$C$58:$C$82),Hypothèses!$C$58:$C$82,1)+1))</f>
        <v>#N/A</v>
      </c>
      <c r="G83" s="248" t="e">
        <f>LOOKUP(F83,Hypothèses!$C$58:$C$82,Hypothèses!$D$58:$D$82)</f>
        <v>#N/A</v>
      </c>
      <c r="H83" s="248" t="e">
        <f>G83/'3c. Calculateur MEÉ 2-3-4'!$I$32</f>
        <v>#N/A</v>
      </c>
    </row>
    <row r="84" spans="2:12" ht="15" customHeight="1" thickBot="1">
      <c r="B84" s="157" t="s">
        <v>95</v>
      </c>
      <c r="C84" s="257">
        <f>'3c. Calculateur MEÉ 2-3-4'!$G$27</f>
        <v>0</v>
      </c>
      <c r="D84" s="255" t="e">
        <f>LOOKUP(C84,Hypothèses!$C$58:$C$82,Hypothèses!$D$58:$D$82)</f>
        <v>#N/A</v>
      </c>
      <c r="E84" s="256" t="e">
        <f>D84/'3c. Calculateur MEÉ 2-3-4'!$G$32</f>
        <v>#N/A</v>
      </c>
      <c r="F84" s="257">
        <f>'3c. Calculateur MEÉ 2-3-4'!$I$27</f>
        <v>0</v>
      </c>
      <c r="G84" s="255" t="e">
        <f>LOOKUP(F84,Hypothèses!$C$58:$C$82,Hypothèses!$D$58:$D$82)</f>
        <v>#N/A</v>
      </c>
      <c r="H84" s="259" t="e">
        <f>G84/'3c. Calculateur MEÉ 2-3-4'!$I$32</f>
        <v>#N/A</v>
      </c>
    </row>
    <row r="85" spans="2:12" ht="15" customHeight="1" thickTop="1">
      <c r="B85" s="258"/>
      <c r="C85" s="2321" t="s">
        <v>281</v>
      </c>
      <c r="D85" s="2322"/>
      <c r="E85" s="2323"/>
      <c r="F85" s="2321" t="s">
        <v>282</v>
      </c>
      <c r="G85" s="2322"/>
      <c r="H85" s="2322"/>
    </row>
    <row r="86" spans="2:12" ht="28.5" customHeight="1">
      <c r="B86" s="150" t="s">
        <v>361</v>
      </c>
      <c r="C86" s="249" t="s">
        <v>364</v>
      </c>
      <c r="D86" s="13" t="s">
        <v>365</v>
      </c>
      <c r="E86" s="252" t="s">
        <v>366</v>
      </c>
      <c r="F86" s="249" t="s">
        <v>364</v>
      </c>
      <c r="G86" s="13" t="s">
        <v>365</v>
      </c>
      <c r="H86" s="13" t="s">
        <v>366</v>
      </c>
    </row>
    <row r="87" spans="2:12" ht="15" customHeight="1">
      <c r="B87" s="157" t="s">
        <v>953</v>
      </c>
      <c r="C87" s="250" t="e">
        <f>LOOKUP(C89,Hypothèses!$C$58:$C$82)</f>
        <v>#N/A</v>
      </c>
      <c r="D87" s="248" t="e">
        <f>LOOKUP(C87,Hypothèses!$C$58:$C$82,Hypothèses!$D$58:$D$82)</f>
        <v>#N/A</v>
      </c>
      <c r="E87" s="253" t="e">
        <f>D87/'3c. Calculateur MEÉ 2-3-4'!$K$32</f>
        <v>#N/A</v>
      </c>
      <c r="F87" s="250" t="e">
        <f>LOOKUP(F89,Hypothèses!$C$58:$C$82)</f>
        <v>#N/A</v>
      </c>
      <c r="G87" s="248" t="e">
        <f>LOOKUP(F87,Hypothèses!$C$58:$C$82,Hypothèses!$D$58:$D$82)</f>
        <v>#N/A</v>
      </c>
      <c r="H87" s="248" t="e">
        <f>G87/'3c. Calculateur MEÉ 2-3-4'!$M$32</f>
        <v>#N/A</v>
      </c>
    </row>
    <row r="88" spans="2:12" ht="15" customHeight="1">
      <c r="B88" s="157" t="s">
        <v>952</v>
      </c>
      <c r="C88" s="250" t="e">
        <f>IF((C87-C89)=0,C89,INDEX(Hypothèses!$C$58:$C$82,RANK(LOOKUP(C89,Hypothèses!$C$58:$C$82),Hypothèses!$C$58:$C$82,1)+1))</f>
        <v>#N/A</v>
      </c>
      <c r="D88" s="248" t="e">
        <f>LOOKUP(C88,Hypothèses!$C$58:$C$82,Hypothèses!$D$58:$D$82)</f>
        <v>#N/A</v>
      </c>
      <c r="E88" s="253" t="e">
        <f>D88/'3c. Calculateur MEÉ 2-3-4'!$K$32</f>
        <v>#N/A</v>
      </c>
      <c r="F88" s="250" t="e">
        <f>IF((F87-F89)=0,F89,INDEX(Hypothèses!$C$58:$C$82,RANK(LOOKUP(F89,Hypothèses!$C$58:$C$82),Hypothèses!$C$58:$C$82,1)+1))</f>
        <v>#N/A</v>
      </c>
      <c r="G88" s="248" t="e">
        <f>LOOKUP(F88,Hypothèses!$C$58:$C$82,Hypothèses!$D$58:$D$82)</f>
        <v>#N/A</v>
      </c>
      <c r="H88" s="248" t="e">
        <f>G88/'3c. Calculateur MEÉ 2-3-4'!$M$32</f>
        <v>#N/A</v>
      </c>
    </row>
    <row r="89" spans="2:12" ht="15" customHeight="1">
      <c r="B89" s="157" t="s">
        <v>95</v>
      </c>
      <c r="C89" s="250">
        <f>'3c. Calculateur MEÉ 2-3-4'!$K$27</f>
        <v>0</v>
      </c>
      <c r="D89" s="248" t="e">
        <f>LOOKUP(C89,Hypothèses!$C$58:$C$82,Hypothèses!$D$58:$D$82)</f>
        <v>#N/A</v>
      </c>
      <c r="E89" s="254" t="e">
        <f>D89/'3c. Calculateur MEÉ 2-3-4'!$K$32</f>
        <v>#N/A</v>
      </c>
      <c r="F89" s="250">
        <f>'3c. Calculateur MEÉ 2-3-4'!$M$27</f>
        <v>0</v>
      </c>
      <c r="G89" s="248" t="e">
        <f>LOOKUP(F89,Hypothèses!$C$58:$C$82,Hypothèses!$D$58:$D$82)</f>
        <v>#N/A</v>
      </c>
      <c r="H89" s="251" t="e">
        <f>G89/'3c. Calculateur MEÉ 2-3-4'!$M$32</f>
        <v>#N/A</v>
      </c>
    </row>
    <row r="90" spans="2:12" ht="15" customHeight="1">
      <c r="B90" s="158"/>
      <c r="C90" s="159"/>
      <c r="D90" s="159"/>
      <c r="E90" s="159"/>
      <c r="F90" s="159"/>
    </row>
    <row r="91" spans="2:12" ht="15" customHeight="1">
      <c r="B91" s="165"/>
      <c r="C91" s="166" t="s">
        <v>46</v>
      </c>
      <c r="D91" s="166" t="s">
        <v>1</v>
      </c>
      <c r="E91" s="166" t="s">
        <v>2</v>
      </c>
      <c r="F91" s="166" t="s">
        <v>3</v>
      </c>
      <c r="G91" s="166" t="s">
        <v>4</v>
      </c>
      <c r="H91" s="165" t="s">
        <v>47</v>
      </c>
    </row>
    <row r="92" spans="2:12" ht="15" customHeight="1">
      <c r="B92" s="4"/>
      <c r="C92" s="161"/>
      <c r="D92" s="161"/>
      <c r="E92" s="161"/>
      <c r="F92" s="161"/>
      <c r="G92" s="161"/>
      <c r="H92" s="4"/>
    </row>
    <row r="93" spans="2:12" ht="15" customHeight="1">
      <c r="B93" s="165" t="s">
        <v>100</v>
      </c>
      <c r="C93" s="167"/>
      <c r="D93" s="167"/>
      <c r="E93" s="167"/>
      <c r="F93" s="167"/>
      <c r="G93" s="167"/>
      <c r="H93" s="167"/>
    </row>
    <row r="94" spans="2:12" ht="18">
      <c r="B94" s="167" t="s">
        <v>101</v>
      </c>
      <c r="C94" s="168"/>
      <c r="D94" s="232">
        <f>D52</f>
        <v>0</v>
      </c>
      <c r="E94" s="232">
        <f>E52</f>
        <v>0</v>
      </c>
      <c r="F94" s="232">
        <f>F52</f>
        <v>0</v>
      </c>
      <c r="G94" s="232">
        <f>G52</f>
        <v>0</v>
      </c>
      <c r="H94" s="184" t="s">
        <v>5</v>
      </c>
      <c r="J94" s="140"/>
    </row>
    <row r="95" spans="2:12" ht="18">
      <c r="B95" s="167" t="s">
        <v>102</v>
      </c>
      <c r="C95" s="168"/>
      <c r="D95" s="231">
        <f>D37</f>
        <v>0</v>
      </c>
      <c r="E95" s="231">
        <f>E37</f>
        <v>0</v>
      </c>
      <c r="F95" s="231">
        <f>F37</f>
        <v>0</v>
      </c>
      <c r="G95" s="231">
        <f>G37</f>
        <v>0</v>
      </c>
      <c r="H95" s="184" t="s">
        <v>5</v>
      </c>
      <c r="J95" s="140"/>
      <c r="L95" s="139"/>
    </row>
    <row r="96" spans="2:12" ht="18">
      <c r="B96" s="167" t="s">
        <v>103</v>
      </c>
      <c r="C96" s="231"/>
      <c r="D96" s="231">
        <f>D45</f>
        <v>0</v>
      </c>
      <c r="E96" s="231">
        <f>E45</f>
        <v>0</v>
      </c>
      <c r="F96" s="231">
        <f>F45</f>
        <v>0</v>
      </c>
      <c r="G96" s="231">
        <f>G45</f>
        <v>0</v>
      </c>
      <c r="H96" s="184" t="s">
        <v>5</v>
      </c>
      <c r="J96" s="140"/>
      <c r="L96" s="139"/>
    </row>
    <row r="97" spans="2:12" ht="18">
      <c r="B97" s="167" t="s">
        <v>104</v>
      </c>
      <c r="C97" s="168"/>
      <c r="D97" s="232">
        <f>D29</f>
        <v>0</v>
      </c>
      <c r="E97" s="232">
        <f>E29</f>
        <v>0</v>
      </c>
      <c r="F97" s="232">
        <f>F29</f>
        <v>0</v>
      </c>
      <c r="G97" s="232">
        <f>G29</f>
        <v>0</v>
      </c>
      <c r="H97" s="184" t="s">
        <v>5</v>
      </c>
      <c r="J97" s="140"/>
      <c r="L97" s="139"/>
    </row>
    <row r="98" spans="2:12" ht="18">
      <c r="B98" s="165" t="s">
        <v>105</v>
      </c>
      <c r="C98" s="168"/>
      <c r="D98" s="233">
        <f>D94+D95+D96-D97</f>
        <v>0</v>
      </c>
      <c r="E98" s="233">
        <f t="shared" ref="E98:F98" si="6">E94+E95+E96-E97</f>
        <v>0</v>
      </c>
      <c r="F98" s="233">
        <f t="shared" si="6"/>
        <v>0</v>
      </c>
      <c r="G98" s="233">
        <f>G94+G95+G96-G97</f>
        <v>0</v>
      </c>
      <c r="H98" s="184" t="s">
        <v>5</v>
      </c>
      <c r="I98" s="148" t="s">
        <v>106</v>
      </c>
    </row>
    <row r="99" spans="2:12">
      <c r="B99" s="165"/>
      <c r="C99" s="168"/>
      <c r="D99" s="232">
        <f>D98*'Facteurs conversion'!$C$10</f>
        <v>0</v>
      </c>
      <c r="E99" s="232">
        <f>E98*'Facteurs conversion'!$C$10</f>
        <v>0</v>
      </c>
      <c r="F99" s="232">
        <f>F98*'Facteurs conversion'!$C$10</f>
        <v>0</v>
      </c>
      <c r="G99" s="232">
        <f>G98*'Facteurs conversion'!$C$10</f>
        <v>0</v>
      </c>
      <c r="H99" s="184" t="s">
        <v>10</v>
      </c>
    </row>
    <row r="100" spans="2:12" ht="18">
      <c r="B100" s="165" t="s">
        <v>107</v>
      </c>
      <c r="C100" s="168"/>
      <c r="D100" s="233">
        <f>D98/D78</f>
        <v>0</v>
      </c>
      <c r="E100" s="233">
        <f t="shared" ref="E100:G100" si="7">E98/E78</f>
        <v>0</v>
      </c>
      <c r="F100" s="233">
        <f t="shared" si="7"/>
        <v>0</v>
      </c>
      <c r="G100" s="233">
        <f t="shared" si="7"/>
        <v>0</v>
      </c>
      <c r="H100" s="184" t="s">
        <v>108</v>
      </c>
    </row>
    <row r="101" spans="2:12">
      <c r="B101" s="165"/>
      <c r="C101" s="168"/>
      <c r="D101" s="231">
        <f>D100*'Facteurs conversion'!$C$10</f>
        <v>0</v>
      </c>
      <c r="E101" s="231">
        <f>E100*'Facteurs conversion'!$C$10</f>
        <v>0</v>
      </c>
      <c r="F101" s="231">
        <f>F100*'Facteurs conversion'!$C$10</f>
        <v>0</v>
      </c>
      <c r="G101" s="231">
        <f>G100*'Facteurs conversion'!$C$10</f>
        <v>0</v>
      </c>
      <c r="H101" s="184" t="s">
        <v>10</v>
      </c>
    </row>
    <row r="102" spans="2:12">
      <c r="B102" s="165"/>
      <c r="C102" s="168"/>
      <c r="D102" s="231">
        <f>D101*10^6/'Facteurs conversion'!$C$11</f>
        <v>0</v>
      </c>
      <c r="E102" s="231">
        <f>E101*10^6/'Facteurs conversion'!$C$11</f>
        <v>0</v>
      </c>
      <c r="F102" s="231">
        <f>F101*10^6/'Facteurs conversion'!$C$11</f>
        <v>0</v>
      </c>
      <c r="G102" s="231">
        <f>G101*10^6/'Facteurs conversion'!$C$11</f>
        <v>0</v>
      </c>
      <c r="H102" s="184" t="s">
        <v>109</v>
      </c>
    </row>
    <row r="103" spans="2:12">
      <c r="B103" s="4"/>
      <c r="C103" s="143"/>
      <c r="D103" s="276"/>
      <c r="E103" s="2"/>
      <c r="F103" s="2"/>
      <c r="G103" s="2"/>
      <c r="H103" s="2"/>
    </row>
    <row r="104" spans="2:12">
      <c r="D104" s="228"/>
      <c r="G104" s="2"/>
    </row>
    <row r="105" spans="2:12">
      <c r="H105" s="2"/>
    </row>
    <row r="106" spans="2:12">
      <c r="D106" s="160"/>
      <c r="E106" s="160"/>
      <c r="F106" s="160"/>
      <c r="G106" s="160"/>
    </row>
    <row r="107" spans="2:12">
      <c r="D107" s="278"/>
    </row>
  </sheetData>
  <mergeCells count="5">
    <mergeCell ref="C85:E85"/>
    <mergeCell ref="F85:H85"/>
    <mergeCell ref="B1:H1"/>
    <mergeCell ref="C80:E80"/>
    <mergeCell ref="F80:H80"/>
  </mergeCells>
  <conditionalFormatting sqref="D3:G3">
    <cfRule type="cellIs" dxfId="6" priority="1" operator="equal">
      <formula>"nok"</formula>
    </cfRule>
  </conditionalFormatting>
  <pageMargins left="0.7" right="0.7" top="0.75" bottom="0.75" header="0.3" footer="0.3"/>
  <pageSetup orientation="portrait" horizontalDpi="4294967293" verticalDpi="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1">
    <tabColor rgb="FF00B050"/>
  </sheetPr>
  <dimension ref="A1:N207"/>
  <sheetViews>
    <sheetView workbookViewId="0"/>
  </sheetViews>
  <sheetFormatPr baseColWidth="10" defaultColWidth="11.42578125" defaultRowHeight="15"/>
  <cols>
    <col min="1" max="1" width="12" customWidth="1"/>
    <col min="2" max="2" width="85.85546875" customWidth="1"/>
    <col min="3" max="3" width="22.5703125" style="142" customWidth="1"/>
    <col min="4" max="6" width="14" customWidth="1"/>
    <col min="7" max="10" width="17" customWidth="1"/>
    <col min="11" max="11" width="11.42578125" customWidth="1"/>
    <col min="13" max="13" width="18.42578125" customWidth="1"/>
    <col min="14" max="14" width="27" customWidth="1"/>
    <col min="15" max="15" width="16.5703125" customWidth="1"/>
    <col min="17" max="17" width="11.42578125" customWidth="1"/>
  </cols>
  <sheetData>
    <row r="1" spans="2:14">
      <c r="B1" s="2307" t="s">
        <v>401</v>
      </c>
      <c r="C1" s="2307"/>
      <c r="D1" s="2307"/>
      <c r="E1" s="2307"/>
      <c r="F1" s="2307"/>
      <c r="G1" s="2307"/>
      <c r="H1" s="2307"/>
    </row>
    <row r="2" spans="2:14" ht="15" customHeight="1">
      <c r="B2" s="5" t="s">
        <v>45</v>
      </c>
      <c r="C2" s="145"/>
      <c r="D2" s="6"/>
      <c r="E2" s="6"/>
      <c r="F2" s="6"/>
      <c r="G2" s="6"/>
      <c r="H2" s="6"/>
    </row>
    <row r="3" spans="2:14" ht="15" customHeight="1">
      <c r="B3" s="218" t="s">
        <v>348</v>
      </c>
      <c r="C3" s="142" t="e">
        <f>IF(AND(C188=TRUE,D188=TRUE,E188=TRUE,F188=TRUE,G188=TRUE),"OK","NOK")</f>
        <v>#DIV/0!</v>
      </c>
      <c r="D3" s="866"/>
      <c r="E3" s="866"/>
      <c r="F3" s="866"/>
      <c r="G3" s="866"/>
    </row>
    <row r="4" spans="2:14" ht="15" customHeight="1">
      <c r="B4" s="165"/>
      <c r="C4" s="166" t="s">
        <v>46</v>
      </c>
      <c r="D4" s="166" t="s">
        <v>1</v>
      </c>
      <c r="E4" s="166" t="s">
        <v>2</v>
      </c>
      <c r="F4" s="166" t="s">
        <v>3</v>
      </c>
      <c r="G4" s="166" t="s">
        <v>4</v>
      </c>
      <c r="H4" s="165" t="s">
        <v>47</v>
      </c>
      <c r="I4" s="142"/>
      <c r="K4" s="148" t="s">
        <v>510</v>
      </c>
      <c r="L4" s="148"/>
      <c r="M4" s="148"/>
      <c r="N4" s="148"/>
    </row>
    <row r="5" spans="2:14" ht="15" customHeight="1">
      <c r="C5"/>
      <c r="J5" s="218">
        <v>0</v>
      </c>
      <c r="K5" s="443" t="s">
        <v>15</v>
      </c>
      <c r="L5" s="443">
        <v>0</v>
      </c>
      <c r="M5" s="443" t="s">
        <v>15</v>
      </c>
      <c r="N5" s="443">
        <v>0</v>
      </c>
    </row>
    <row r="6" spans="2:14" ht="15" customHeight="1">
      <c r="B6" s="165" t="s">
        <v>402</v>
      </c>
      <c r="C6" s="165"/>
      <c r="D6" s="166"/>
      <c r="E6" s="166"/>
      <c r="F6" s="166"/>
      <c r="G6" s="166"/>
      <c r="H6" s="165"/>
      <c r="J6" s="218" t="s">
        <v>670</v>
      </c>
      <c r="K6" s="443" t="s">
        <v>516</v>
      </c>
      <c r="L6" s="443">
        <v>1</v>
      </c>
      <c r="M6" s="443" t="s">
        <v>512</v>
      </c>
      <c r="N6" s="443">
        <v>1</v>
      </c>
    </row>
    <row r="7" spans="2:14" ht="24.75" customHeight="1">
      <c r="B7" s="167" t="s">
        <v>411</v>
      </c>
      <c r="C7" s="165"/>
      <c r="D7" s="446" t="str">
        <f>'3c. Calculateur MEÉ 2-3-4'!G68</f>
        <v>&lt; sélectionner &gt;</v>
      </c>
      <c r="E7" s="446" t="str">
        <f>'3c. Calculateur MEÉ 2-3-4'!I68</f>
        <v>&lt; sélectionner &gt;</v>
      </c>
      <c r="F7" s="446" t="str">
        <f>'3c. Calculateur MEÉ 2-3-4'!K68</f>
        <v>&lt; sélectionner &gt;</v>
      </c>
      <c r="G7" s="446" t="str">
        <f>'3c. Calculateur MEÉ 2-3-4'!M68</f>
        <v>&lt; sélectionner &gt;</v>
      </c>
      <c r="H7" s="165"/>
      <c r="J7" s="218" t="s">
        <v>1309</v>
      </c>
      <c r="K7" s="443" t="s">
        <v>517</v>
      </c>
      <c r="L7" s="443">
        <v>2</v>
      </c>
      <c r="M7" s="443" t="s">
        <v>513</v>
      </c>
      <c r="N7" s="443">
        <v>2</v>
      </c>
    </row>
    <row r="8" spans="2:14" ht="15" customHeight="1">
      <c r="B8" s="308" t="s">
        <v>1311</v>
      </c>
      <c r="C8" s="168"/>
      <c r="D8" s="307">
        <f>IF(LOOKUP(D7,$M$5:$M$10,$N$5:$N$10)=0,LOOKUP(D7,$K$5:$K$11,$J$5:$J$11),LOOKUP(D7,$M$5:$M$10,$N$5:$N$10))</f>
        <v>0</v>
      </c>
      <c r="E8" s="307">
        <f t="shared" ref="E8:G8" si="0">IF(LOOKUP(E7,$M$5:$M$10,$N$5:$N$10)=0,LOOKUP(E7,$K$5:$K$11,$J$5:$J$11),LOOKUP(E7,$M$5:$M$10,$N$5:$N$10))</f>
        <v>0</v>
      </c>
      <c r="F8" s="307">
        <f t="shared" si="0"/>
        <v>0</v>
      </c>
      <c r="G8" s="307">
        <f t="shared" si="0"/>
        <v>0</v>
      </c>
      <c r="H8" s="167"/>
      <c r="J8" s="218" t="s">
        <v>678</v>
      </c>
      <c r="K8" s="443" t="s">
        <v>518</v>
      </c>
      <c r="L8" s="443">
        <v>3</v>
      </c>
      <c r="M8" s="443" t="s">
        <v>514</v>
      </c>
      <c r="N8" s="443">
        <v>3</v>
      </c>
    </row>
    <row r="9" spans="2:14" ht="15" customHeight="1">
      <c r="B9" s="308" t="s">
        <v>310</v>
      </c>
      <c r="C9"/>
      <c r="D9" s="307">
        <f>LOOKUP(D7,$K$5:$K$11,$L$5:$L$11)</f>
        <v>0</v>
      </c>
      <c r="E9" s="307">
        <f>LOOKUP(E7,$K$5:$K$11,$L$5:$L$11)</f>
        <v>0</v>
      </c>
      <c r="F9" s="307">
        <f>LOOKUP(F7,$K$5:$K$11,$L$5:$L$11)</f>
        <v>0</v>
      </c>
      <c r="G9" s="307">
        <f>LOOKUP(G7,$K$5:$K$11,$L$5:$L$11)</f>
        <v>0</v>
      </c>
      <c r="H9" s="167"/>
      <c r="J9" s="218" t="s">
        <v>740</v>
      </c>
      <c r="K9" s="443" t="s">
        <v>519</v>
      </c>
      <c r="L9" s="443">
        <v>4</v>
      </c>
      <c r="M9" s="443" t="s">
        <v>515</v>
      </c>
      <c r="N9" s="443">
        <v>4</v>
      </c>
    </row>
    <row r="10" spans="2:14" ht="15" customHeight="1">
      <c r="B10" s="870" t="s">
        <v>1303</v>
      </c>
      <c r="C10"/>
      <c r="D10" s="869" t="str">
        <f>'3c. Calculateur MEÉ 2-3-4'!$G$75</f>
        <v>&lt; sélectionner &gt;</v>
      </c>
      <c r="E10" s="869" t="str">
        <f>'3c. Calculateur MEÉ 2-3-4'!$I$75</f>
        <v>&lt; sélectionner &gt;</v>
      </c>
      <c r="F10" s="869" t="str">
        <f>'3c. Calculateur MEÉ 2-3-4'!$K$75</f>
        <v>&lt; sélectionner &gt;</v>
      </c>
      <c r="G10" s="869" t="str">
        <f>'3c. Calculateur MEÉ 2-3-4'!$M$75</f>
        <v>&lt; sélectionner &gt;</v>
      </c>
      <c r="H10" s="167"/>
      <c r="J10" s="218">
        <v>0</v>
      </c>
      <c r="K10" s="444" t="s">
        <v>520</v>
      </c>
      <c r="L10" s="444">
        <v>0</v>
      </c>
      <c r="M10" s="443" t="s">
        <v>337</v>
      </c>
      <c r="N10" s="443">
        <v>0</v>
      </c>
    </row>
    <row r="11" spans="2:14" ht="28.5" customHeight="1">
      <c r="B11" s="167" t="s">
        <v>1305</v>
      </c>
      <c r="C11" s="168"/>
      <c r="D11" s="446" t="str">
        <f>'3c. Calculateur MEÉ 2-3-4'!G87</f>
        <v>&lt; sélectionner &gt;</v>
      </c>
      <c r="E11" s="446" t="str">
        <f>'3c. Calculateur MEÉ 2-3-4'!I87</f>
        <v>&lt; sélectionner &gt;</v>
      </c>
      <c r="F11" s="446" t="str">
        <f>'3c. Calculateur MEÉ 2-3-4'!K87</f>
        <v>&lt; sélectionner &gt;</v>
      </c>
      <c r="G11" s="446" t="str">
        <f>'3c. Calculateur MEÉ 2-3-4'!M87</f>
        <v>&lt; sélectionner &gt;</v>
      </c>
      <c r="H11" s="167"/>
      <c r="J11" s="218">
        <v>0</v>
      </c>
      <c r="K11" s="443" t="s">
        <v>337</v>
      </c>
      <c r="L11" s="443">
        <v>0</v>
      </c>
      <c r="M11" s="443"/>
      <c r="N11" s="443"/>
    </row>
    <row r="12" spans="2:14" ht="15" customHeight="1">
      <c r="B12" s="167"/>
      <c r="C12" s="168"/>
      <c r="D12" s="307">
        <f>IF(LOOKUP(D11,$M$5:$M$10,$N$5:$N$10)=0,LOOKUP(D11,$K$5:$K$11,$J$5:$J$11),LOOKUP(D11,$M$5:$M$10,$N$5:$N$10))</f>
        <v>0</v>
      </c>
      <c r="E12" s="307">
        <f>IF(LOOKUP(E11,$M$5:$M$10,$N$5:$N$10)=0,LOOKUP(E11,$K$5:$K$11,$J$5:$J$11),LOOKUP(E11,$M$5:$M$10,$N$5:$N$10))</f>
        <v>0</v>
      </c>
      <c r="F12" s="307">
        <f>IF(LOOKUP(F11,$M$5:$M$10,$N$5:$N$10)=0,LOOKUP(F11,$K$5:$K$11,$J$5:$J$11),LOOKUP(F11,$M$5:$M$10,$N$5:$N$10))</f>
        <v>0</v>
      </c>
      <c r="G12" s="307">
        <f>IF(LOOKUP(G11,$M$5:$M$10,$N$5:$N$10)=0,LOOKUP(G11,$K$5:$K$11,$J$5:$J$11),LOOKUP(G11,$M$5:$M$10,$N$5:$N$10))</f>
        <v>0</v>
      </c>
      <c r="H12" s="167"/>
      <c r="J12" s="218"/>
    </row>
    <row r="13" spans="2:14" ht="38.25" customHeight="1">
      <c r="B13" t="s">
        <v>565</v>
      </c>
      <c r="C13" s="161"/>
      <c r="D13" s="446" t="str">
        <f>'3c. Calculateur MEÉ 2-3-4'!G94</f>
        <v>&lt; sélectionner &gt;</v>
      </c>
      <c r="E13" s="446" t="str">
        <f>'3c. Calculateur MEÉ 2-3-4'!I94</f>
        <v>&lt; sélectionner &gt;</v>
      </c>
      <c r="F13" s="446" t="str">
        <f>'3c. Calculateur MEÉ 2-3-4'!K94</f>
        <v>&lt; sélectionner &gt;</v>
      </c>
      <c r="G13" s="446" t="str">
        <f>'3c. Calculateur MEÉ 2-3-4'!M94</f>
        <v>&lt; sélectionner &gt;</v>
      </c>
      <c r="H13" s="167"/>
      <c r="K13" s="148"/>
      <c r="L13" s="148"/>
      <c r="M13" s="148"/>
      <c r="N13" s="148"/>
    </row>
    <row r="14" spans="2:14" ht="15" customHeight="1">
      <c r="C14" s="165"/>
      <c r="D14" s="455">
        <f>IF(D13&lt;&gt;$K$5,1,0)</f>
        <v>0</v>
      </c>
      <c r="E14" s="455">
        <f>IF(E13&lt;&gt;$K$5,1,0)</f>
        <v>0</v>
      </c>
      <c r="F14" s="455">
        <f>IF(F13&lt;&gt;$K$5,1,0)</f>
        <v>0</v>
      </c>
      <c r="G14" s="455">
        <f>IF(G13&lt;&gt;$K$5,1,0)</f>
        <v>0</v>
      </c>
      <c r="H14" s="165"/>
    </row>
    <row r="15" spans="2:14" ht="15" customHeight="1">
      <c r="B15" s="167"/>
      <c r="C15" s="165"/>
      <c r="D15" s="166"/>
      <c r="E15" s="166"/>
      <c r="F15" s="166"/>
      <c r="G15" s="166"/>
      <c r="H15" s="165"/>
    </row>
    <row r="16" spans="2:14" ht="15" customHeight="1">
      <c r="C16"/>
    </row>
    <row r="17" spans="2:10" ht="15" customHeight="1">
      <c r="B17" s="165" t="s">
        <v>346</v>
      </c>
      <c r="C17" s="165"/>
      <c r="D17" s="166"/>
      <c r="E17" s="166"/>
      <c r="F17" s="166"/>
      <c r="G17" s="166"/>
      <c r="H17" s="165"/>
    </row>
    <row r="18" spans="2:10" ht="15" customHeight="1">
      <c r="B18" s="167" t="s">
        <v>345</v>
      </c>
      <c r="C18" s="177">
        <f>'3c. Calculateur MEÉ 2-3-4'!G30+'3c. Calculateur MEÉ 2-3-4'!I30+'3c. Calculateur MEÉ 2-3-4'!K30+'3c. Calculateur MEÉ 2-3-4'!M30</f>
        <v>0</v>
      </c>
      <c r="D18" s="235"/>
      <c r="E18" s="168"/>
      <c r="F18" s="168"/>
      <c r="G18" s="168"/>
      <c r="H18" s="167" t="s">
        <v>5</v>
      </c>
    </row>
    <row r="19" spans="2:10" ht="15" customHeight="1">
      <c r="B19" s="167" t="s">
        <v>368</v>
      </c>
      <c r="C19" s="168"/>
      <c r="D19" s="236" t="e">
        <f>'3c. Calculateur MEÉ 2-3-4'!G30/'P opération brûleur - avant MEE'!$C$7</f>
        <v>#DIV/0!</v>
      </c>
      <c r="E19" s="236" t="e">
        <f>'3c. Calculateur MEÉ 2-3-4'!I30/'P opération brûleur - avant MEE'!$C$7</f>
        <v>#DIV/0!</v>
      </c>
      <c r="F19" s="236" t="e">
        <f>'3c. Calculateur MEÉ 2-3-4'!K30/'P opération brûleur - avant MEE'!$C$7</f>
        <v>#DIV/0!</v>
      </c>
      <c r="G19" s="236" t="e">
        <f>'3c. Calculateur MEÉ 2-3-4'!M30/'P opération brûleur - avant MEE'!$C$7</f>
        <v>#DIV/0!</v>
      </c>
      <c r="H19" s="167"/>
    </row>
    <row r="20" spans="2:10" ht="15" customHeight="1">
      <c r="B20" s="240"/>
      <c r="C20" s="168"/>
      <c r="D20" s="167"/>
      <c r="E20" s="167"/>
      <c r="F20" s="167"/>
      <c r="G20" s="167"/>
      <c r="H20" s="193"/>
    </row>
    <row r="21" spans="2:10" ht="15" customHeight="1">
      <c r="B21" s="165" t="s">
        <v>66</v>
      </c>
      <c r="C21" s="168"/>
      <c r="D21" s="167"/>
      <c r="E21" s="167"/>
      <c r="F21" s="167"/>
      <c r="G21" s="167"/>
      <c r="H21" s="167"/>
    </row>
    <row r="22" spans="2:10" ht="15" customHeight="1">
      <c r="B22" s="265" t="s">
        <v>405</v>
      </c>
      <c r="C22" s="263">
        <f>Hypothèses!D28</f>
        <v>10.889082170509718</v>
      </c>
      <c r="D22" s="265"/>
      <c r="E22" s="265"/>
      <c r="F22" s="265"/>
      <c r="G22" s="265"/>
      <c r="H22" s="265" t="s">
        <v>16</v>
      </c>
    </row>
    <row r="23" spans="2:10" ht="15" customHeight="1">
      <c r="B23" s="262" t="s">
        <v>406</v>
      </c>
      <c r="C23" s="266">
        <f>4.18*(C22)</f>
        <v>45.516363472730617</v>
      </c>
      <c r="D23" s="265"/>
      <c r="E23" s="265"/>
      <c r="F23" s="265"/>
      <c r="G23" s="265"/>
      <c r="H23" s="265" t="s">
        <v>54</v>
      </c>
    </row>
    <row r="24" spans="2:10" ht="15" customHeight="1">
      <c r="B24" s="262" t="s">
        <v>407</v>
      </c>
      <c r="C24" s="264">
        <f>C37*(1-C32)</f>
        <v>0</v>
      </c>
      <c r="D24" s="265"/>
      <c r="E24" s="265"/>
      <c r="F24" s="265"/>
      <c r="G24" s="265"/>
      <c r="H24" s="265" t="s">
        <v>59</v>
      </c>
    </row>
    <row r="25" spans="2:10" ht="15" customHeight="1">
      <c r="B25" s="169" t="s">
        <v>408</v>
      </c>
      <c r="C25" s="223">
        <f>C24</f>
        <v>0</v>
      </c>
      <c r="D25" s="167"/>
      <c r="E25" s="167"/>
      <c r="F25" s="167"/>
      <c r="G25" s="167"/>
      <c r="H25" s="265"/>
      <c r="I25" s="141" t="s">
        <v>390</v>
      </c>
    </row>
    <row r="26" spans="2:10" ht="15" customHeight="1">
      <c r="B26" s="167" t="s">
        <v>1306</v>
      </c>
      <c r="C26" s="222">
        <f>SUMIF(D9:G9,"&gt;"&amp;0,D26:G26)</f>
        <v>0</v>
      </c>
      <c r="D26" s="221">
        <f>IFERROR(IF(D9&gt;0,'Économiseur condensant '!E211,0),"Erreur")</f>
        <v>0</v>
      </c>
      <c r="E26" s="221">
        <f>IFERROR(IF(E9&gt;0,'Économiseur condensant '!E217,0),"Erreur")</f>
        <v>0</v>
      </c>
      <c r="F26" s="221">
        <f>IFERROR(IF(F9&gt;0,'Économiseur condensant '!E223,0),"Erreur")</f>
        <v>0</v>
      </c>
      <c r="G26" s="221">
        <f>IFERROR(IF(G9&gt;0,'Économiseur condensant '!E229,0),"Erreur")</f>
        <v>0</v>
      </c>
      <c r="H26" s="167" t="s">
        <v>5</v>
      </c>
      <c r="I26" s="220" t="s">
        <v>409</v>
      </c>
      <c r="J26" s="148"/>
    </row>
    <row r="27" spans="2:10" ht="15" customHeight="1">
      <c r="B27" s="240" t="s">
        <v>419</v>
      </c>
      <c r="C27" s="222">
        <f>IF(SUM(D9:G9)&lt;1,C22,C26/(C25*C33)*3600+C22)</f>
        <v>10.889082170509718</v>
      </c>
      <c r="D27" s="167"/>
      <c r="E27" s="167"/>
      <c r="F27" s="167"/>
      <c r="G27" s="167"/>
      <c r="H27" s="193" t="s">
        <v>16</v>
      </c>
      <c r="I27" s="215" t="s">
        <v>395</v>
      </c>
      <c r="J27" s="215"/>
    </row>
    <row r="28" spans="2:10" ht="15" customHeight="1">
      <c r="B28" s="175" t="s">
        <v>422</v>
      </c>
      <c r="C28" s="322">
        <f>C33*(C27)</f>
        <v>45.574467655036877</v>
      </c>
      <c r="D28" s="280"/>
      <c r="E28" s="280"/>
      <c r="F28" s="280"/>
      <c r="G28" s="280"/>
      <c r="H28" s="280" t="s">
        <v>54</v>
      </c>
      <c r="I28" s="8"/>
    </row>
    <row r="29" spans="2:10" ht="15" customHeight="1">
      <c r="C29" s="165"/>
      <c r="D29" s="166"/>
      <c r="E29" s="166"/>
      <c r="F29" s="166"/>
      <c r="G29" s="166"/>
      <c r="H29" s="165"/>
      <c r="J29" s="215"/>
    </row>
    <row r="30" spans="2:10" ht="15" customHeight="1">
      <c r="B30" s="165" t="s">
        <v>49</v>
      </c>
      <c r="D30" s="167"/>
      <c r="E30" s="167"/>
      <c r="F30" s="167"/>
      <c r="G30" s="167"/>
      <c r="H30" s="167" t="s">
        <v>18</v>
      </c>
      <c r="I30" s="147" t="s">
        <v>50</v>
      </c>
    </row>
    <row r="31" spans="2:10" ht="15" customHeight="1">
      <c r="B31" s="280" t="s">
        <v>393</v>
      </c>
      <c r="C31" s="281">
        <f>Hypothèses!D31</f>
        <v>80</v>
      </c>
      <c r="D31" s="280"/>
      <c r="E31" s="280"/>
      <c r="F31" s="280"/>
      <c r="G31" s="280"/>
      <c r="H31" s="280" t="s">
        <v>18</v>
      </c>
      <c r="I31" s="147" t="s">
        <v>50</v>
      </c>
    </row>
    <row r="32" spans="2:10" ht="15" customHeight="1">
      <c r="B32" s="167" t="s">
        <v>37</v>
      </c>
      <c r="C32" s="309">
        <f>Hypothèses!D32</f>
        <v>0.8</v>
      </c>
      <c r="D32" s="167"/>
      <c r="E32" s="167"/>
      <c r="F32" s="167"/>
      <c r="G32" s="167"/>
      <c r="H32" s="167"/>
      <c r="I32" s="147" t="s">
        <v>50</v>
      </c>
    </row>
    <row r="33" spans="1:12" ht="15" customHeight="1">
      <c r="B33" s="445" t="s">
        <v>51</v>
      </c>
      <c r="C33" s="177">
        <f>Hypothèses!D84</f>
        <v>4.1853360036591161</v>
      </c>
      <c r="D33" s="167"/>
      <c r="E33" s="167"/>
      <c r="F33" s="167"/>
      <c r="G33" s="167"/>
      <c r="H33" s="167" t="s">
        <v>52</v>
      </c>
      <c r="I33" s="142"/>
    </row>
    <row r="34" spans="1:12" ht="15" customHeight="1">
      <c r="B34" s="169" t="s">
        <v>392</v>
      </c>
      <c r="C34" s="178">
        <f>C33*C31</f>
        <v>334.8268802927293</v>
      </c>
      <c r="D34" s="167"/>
      <c r="E34" s="167"/>
      <c r="F34" s="167"/>
      <c r="G34" s="167"/>
      <c r="H34" s="167" t="s">
        <v>54</v>
      </c>
      <c r="I34" s="142"/>
    </row>
    <row r="35" spans="1:12" ht="15" customHeight="1">
      <c r="C35"/>
    </row>
    <row r="36" spans="1:12" ht="15" customHeight="1">
      <c r="B36" s="165" t="s">
        <v>55</v>
      </c>
      <c r="C36" s="168"/>
      <c r="D36" s="167"/>
      <c r="E36" s="167"/>
      <c r="F36" s="167"/>
      <c r="G36" s="167"/>
      <c r="H36" s="166"/>
      <c r="I36" s="142"/>
    </row>
    <row r="37" spans="1:12" ht="15" customHeight="1">
      <c r="B37" s="169" t="s">
        <v>1307</v>
      </c>
      <c r="C37" s="223">
        <f>SUM(D37:G37)</f>
        <v>0</v>
      </c>
      <c r="D37" s="223">
        <f>'P opération brûleur - avant MEE'!D27</f>
        <v>0</v>
      </c>
      <c r="E37" s="223">
        <f>'P opération brûleur - avant MEE'!E27</f>
        <v>0</v>
      </c>
      <c r="F37" s="223">
        <f>'P opération brûleur - avant MEE'!F27</f>
        <v>0</v>
      </c>
      <c r="G37" s="223">
        <f>'P opération brûleur - avant MEE'!G27</f>
        <v>0</v>
      </c>
      <c r="H37" s="167" t="s">
        <v>59</v>
      </c>
      <c r="I37" s="141" t="s">
        <v>390</v>
      </c>
    </row>
    <row r="38" spans="1:12" ht="15" customHeight="1">
      <c r="B38" s="169"/>
      <c r="C38" s="168"/>
      <c r="D38" s="224">
        <f>D37/'Facteurs conversion'!$C$14</f>
        <v>0</v>
      </c>
      <c r="E38" s="224">
        <f>E37/'Facteurs conversion'!$C$14</f>
        <v>0</v>
      </c>
      <c r="F38" s="224">
        <f>F37/'Facteurs conversion'!$C$14</f>
        <v>0</v>
      </c>
      <c r="G38" s="224">
        <f>G37/'Facteurs conversion'!$C$14</f>
        <v>0</v>
      </c>
      <c r="H38" s="217" t="s">
        <v>61</v>
      </c>
    </row>
    <row r="39" spans="1:12" ht="15" customHeight="1">
      <c r="B39" s="262" t="s">
        <v>420</v>
      </c>
      <c r="C39" s="311">
        <f>IF(OR('3c. Calculateur MEÉ 2-3-4'!$G$13="Eau chaude",'3c. Calculateur MEÉ 2-3-4'!$G$19&lt;&gt;"Oui"),C40,C41)</f>
        <v>66.177816434101942</v>
      </c>
      <c r="D39" s="1171"/>
      <c r="E39" s="310"/>
      <c r="F39" s="310"/>
      <c r="G39" s="310"/>
      <c r="H39" s="265" t="s">
        <v>16</v>
      </c>
    </row>
    <row r="40" spans="1:12" ht="15" customHeight="1">
      <c r="B40" s="1168" t="s">
        <v>1900</v>
      </c>
      <c r="C40" s="1169">
        <f>C32*C31+(1-C32)*C27</f>
        <v>66.177816434101942</v>
      </c>
      <c r="D40" s="1171"/>
      <c r="E40" s="310"/>
      <c r="F40" s="310"/>
      <c r="G40" s="310"/>
      <c r="H40" s="1170" t="s">
        <v>16</v>
      </c>
    </row>
    <row r="41" spans="1:12" ht="15" customHeight="1">
      <c r="B41" s="1168" t="s">
        <v>1896</v>
      </c>
      <c r="C41" s="1169">
        <f>G95</f>
        <v>127.99931999999998</v>
      </c>
      <c r="D41" s="1171"/>
      <c r="E41" s="310"/>
      <c r="F41" s="310"/>
      <c r="G41" s="310"/>
      <c r="H41" s="1170" t="s">
        <v>16</v>
      </c>
    </row>
    <row r="42" spans="1:12" ht="15" customHeight="1">
      <c r="B42" s="262" t="s">
        <v>1901</v>
      </c>
      <c r="C42" s="311">
        <f>IF(OR('3c. Calculateur MEÉ 2-3-4'!$G$13="Eau chaude",'3c. Calculateur MEÉ 2-3-4'!$G$19&lt;&gt;"Oui"),C43,C44)</f>
        <v>276.97639776519082</v>
      </c>
      <c r="D42" s="1171"/>
      <c r="E42" s="310"/>
      <c r="F42" s="310"/>
      <c r="G42" s="310"/>
      <c r="H42" s="265" t="s">
        <v>54</v>
      </c>
    </row>
    <row r="43" spans="1:12" ht="15" customHeight="1">
      <c r="B43" s="1168" t="s">
        <v>1900</v>
      </c>
      <c r="C43" s="1169">
        <f>C32*C34+(1-C32)*C28</f>
        <v>276.97639776519082</v>
      </c>
      <c r="D43" s="1171"/>
      <c r="E43" s="310"/>
      <c r="F43" s="310"/>
      <c r="G43" s="310"/>
      <c r="H43" s="1170" t="s">
        <v>54</v>
      </c>
    </row>
    <row r="44" spans="1:12" ht="15" customHeight="1">
      <c r="B44" s="1168" t="s">
        <v>1896</v>
      </c>
      <c r="C44" s="1169">
        <f>D95</f>
        <v>537.76303999999993</v>
      </c>
      <c r="D44" s="1171"/>
      <c r="E44" s="310"/>
      <c r="F44" s="310"/>
      <c r="G44" s="310"/>
      <c r="H44" s="1170" t="s">
        <v>54</v>
      </c>
    </row>
    <row r="45" spans="1:12" ht="15" customHeight="1">
      <c r="B45" s="167" t="s">
        <v>1308</v>
      </c>
      <c r="C45" s="168"/>
      <c r="D45" s="320">
        <f>IFERROR(IF(OR(D8&gt;0,D10=2),'Économiseur non-condensant'!E191,0),"Erreur")</f>
        <v>0</v>
      </c>
      <c r="E45" s="221">
        <f>IFERROR(IF(OR(E8&gt;0,E10=2),'Économiseur non-condensant'!E194,0),"Erreur")</f>
        <v>0</v>
      </c>
      <c r="F45" s="221">
        <f>IFERROR(IF(OR(F8&gt;0,F10=2),'Économiseur non-condensant'!E197,0),"Erreur")</f>
        <v>0</v>
      </c>
      <c r="G45" s="221">
        <f>IFERROR(IF(OR(G8&gt;0,G10=2),'Économiseur non-condensant'!E200,0),"Erreur")</f>
        <v>0</v>
      </c>
      <c r="H45" s="167" t="s">
        <v>5</v>
      </c>
      <c r="I45" s="220" t="s">
        <v>410</v>
      </c>
    </row>
    <row r="46" spans="1:12" ht="15" customHeight="1">
      <c r="B46" s="268"/>
      <c r="C46" s="269"/>
      <c r="D46" s="270"/>
      <c r="E46" s="270"/>
      <c r="F46" s="270"/>
      <c r="G46" s="270"/>
      <c r="H46" s="271"/>
    </row>
    <row r="47" spans="1:12" ht="15" customHeight="1">
      <c r="A47" s="1"/>
      <c r="B47" s="2337" t="s">
        <v>379</v>
      </c>
      <c r="C47" s="2339" t="s">
        <v>375</v>
      </c>
      <c r="D47" s="2339"/>
      <c r="E47" s="2339"/>
      <c r="F47" s="2339"/>
      <c r="G47" s="2340"/>
      <c r="H47" s="2332" t="s">
        <v>1310</v>
      </c>
      <c r="I47" s="2333"/>
      <c r="J47" s="2333"/>
      <c r="K47" s="2334"/>
      <c r="L47" s="2335"/>
    </row>
    <row r="48" spans="1:12" ht="15" customHeight="1">
      <c r="B48" s="2338"/>
      <c r="C48" s="9">
        <v>0</v>
      </c>
      <c r="D48" s="9">
        <v>1</v>
      </c>
      <c r="E48" s="9">
        <v>2</v>
      </c>
      <c r="F48" s="9">
        <v>3</v>
      </c>
      <c r="G48" s="9">
        <v>4</v>
      </c>
      <c r="H48" s="297" t="s">
        <v>670</v>
      </c>
      <c r="I48" s="297" t="s">
        <v>1309</v>
      </c>
      <c r="J48" s="297" t="s">
        <v>678</v>
      </c>
      <c r="K48" s="297" t="s">
        <v>740</v>
      </c>
      <c r="L48" s="2336"/>
    </row>
    <row r="49" spans="2:13" ht="15" customHeight="1">
      <c r="B49" s="275" t="s">
        <v>374</v>
      </c>
      <c r="C49" s="273"/>
      <c r="D49" s="273">
        <f>SUMIF($D$8:$G$8,D48,$D$45:$G$45)</f>
        <v>0</v>
      </c>
      <c r="E49" s="273">
        <f>SUMIF($D$8:$G$8,E48,$D$45:$G$45)</f>
        <v>0</v>
      </c>
      <c r="F49" s="273">
        <f t="shared" ref="F49:I49" si="1">SUMIF($D$8:$G$8,F48,$D$45:$G$45)</f>
        <v>0</v>
      </c>
      <c r="G49" s="273">
        <f t="shared" si="1"/>
        <v>0</v>
      </c>
      <c r="H49" s="273">
        <f t="shared" si="1"/>
        <v>0</v>
      </c>
      <c r="I49" s="273">
        <f t="shared" si="1"/>
        <v>0</v>
      </c>
      <c r="J49" s="273">
        <f t="shared" ref="J49" si="2">SUMIF($D$8:$G$8,J48,$D$45:$G$45)</f>
        <v>0</v>
      </c>
      <c r="K49" s="273">
        <f>SUMIF($D$8:$G$8,K48,$D$45:$G$45)</f>
        <v>0</v>
      </c>
      <c r="L49" s="1175" t="s">
        <v>5</v>
      </c>
      <c r="M49" s="215" t="s">
        <v>110</v>
      </c>
    </row>
    <row r="50" spans="2:13" ht="15" customHeight="1">
      <c r="B50" s="275" t="s">
        <v>373</v>
      </c>
      <c r="C50" s="273"/>
      <c r="D50" s="273">
        <f>SUMIF($D$12:$G$12,D48,$D$37:$G$37)</f>
        <v>0</v>
      </c>
      <c r="E50" s="273">
        <f t="shared" ref="E50:K50" si="3">SUMIF($D$12:$G$12,E48,$D$37:$G$37)</f>
        <v>0</v>
      </c>
      <c r="F50" s="273">
        <f t="shared" si="3"/>
        <v>0</v>
      </c>
      <c r="G50" s="273">
        <f t="shared" si="3"/>
        <v>0</v>
      </c>
      <c r="H50" s="273">
        <f t="shared" si="3"/>
        <v>0</v>
      </c>
      <c r="I50" s="273">
        <f t="shared" si="3"/>
        <v>0</v>
      </c>
      <c r="J50" s="273">
        <f t="shared" si="3"/>
        <v>0</v>
      </c>
      <c r="K50" s="273">
        <f t="shared" si="3"/>
        <v>0</v>
      </c>
      <c r="L50" s="1175" t="s">
        <v>59</v>
      </c>
      <c r="M50" s="215" t="s">
        <v>1903</v>
      </c>
    </row>
    <row r="51" spans="2:13" ht="15" customHeight="1">
      <c r="B51" s="275" t="s">
        <v>1902</v>
      </c>
      <c r="C51" s="273">
        <f>C42</f>
        <v>276.97639776519082</v>
      </c>
      <c r="D51" s="273" t="e">
        <f>D49*3600/D50+$C$42</f>
        <v>#DIV/0!</v>
      </c>
      <c r="E51" s="273" t="e">
        <f t="shared" ref="E51:K51" si="4">E49*3600/E50+$C$42</f>
        <v>#DIV/0!</v>
      </c>
      <c r="F51" s="273" t="e">
        <f t="shared" si="4"/>
        <v>#DIV/0!</v>
      </c>
      <c r="G51" s="273" t="e">
        <f t="shared" si="4"/>
        <v>#DIV/0!</v>
      </c>
      <c r="H51" s="273" t="e">
        <f>H49*3600/H50+$C$42</f>
        <v>#DIV/0!</v>
      </c>
      <c r="I51" s="273" t="e">
        <f t="shared" si="4"/>
        <v>#DIV/0!</v>
      </c>
      <c r="J51" s="273" t="e">
        <f t="shared" si="4"/>
        <v>#DIV/0!</v>
      </c>
      <c r="K51" s="273" t="e">
        <f t="shared" si="4"/>
        <v>#DIV/0!</v>
      </c>
      <c r="L51" s="272" t="s">
        <v>54</v>
      </c>
      <c r="M51" s="215" t="s">
        <v>1904</v>
      </c>
    </row>
    <row r="52" spans="2:13" ht="15" customHeight="1">
      <c r="B52" s="26"/>
      <c r="C52" s="1173"/>
      <c r="D52" s="1174"/>
      <c r="E52" s="1174"/>
      <c r="F52" s="1174"/>
      <c r="G52" s="1174"/>
      <c r="H52" s="1174"/>
      <c r="I52" s="1174"/>
      <c r="J52" s="1174"/>
      <c r="K52" s="1174"/>
    </row>
    <row r="53" spans="2:13" ht="15" customHeight="1">
      <c r="B53" s="169" t="s">
        <v>340</v>
      </c>
      <c r="C53" s="1172"/>
      <c r="D53" s="223">
        <f>HLOOKUP(D12,$C$48:$K$51,4)</f>
        <v>276.97639776519082</v>
      </c>
      <c r="E53" s="223">
        <f t="shared" ref="E53:G53" si="5">HLOOKUP(E12,$C$48:$K$51,4)</f>
        <v>276.97639776519082</v>
      </c>
      <c r="F53" s="223">
        <f t="shared" si="5"/>
        <v>276.97639776519082</v>
      </c>
      <c r="G53" s="223">
        <f t="shared" si="5"/>
        <v>276.97639776519082</v>
      </c>
      <c r="H53" s="167" t="s">
        <v>54</v>
      </c>
    </row>
    <row r="54" spans="2:13" ht="15" customHeight="1">
      <c r="B54" s="169" t="s">
        <v>63</v>
      </c>
      <c r="C54" s="168"/>
      <c r="D54" s="177">
        <f>D37*D53/3600</f>
        <v>0</v>
      </c>
      <c r="E54" s="177">
        <f>E37*E53/3600</f>
        <v>0</v>
      </c>
      <c r="F54" s="177">
        <f>F37*F53/3600</f>
        <v>0</v>
      </c>
      <c r="G54" s="177">
        <f>G37*G53/3600</f>
        <v>0</v>
      </c>
      <c r="H54" s="167" t="s">
        <v>5</v>
      </c>
    </row>
    <row r="55" spans="2:13" ht="15" customHeight="1">
      <c r="C55"/>
    </row>
    <row r="56" spans="2:13" ht="15" customHeight="1">
      <c r="B56" s="165" t="s">
        <v>68</v>
      </c>
      <c r="C56" s="170"/>
      <c r="D56" s="167"/>
      <c r="E56" s="167"/>
      <c r="F56" s="167"/>
      <c r="G56" s="167"/>
      <c r="H56" s="167"/>
    </row>
    <row r="57" spans="2:13" ht="15" customHeight="1">
      <c r="B57" s="167" t="s">
        <v>38</v>
      </c>
      <c r="C57" s="179">
        <f>Hypothèses!D33</f>
        <v>0.06</v>
      </c>
      <c r="D57" s="167"/>
      <c r="E57" s="167"/>
      <c r="F57" s="167"/>
      <c r="G57" s="167"/>
      <c r="H57" s="167"/>
      <c r="I57" s="141" t="s">
        <v>50</v>
      </c>
    </row>
    <row r="58" spans="2:13" ht="15" customHeight="1">
      <c r="B58" s="167" t="s">
        <v>70</v>
      </c>
      <c r="C58" s="177">
        <f>IF('3c. Calculateur MEÉ 2-3-4'!$G$13="Eau chaude",C33*Hypothèses!D37,D85)</f>
        <v>741.05921800149713</v>
      </c>
      <c r="D58" s="167"/>
      <c r="E58" s="167"/>
      <c r="F58" s="167"/>
      <c r="G58" s="167"/>
      <c r="H58" s="167" t="s">
        <v>54</v>
      </c>
    </row>
    <row r="59" spans="2:13" ht="15" customHeight="1">
      <c r="B59" s="167" t="s">
        <v>341</v>
      </c>
      <c r="C59" s="168"/>
      <c r="D59" s="321">
        <f>D60*'Facteurs conversion'!$C$14</f>
        <v>0</v>
      </c>
      <c r="E59" s="321">
        <f>E60*'Facteurs conversion'!$C$14</f>
        <v>0</v>
      </c>
      <c r="F59" s="321">
        <f>F60*'Facteurs conversion'!$C$14</f>
        <v>0</v>
      </c>
      <c r="G59" s="321">
        <f>G60*'Facteurs conversion'!$C$14</f>
        <v>0</v>
      </c>
      <c r="H59" s="167" t="s">
        <v>59</v>
      </c>
    </row>
    <row r="60" spans="2:13" ht="15" customHeight="1">
      <c r="B60" s="167"/>
      <c r="C60" s="168"/>
      <c r="D60" s="224">
        <f>D38*$C$57</f>
        <v>0</v>
      </c>
      <c r="E60" s="224">
        <f>E38*$C$57</f>
        <v>0</v>
      </c>
      <c r="F60" s="224">
        <f>F38*$C$57</f>
        <v>0</v>
      </c>
      <c r="G60" s="224">
        <f>G38*$C$57</f>
        <v>0</v>
      </c>
      <c r="H60" s="217" t="s">
        <v>61</v>
      </c>
    </row>
    <row r="61" spans="2:13" ht="15" customHeight="1">
      <c r="B61" s="167" t="s">
        <v>72</v>
      </c>
      <c r="C61" s="168"/>
      <c r="D61" s="223">
        <f>D59*($C$58)/3600</f>
        <v>0</v>
      </c>
      <c r="E61" s="223">
        <f t="shared" ref="E61:G61" si="6">E59*($C$58)/3600</f>
        <v>0</v>
      </c>
      <c r="F61" s="223">
        <f>F59*($C$58)/3600</f>
        <v>0</v>
      </c>
      <c r="G61" s="223">
        <f t="shared" si="6"/>
        <v>0</v>
      </c>
      <c r="H61" s="167" t="s">
        <v>5</v>
      </c>
    </row>
    <row r="62" spans="2:13" ht="15" customHeight="1">
      <c r="C62"/>
    </row>
    <row r="63" spans="2:13" ht="15" customHeight="1">
      <c r="B63" s="165" t="s">
        <v>947</v>
      </c>
      <c r="C63" s="167"/>
      <c r="D63" s="167"/>
      <c r="E63" s="167"/>
      <c r="F63" s="167"/>
      <c r="G63" s="167"/>
      <c r="H63" s="167"/>
      <c r="I63" s="148" t="s">
        <v>74</v>
      </c>
    </row>
    <row r="64" spans="2:13" ht="15" customHeight="1">
      <c r="B64" s="169" t="s">
        <v>39</v>
      </c>
      <c r="C64" s="223">
        <f>Hypothèses!D34</f>
        <v>153.1</v>
      </c>
      <c r="D64" s="229"/>
      <c r="E64" s="229"/>
      <c r="F64" s="229"/>
      <c r="G64" s="229"/>
      <c r="H64" s="167" t="s">
        <v>40</v>
      </c>
      <c r="I64" s="574"/>
    </row>
    <row r="65" spans="2:13" ht="15" customHeight="1">
      <c r="B65" s="167" t="s">
        <v>342</v>
      </c>
      <c r="C65" s="317">
        <f>D65+E65+F65+G65</f>
        <v>0</v>
      </c>
      <c r="D65" s="317">
        <f>D37*($D$95-C43)/($C$79-$D$95)/(1-$C$66)</f>
        <v>0</v>
      </c>
      <c r="E65" s="317">
        <f>E37*($D$95-C43)/($C$79-$D$95)/(1-$C$66)</f>
        <v>0</v>
      </c>
      <c r="F65" s="317">
        <f>F37*($D$95-C43)/($C$79-$D$95)/(1-$C$66)</f>
        <v>0</v>
      </c>
      <c r="G65" s="317">
        <f>G37*($D$95-C43)/($C$79-$D$95)/(1-$C$66)</f>
        <v>0</v>
      </c>
      <c r="H65" s="165" t="s">
        <v>59</v>
      </c>
      <c r="I65" s="192" t="s">
        <v>384</v>
      </c>
    </row>
    <row r="66" spans="2:13" ht="15" customHeight="1">
      <c r="B66" s="171" t="s">
        <v>41</v>
      </c>
      <c r="C66" s="180">
        <f>Hypothèses!D35</f>
        <v>9.5000000000000001E-2</v>
      </c>
      <c r="D66" s="225"/>
      <c r="E66" s="225"/>
      <c r="F66" s="225"/>
      <c r="G66" s="225"/>
      <c r="H66" s="172"/>
      <c r="I66" s="241" t="s">
        <v>76</v>
      </c>
    </row>
    <row r="67" spans="2:13" ht="15" customHeight="1">
      <c r="B67" s="169" t="s">
        <v>343</v>
      </c>
      <c r="C67" s="168"/>
      <c r="D67" s="227">
        <f>IF(OR('3c. Calculateur MEÉ 2-3-4'!$G$13="Eau chaude",'3c. Calculateur MEÉ 2-3-4'!$G$19&lt;&gt;"Oui"),0,D65*$C$66)</f>
        <v>0</v>
      </c>
      <c r="E67" s="227">
        <f>IF(OR('3c. Calculateur MEÉ 2-3-4'!$G$13="Eau chaude",'3c. Calculateur MEÉ 2-3-4'!$G$19&lt;&gt;"Oui"),0,E65*$C$66)</f>
        <v>0</v>
      </c>
      <c r="F67" s="227">
        <f>IF(OR('3c. Calculateur MEÉ 2-3-4'!$G$13="Eau chaude",'3c. Calculateur MEÉ 2-3-4'!$G$19&lt;&gt;"Oui"),0,F65*$C$66)</f>
        <v>0</v>
      </c>
      <c r="G67" s="227">
        <f>IF(OR('3c. Calculateur MEÉ 2-3-4'!$G$13="Eau chaude",'3c. Calculateur MEÉ 2-3-4'!$G$19&lt;&gt;"Oui"),0,G65*$C$66)</f>
        <v>0</v>
      </c>
      <c r="H67" s="165" t="s">
        <v>59</v>
      </c>
    </row>
    <row r="68" spans="2:13" ht="15" customHeight="1">
      <c r="B68" s="169"/>
      <c r="C68" s="168"/>
      <c r="D68" s="226">
        <f>D67/'Facteurs conversion'!$C$14</f>
        <v>0</v>
      </c>
      <c r="E68" s="226">
        <f>E67/'Facteurs conversion'!$C$14</f>
        <v>0</v>
      </c>
      <c r="F68" s="226">
        <f>F67/'Facteurs conversion'!$C$14</f>
        <v>0</v>
      </c>
      <c r="G68" s="226">
        <f>G67/'Facteurs conversion'!$C$14</f>
        <v>0</v>
      </c>
      <c r="H68" s="217" t="s">
        <v>61</v>
      </c>
    </row>
    <row r="69" spans="2:13" ht="15" customHeight="1">
      <c r="B69" s="169" t="s">
        <v>111</v>
      </c>
      <c r="C69" s="238">
        <f>SUM(D69:G69)</f>
        <v>0</v>
      </c>
      <c r="D69" s="227">
        <f>IF('3c. Calculateur MEÉ 2-3-4'!$G$13="Eau chaude",0,$F$95*D67/3600)</f>
        <v>0</v>
      </c>
      <c r="E69" s="227">
        <f>IF('3c. Calculateur MEÉ 2-3-4'!$G$13="Eau chaude",0,$F$95*E67/3600)</f>
        <v>0</v>
      </c>
      <c r="F69" s="227">
        <f>IF('3c. Calculateur MEÉ 2-3-4'!$G$13="Eau chaude",0,$F$95*F67/3600)</f>
        <v>0</v>
      </c>
      <c r="G69" s="227">
        <f>IF('3c. Calculateur MEÉ 2-3-4'!$G$13="Eau chaude",0,$F$95*G67/3600)</f>
        <v>0</v>
      </c>
      <c r="H69" s="165" t="s">
        <v>5</v>
      </c>
    </row>
    <row r="70" spans="2:13" ht="15" customHeight="1">
      <c r="C70"/>
      <c r="D70" s="228"/>
      <c r="E70" s="228"/>
      <c r="F70" s="228"/>
      <c r="G70" s="228"/>
    </row>
    <row r="71" spans="2:13" ht="15" customHeight="1">
      <c r="B71" s="165" t="s">
        <v>948</v>
      </c>
      <c r="C71" s="174"/>
      <c r="D71" s="229"/>
      <c r="E71" s="229"/>
      <c r="F71" s="229"/>
      <c r="G71" s="229"/>
      <c r="H71" s="167"/>
    </row>
    <row r="72" spans="2:13" ht="15" customHeight="1">
      <c r="B72" s="171" t="s">
        <v>112</v>
      </c>
      <c r="C72" s="168"/>
      <c r="D72" s="230">
        <f>'P opération brûleur - avant MEE'!D50</f>
        <v>0</v>
      </c>
      <c r="E72" s="230">
        <f>'P opération brûleur - avant MEE'!E50</f>
        <v>0</v>
      </c>
      <c r="F72" s="230">
        <f>'P opération brûleur - avant MEE'!F50</f>
        <v>0</v>
      </c>
      <c r="G72" s="230">
        <f>'P opération brûleur - avant MEE'!G50</f>
        <v>0</v>
      </c>
      <c r="H72" s="167" t="s">
        <v>59</v>
      </c>
      <c r="M72" s="234"/>
    </row>
    <row r="73" spans="2:13" ht="15" customHeight="1">
      <c r="B73" s="171"/>
      <c r="C73" s="168"/>
      <c r="D73" s="226">
        <f>'P opération brûleur - avant MEE'!D51</f>
        <v>0</v>
      </c>
      <c r="E73" s="226">
        <f>'P opération brûleur - avant MEE'!E51</f>
        <v>0</v>
      </c>
      <c r="F73" s="226">
        <f>'P opération brûleur - avant MEE'!F51</f>
        <v>0</v>
      </c>
      <c r="G73" s="226">
        <f>'P opération brûleur - avant MEE'!G51</f>
        <v>0</v>
      </c>
      <c r="H73" s="217" t="s">
        <v>61</v>
      </c>
    </row>
    <row r="74" spans="2:13" ht="15" customHeight="1">
      <c r="B74" s="171" t="s">
        <v>949</v>
      </c>
      <c r="C74" s="168"/>
      <c r="D74" s="223">
        <f>D72*$C$79/3600</f>
        <v>0</v>
      </c>
      <c r="E74" s="223">
        <f t="shared" ref="E74:G74" si="7">E72*$C$79/3600</f>
        <v>0</v>
      </c>
      <c r="F74" s="223">
        <f t="shared" si="7"/>
        <v>0</v>
      </c>
      <c r="G74" s="223">
        <f t="shared" si="7"/>
        <v>0</v>
      </c>
      <c r="H74" s="167" t="s">
        <v>5</v>
      </c>
    </row>
    <row r="75" spans="2:13" ht="15" customHeight="1">
      <c r="C75"/>
      <c r="D75" s="228"/>
      <c r="E75" s="228"/>
      <c r="F75" s="228"/>
      <c r="G75" s="228"/>
    </row>
    <row r="76" spans="2:13" ht="15" customHeight="1">
      <c r="B76" s="165" t="s">
        <v>83</v>
      </c>
      <c r="C76" s="168"/>
      <c r="D76" s="167"/>
      <c r="E76" s="167"/>
      <c r="F76" s="167"/>
      <c r="G76" s="167"/>
      <c r="H76" s="167"/>
    </row>
    <row r="77" spans="2:13" ht="15" customHeight="1">
      <c r="B77" s="175" t="s">
        <v>42</v>
      </c>
      <c r="C77" s="178">
        <f>'3c. Calculateur MEÉ 2-3-4'!G17</f>
        <v>0</v>
      </c>
      <c r="D77" s="167"/>
      <c r="E77" s="167"/>
      <c r="F77" s="167"/>
      <c r="G77" s="167"/>
      <c r="H77" s="167" t="s">
        <v>18</v>
      </c>
      <c r="I77" s="8"/>
    </row>
    <row r="78" spans="2:13" ht="15" customHeight="1">
      <c r="B78" s="175" t="s">
        <v>84</v>
      </c>
      <c r="C78" s="177">
        <f>Hypothèses!D36</f>
        <v>790.33012724550895</v>
      </c>
      <c r="D78" s="1"/>
      <c r="E78" s="167"/>
      <c r="F78" s="167"/>
      <c r="G78" s="167"/>
      <c r="H78" s="167" t="s">
        <v>40</v>
      </c>
      <c r="I78" s="154" t="s">
        <v>85</v>
      </c>
    </row>
    <row r="79" spans="2:13" ht="15" customHeight="1">
      <c r="B79" s="176" t="s">
        <v>950</v>
      </c>
      <c r="C79" s="177">
        <f>IF('3c. Calculateur MEÉ 2-3-4'!$G$13="Eau Chaude",C33*Hypothèses!F37,IF(C77=0,F85,D90))</f>
        <v>2773.5444668787422</v>
      </c>
      <c r="D79" s="167"/>
      <c r="E79" s="167"/>
      <c r="F79" s="167"/>
      <c r="G79" s="167"/>
      <c r="H79" s="167" t="s">
        <v>54</v>
      </c>
    </row>
    <row r="80" spans="2:13" ht="15" customHeight="1">
      <c r="B80" s="167" t="s">
        <v>87</v>
      </c>
      <c r="C80" s="177">
        <f>E85</f>
        <v>2032.4852488772453</v>
      </c>
      <c r="D80" s="167"/>
      <c r="E80" s="167"/>
      <c r="F80" s="167"/>
      <c r="G80" s="167"/>
      <c r="H80" s="167" t="s">
        <v>54</v>
      </c>
    </row>
    <row r="81" spans="2:10" ht="15" customHeight="1">
      <c r="C81" s="143"/>
    </row>
    <row r="82" spans="2:10" ht="33" customHeight="1">
      <c r="B82" s="150" t="s">
        <v>88</v>
      </c>
      <c r="C82" s="150" t="s">
        <v>89</v>
      </c>
      <c r="D82" s="13" t="s">
        <v>90</v>
      </c>
      <c r="E82" s="13" t="s">
        <v>91</v>
      </c>
      <c r="F82" s="13" t="s">
        <v>92</v>
      </c>
      <c r="G82" s="13" t="s">
        <v>1894</v>
      </c>
    </row>
    <row r="83" spans="2:10" ht="15" customHeight="1">
      <c r="B83" s="155" t="s">
        <v>93</v>
      </c>
      <c r="C83" s="21">
        <f>LOOKUP(C78,'Tables vapeur'!C6:C61)</f>
        <v>748.67499999999995</v>
      </c>
      <c r="D83" s="21">
        <f>VLOOKUP(C83,'Tables vapeur'!C6:G61,3,FALSE)</f>
        <v>732.22</v>
      </c>
      <c r="E83" s="21">
        <f>VLOOKUP(C83,'Tables vapeur'!C6:G61,4,FALSE)</f>
        <v>2039.4</v>
      </c>
      <c r="F83" s="21">
        <f>VLOOKUP(C83,'Tables vapeur'!C6:G61,5,FALSE)</f>
        <v>2771.62</v>
      </c>
      <c r="G83" s="21">
        <f>VLOOKUP(C83,'Tables vapeur'!$C$6:$G$61,2,FALSE)</f>
        <v>172.96</v>
      </c>
    </row>
    <row r="84" spans="2:10" ht="15" customHeight="1">
      <c r="B84" s="155" t="s">
        <v>94</v>
      </c>
      <c r="C84" s="21">
        <f>IF((C83-C78)=0,C78,INDEX('Tables vapeur'!C6:C61,RANK(LOOKUP(C78,'Tables vapeur'!C6:C61),'Tables vapeur'!C6:C61,1)+1))</f>
        <v>798.67499999999995</v>
      </c>
      <c r="D84" s="21">
        <f>VLOOKUP(C84,'Tables vapeur'!C6:G61,3,FALSE)</f>
        <v>742.83</v>
      </c>
      <c r="E84" s="21">
        <f>VLOOKUP(C84,'Tables vapeur'!C6:G61,4,FALSE)</f>
        <v>2031.1</v>
      </c>
      <c r="F84" s="21">
        <f>VLOOKUP(C84,'Tables vapeur'!C6:G61,5,FALSE)</f>
        <v>2773.93</v>
      </c>
      <c r="G84" s="21">
        <f>VLOOKUP(C84,'Tables vapeur'!$C$6:$G$61,2,FALSE)</f>
        <v>175.38</v>
      </c>
    </row>
    <row r="85" spans="2:10" ht="15" customHeight="1">
      <c r="B85" s="155" t="s">
        <v>95</v>
      </c>
      <c r="C85" s="21">
        <f>C78</f>
        <v>790.33012724550895</v>
      </c>
      <c r="D85" s="21">
        <f>IF(C83=C84,D83,FORECAST(C85,D83:D84,C83:C84))</f>
        <v>741.05921800149713</v>
      </c>
      <c r="E85" s="21">
        <f>IF(C83=C84,E83,FORECAST(C85,E83:E84,C83:C84))</f>
        <v>2032.4852488772453</v>
      </c>
      <c r="F85" s="21">
        <f>IF(C83=C84,F83,FORECAST(C85,F83:F84,C83:C84))</f>
        <v>2773.5444668787422</v>
      </c>
      <c r="G85" s="21">
        <f>IF(C83=C84,G83,FORECAST(C85,G83:G84,C83:C84))</f>
        <v>174.97610815868268</v>
      </c>
    </row>
    <row r="86" spans="2:10" ht="15" customHeight="1">
      <c r="D86" s="142"/>
      <c r="E86" s="142"/>
      <c r="F86" s="142"/>
      <c r="I86" s="142"/>
      <c r="J86" s="142"/>
    </row>
    <row r="87" spans="2:10" ht="45" customHeight="1">
      <c r="B87" s="150" t="s">
        <v>96</v>
      </c>
      <c r="C87" s="13" t="s">
        <v>97</v>
      </c>
      <c r="D87" s="13" t="s">
        <v>98</v>
      </c>
      <c r="E87" s="142"/>
      <c r="F87" s="142"/>
      <c r="I87" s="142"/>
      <c r="J87" s="142"/>
    </row>
    <row r="88" spans="2:10" ht="15" customHeight="1">
      <c r="B88" s="155" t="s">
        <v>93</v>
      </c>
      <c r="C88" s="156">
        <f>LOOKUP(C78,'Tables vapeur'!M7:M34)</f>
        <v>698.67499999999995</v>
      </c>
      <c r="D88" s="156">
        <f>VLOOKUP(C88,'Tables vapeur'!M7:R34,3,FALSE)</f>
        <v>2743.043408</v>
      </c>
      <c r="E88" s="142"/>
      <c r="F88" s="142"/>
      <c r="I88" s="142"/>
      <c r="J88" s="142"/>
    </row>
    <row r="89" spans="2:10" ht="15" customHeight="1">
      <c r="B89" s="155" t="s">
        <v>94</v>
      </c>
      <c r="C89" s="156">
        <f>IF((C88-C78)=0,C78,INDEX('Tables vapeur'!M7:M34,RANK(LOOKUP(C78,'Tables vapeur'!M7:M34),'Tables vapeur'!M7:M34,1)+1))</f>
        <v>898.67499999999995</v>
      </c>
      <c r="D89" s="156">
        <f>VLOOKUP(C89,'Tables vapeur'!M7:R34,3,FALSE)</f>
        <v>2757.347722</v>
      </c>
      <c r="E89" s="159"/>
      <c r="F89" s="159"/>
      <c r="G89" s="159"/>
      <c r="H89" s="159"/>
      <c r="I89" s="142"/>
      <c r="J89" s="142"/>
    </row>
    <row r="90" spans="2:10" ht="15" customHeight="1">
      <c r="B90" s="155" t="s">
        <v>95</v>
      </c>
      <c r="C90" s="156">
        <f>C78</f>
        <v>790.33012724550895</v>
      </c>
      <c r="D90" s="156">
        <f>IF(C88=C89,D88,FORECAST(C90,D88:D89,C88:C89))</f>
        <v>2749.5987265991484</v>
      </c>
      <c r="E90" s="159"/>
      <c r="F90" s="159"/>
      <c r="G90" s="159"/>
      <c r="H90" s="159"/>
      <c r="I90" s="142"/>
      <c r="J90" s="142"/>
    </row>
    <row r="91" spans="2:10" ht="15" customHeight="1">
      <c r="C91"/>
    </row>
    <row r="92" spans="2:10" ht="31.5" customHeight="1">
      <c r="B92" s="150" t="s">
        <v>99</v>
      </c>
      <c r="C92" s="13" t="s">
        <v>89</v>
      </c>
      <c r="D92" s="13" t="s">
        <v>90</v>
      </c>
      <c r="E92" s="13" t="s">
        <v>91</v>
      </c>
      <c r="F92" s="13" t="s">
        <v>92</v>
      </c>
      <c r="G92" s="13" t="s">
        <v>1894</v>
      </c>
    </row>
    <row r="93" spans="2:10" ht="15" customHeight="1">
      <c r="B93" s="157" t="s">
        <v>93</v>
      </c>
      <c r="C93" s="156">
        <f>LOOKUP(C64,'Tables vapeur'!C6:C61)</f>
        <v>148.67500000000001</v>
      </c>
      <c r="D93" s="156">
        <f>VLOOKUP(C93,'Tables vapeur'!C6:G61,3,FALSE)</f>
        <v>535.37</v>
      </c>
      <c r="E93" s="156">
        <f>VLOOKUP(C93,'Tables vapeur'!C6:G61,4,FALSE)</f>
        <v>2181.5</v>
      </c>
      <c r="F93" s="156">
        <f>VLOOKUP(C93,'Tables vapeur'!C6:G61,5,FALSE)</f>
        <v>2716.87</v>
      </c>
      <c r="G93" s="21">
        <f>VLOOKUP(C93,'Tables vapeur'!$C$6:$G$61,2,FALSE)</f>
        <v>127.44</v>
      </c>
    </row>
    <row r="94" spans="2:10" ht="15" customHeight="1">
      <c r="B94" s="157" t="s">
        <v>94</v>
      </c>
      <c r="C94" s="156">
        <f>IF((C93-C64)=0,C64,INDEX('Tables vapeur'!C6:C61,RANK(LOOKUP(C64,'Tables vapeur'!C6:C61),'Tables vapeur'!C6:C61,1)+1))</f>
        <v>173.67500000000001</v>
      </c>
      <c r="D94" s="156">
        <f>VLOOKUP(C94,'Tables vapeur'!C6:G61,3,FALSE)</f>
        <v>548.89</v>
      </c>
      <c r="E94" s="156">
        <f>VLOOKUP(C94,'Tables vapeur'!C6:G61,4,FALSE)</f>
        <v>2172.4</v>
      </c>
      <c r="F94" s="156">
        <f>VLOOKUP(C94,'Tables vapeur'!C6:G61,5,FALSE)</f>
        <v>2721.29</v>
      </c>
      <c r="G94" s="21">
        <f>VLOOKUP(C94,'Tables vapeur'!$C$6:$G$61,2,FALSE)</f>
        <v>130.6</v>
      </c>
    </row>
    <row r="95" spans="2:10" ht="15" customHeight="1">
      <c r="B95" s="157" t="s">
        <v>95</v>
      </c>
      <c r="C95" s="156">
        <f>C64</f>
        <v>153.1</v>
      </c>
      <c r="D95" s="156">
        <f>IF(C93=C94,D93,FORECAST(C95,D93:D94,C93:C94))</f>
        <v>537.76303999999993</v>
      </c>
      <c r="E95" s="156">
        <f>IF(C93=C94,E93,FORECAST(C95,E93:E94,C93:C94))</f>
        <v>2179.8892999999998</v>
      </c>
      <c r="F95" s="156">
        <f>IF(C93=C94,F93,FORECAST(C95,F93:F94,C93:C94))</f>
        <v>2717.6523400000001</v>
      </c>
      <c r="G95" s="21">
        <f>IF(C93=C94,G93,FORECAST(C95,G93:G94,C93:C94))</f>
        <v>127.99931999999998</v>
      </c>
    </row>
    <row r="96" spans="2:10" ht="15" customHeight="1">
      <c r="B96" s="158"/>
      <c r="C96" s="159"/>
      <c r="D96" s="159"/>
      <c r="E96" s="159"/>
      <c r="F96" s="159"/>
    </row>
    <row r="97" spans="2:9" ht="15" customHeight="1">
      <c r="B97" s="165" t="s">
        <v>12</v>
      </c>
      <c r="C97" s="174"/>
      <c r="D97" s="167"/>
      <c r="E97" s="167"/>
      <c r="F97" s="167"/>
      <c r="G97" s="167"/>
      <c r="H97" s="167"/>
    </row>
    <row r="98" spans="2:9" ht="15" customHeight="1">
      <c r="B98" s="171" t="s">
        <v>355</v>
      </c>
      <c r="C98" s="168"/>
      <c r="D98" s="179">
        <f>IF(D14=1,'Micromodulation et sonde O2'!D64,'P opération brûleur - avant MEE'!D76)</f>
        <v>0.83747950019628004</v>
      </c>
      <c r="E98" s="179">
        <f>IF(E14=1,'Micromodulation et sonde O2'!E64,'P opération brûleur - avant MEE'!E76)</f>
        <v>0.83747950019628004</v>
      </c>
      <c r="F98" s="179">
        <f>IF(F14=1,'Micromodulation et sonde O2'!F64,'P opération brûleur - avant MEE'!F76)</f>
        <v>0.83747950019628004</v>
      </c>
      <c r="G98" s="179">
        <f>IF(G14=1,'Micromodulation et sonde O2'!G64,'P opération brûleur - avant MEE'!G76)</f>
        <v>0.83747950019628004</v>
      </c>
      <c r="H98" s="167"/>
      <c r="I98" s="215" t="s">
        <v>352</v>
      </c>
    </row>
    <row r="99" spans="2:9" ht="15" customHeight="1">
      <c r="B99" s="171" t="s">
        <v>353</v>
      </c>
      <c r="C99" s="168"/>
      <c r="D99" s="267">
        <f>IF('3c. Calculateur MEÉ 2-3-4'!$G$27&lt;=Hypothèses!$C$58,Hypothèses!$D$58,E106)</f>
        <v>2.5999999999999999E-2</v>
      </c>
      <c r="E99" s="180">
        <f>IF('3c. Calculateur MEÉ 2-3-4'!$I$27&lt;=Hypothèses!$C$58,Hypothèses!$D$58,H106)</f>
        <v>2.5999999999999999E-2</v>
      </c>
      <c r="F99" s="180">
        <f>IF('3c. Calculateur MEÉ 2-3-4'!$K$27&lt;=Hypothèses!$C$58,Hypothèses!$D$58,E111)</f>
        <v>2.5999999999999999E-2</v>
      </c>
      <c r="G99" s="180">
        <f>IF('3c. Calculateur MEÉ 2-3-4'!$M$27&lt;=Hypothèses!$C$58,Hypothèses!$D$58,H111)</f>
        <v>2.5999999999999999E-2</v>
      </c>
      <c r="H99" s="167"/>
    </row>
    <row r="100" spans="2:9" ht="15" customHeight="1">
      <c r="B100" s="171" t="s">
        <v>354</v>
      </c>
      <c r="C100" s="168"/>
      <c r="D100" s="693">
        <f>D98-D99</f>
        <v>0.81147950019628001</v>
      </c>
      <c r="E100" s="693">
        <f t="shared" ref="E100:G100" si="8">E98-E99</f>
        <v>0.81147950019628001</v>
      </c>
      <c r="F100" s="693">
        <f t="shared" si="8"/>
        <v>0.81147950019628001</v>
      </c>
      <c r="G100" s="693">
        <f t="shared" si="8"/>
        <v>0.81147950019628001</v>
      </c>
      <c r="H100" s="167"/>
      <c r="I100" s="216" t="s">
        <v>13</v>
      </c>
    </row>
    <row r="101" spans="2:9" ht="15" customHeight="1">
      <c r="B101" s="158"/>
      <c r="C101" s="159"/>
      <c r="D101" s="159"/>
      <c r="E101" s="159"/>
      <c r="F101" s="159"/>
    </row>
    <row r="102" spans="2:9" ht="15" customHeight="1">
      <c r="B102" s="258"/>
      <c r="C102" s="2324" t="s">
        <v>279</v>
      </c>
      <c r="D102" s="2325"/>
      <c r="E102" s="2326"/>
      <c r="F102" s="2324" t="s">
        <v>280</v>
      </c>
      <c r="G102" s="2325"/>
      <c r="H102" s="2325"/>
    </row>
    <row r="103" spans="2:9" ht="28.5" customHeight="1">
      <c r="B103" s="150" t="s">
        <v>361</v>
      </c>
      <c r="C103" s="249" t="s">
        <v>364</v>
      </c>
      <c r="D103" s="13" t="s">
        <v>365</v>
      </c>
      <c r="E103" s="252" t="s">
        <v>366</v>
      </c>
      <c r="F103" s="249" t="s">
        <v>364</v>
      </c>
      <c r="G103" s="13" t="s">
        <v>365</v>
      </c>
      <c r="H103" s="13" t="s">
        <v>366</v>
      </c>
    </row>
    <row r="104" spans="2:9" ht="15" customHeight="1">
      <c r="B104" s="157" t="s">
        <v>951</v>
      </c>
      <c r="C104" s="250" t="e">
        <f>LOOKUP(C106,Hypothèses!$C$58:$C$82)</f>
        <v>#N/A</v>
      </c>
      <c r="D104" s="248" t="e">
        <f>LOOKUP(C104,Hypothèses!$C$58:$C$82,Hypothèses!$D$58:$D$82)</f>
        <v>#N/A</v>
      </c>
      <c r="E104" s="253" t="e">
        <f>D104/'3c. Calculateur MEÉ 2-3-4'!$G$32</f>
        <v>#N/A</v>
      </c>
      <c r="F104" s="250" t="e">
        <f>LOOKUP(F106,Hypothèses!$C$58:$C$82)</f>
        <v>#N/A</v>
      </c>
      <c r="G104" s="248" t="e">
        <f>LOOKUP(F104,Hypothèses!$C$58:$C$82,Hypothèses!$D$58:$D$82)</f>
        <v>#N/A</v>
      </c>
      <c r="H104" s="248" t="e">
        <f>G104/'3c. Calculateur MEÉ 2-3-4'!$I$32</f>
        <v>#N/A</v>
      </c>
      <c r="I104" s="260"/>
    </row>
    <row r="105" spans="2:9" ht="15" customHeight="1">
      <c r="B105" s="157" t="s">
        <v>952</v>
      </c>
      <c r="C105" s="250" t="e">
        <f>IF((C104-C106)=0,C106,INDEX(Hypothèses!$C$58:$C$82,RANK(LOOKUP(C106,Hypothèses!$C$58:$C$82),Hypothèses!$C$58:$C$82,1)+1))</f>
        <v>#N/A</v>
      </c>
      <c r="D105" s="248" t="e">
        <f>LOOKUP(C105,Hypothèses!$C$58:$C$82,Hypothèses!$D$58:$D$82)</f>
        <v>#N/A</v>
      </c>
      <c r="E105" s="253" t="e">
        <f>D105/'3c. Calculateur MEÉ 2-3-4'!$G$32</f>
        <v>#N/A</v>
      </c>
      <c r="F105" s="250" t="e">
        <f>IF((F104-F106)=0,F106,INDEX(Hypothèses!$C$58:$C$82,RANK(LOOKUP(F106,Hypothèses!$C$58:$C$82),Hypothèses!$C$58:$C$82,1)+1))</f>
        <v>#N/A</v>
      </c>
      <c r="G105" s="248" t="e">
        <f>LOOKUP(F105,Hypothèses!$C$58:$C$82,Hypothèses!$D$58:$D$82)</f>
        <v>#N/A</v>
      </c>
      <c r="H105" s="248" t="e">
        <f>G105/'3c. Calculateur MEÉ 2-3-4'!$I$32</f>
        <v>#N/A</v>
      </c>
    </row>
    <row r="106" spans="2:9" ht="15" customHeight="1" thickBot="1">
      <c r="B106" s="157" t="s">
        <v>95</v>
      </c>
      <c r="C106" s="257">
        <f>'3c. Calculateur MEÉ 2-3-4'!$G$27</f>
        <v>0</v>
      </c>
      <c r="D106" s="255" t="e">
        <f>LOOKUP(C106,Hypothèses!$C$58:$C$82,Hypothèses!$D$58:$D$82)</f>
        <v>#N/A</v>
      </c>
      <c r="E106" s="256" t="e">
        <f>D106/'3c. Calculateur MEÉ 2-3-4'!$G$32</f>
        <v>#N/A</v>
      </c>
      <c r="F106" s="257">
        <f>'3c. Calculateur MEÉ 2-3-4'!$I$27</f>
        <v>0</v>
      </c>
      <c r="G106" s="255" t="e">
        <f>LOOKUP(F106,Hypothèses!$C$58:$C$82,Hypothèses!$D$58:$D$82)</f>
        <v>#N/A</v>
      </c>
      <c r="H106" s="259" t="e">
        <f>G106/'3c. Calculateur MEÉ 2-3-4'!$I$32</f>
        <v>#N/A</v>
      </c>
    </row>
    <row r="107" spans="2:9" ht="15" customHeight="1" thickTop="1">
      <c r="B107" s="258"/>
      <c r="C107" s="2321" t="s">
        <v>281</v>
      </c>
      <c r="D107" s="2322"/>
      <c r="E107" s="2323"/>
      <c r="F107" s="2321" t="s">
        <v>282</v>
      </c>
      <c r="G107" s="2322"/>
      <c r="H107" s="2322"/>
    </row>
    <row r="108" spans="2:9" ht="28.5" customHeight="1">
      <c r="B108" s="150" t="s">
        <v>361</v>
      </c>
      <c r="C108" s="249" t="s">
        <v>364</v>
      </c>
      <c r="D108" s="13" t="s">
        <v>365</v>
      </c>
      <c r="E108" s="252" t="s">
        <v>366</v>
      </c>
      <c r="F108" s="249" t="s">
        <v>364</v>
      </c>
      <c r="G108" s="13" t="s">
        <v>365</v>
      </c>
      <c r="H108" s="13" t="s">
        <v>366</v>
      </c>
    </row>
    <row r="109" spans="2:9" ht="15" customHeight="1">
      <c r="B109" s="157" t="s">
        <v>953</v>
      </c>
      <c r="C109" s="250" t="e">
        <f>LOOKUP(C111,Hypothèses!$C$58:$C$82)</f>
        <v>#N/A</v>
      </c>
      <c r="D109" s="248" t="e">
        <f>LOOKUP(C109,Hypothèses!$C$58:$C$82,Hypothèses!$D$58:$D$82)</f>
        <v>#N/A</v>
      </c>
      <c r="E109" s="253" t="e">
        <f>D109/'3c. Calculateur MEÉ 2-3-4'!$K$32</f>
        <v>#N/A</v>
      </c>
      <c r="F109" s="250" t="e">
        <f>LOOKUP(F111,Hypothèses!$C$58:$C$82)</f>
        <v>#N/A</v>
      </c>
      <c r="G109" s="248" t="e">
        <f>LOOKUP(F109,Hypothèses!$C$58:$C$82,Hypothèses!$D$58:$D$82)</f>
        <v>#N/A</v>
      </c>
      <c r="H109" s="248" t="e">
        <f>G109/'3c. Calculateur MEÉ 2-3-4'!$M$32</f>
        <v>#N/A</v>
      </c>
    </row>
    <row r="110" spans="2:9" ht="15" customHeight="1">
      <c r="B110" s="157" t="s">
        <v>952</v>
      </c>
      <c r="C110" s="250" t="e">
        <f>IF((C109-C111)=0,C111,INDEX(Hypothèses!$C$58:$C$82,RANK(LOOKUP(C111,Hypothèses!$C$58:$C$82),Hypothèses!$C$58:$C$82,1)+1))</f>
        <v>#N/A</v>
      </c>
      <c r="D110" s="248" t="e">
        <f>LOOKUP(C110,Hypothèses!$C$58:$C$82,Hypothèses!$D$58:$D$82)</f>
        <v>#N/A</v>
      </c>
      <c r="E110" s="253" t="e">
        <f>D110/'3c. Calculateur MEÉ 2-3-4'!$K$32</f>
        <v>#N/A</v>
      </c>
      <c r="F110" s="250" t="e">
        <f>IF((F109-F111)=0,F111,INDEX(Hypothèses!$C$58:$C$82,RANK(LOOKUP(F111,Hypothèses!$C$58:$C$82),Hypothèses!$C$58:$C$82,1)+1))</f>
        <v>#N/A</v>
      </c>
      <c r="G110" s="248" t="e">
        <f>LOOKUP(F110,Hypothèses!$C$58:$C$82,Hypothèses!$D$58:$D$82)</f>
        <v>#N/A</v>
      </c>
      <c r="H110" s="248" t="e">
        <f>G110/'3c. Calculateur MEÉ 2-3-4'!$M$32</f>
        <v>#N/A</v>
      </c>
    </row>
    <row r="111" spans="2:9" ht="15" customHeight="1">
      <c r="B111" s="157" t="s">
        <v>95</v>
      </c>
      <c r="C111" s="250">
        <f>'3c. Calculateur MEÉ 2-3-4'!$K$27</f>
        <v>0</v>
      </c>
      <c r="D111" s="248" t="e">
        <f>LOOKUP(C111,Hypothèses!$C$58:$C$82,Hypothèses!$D$58:$D$82)</f>
        <v>#N/A</v>
      </c>
      <c r="E111" s="254" t="e">
        <f>D111/'3c. Calculateur MEÉ 2-3-4'!$K$32</f>
        <v>#N/A</v>
      </c>
      <c r="F111" s="250">
        <f>'3c. Calculateur MEÉ 2-3-4'!$M$27</f>
        <v>0</v>
      </c>
      <c r="G111" s="248" t="e">
        <f>LOOKUP(F111,Hypothèses!$C$58:$C$82,Hypothèses!$D$58:$D$82)</f>
        <v>#N/A</v>
      </c>
      <c r="H111" s="251" t="e">
        <f>G111/'3c. Calculateur MEÉ 2-3-4'!$M$32</f>
        <v>#N/A</v>
      </c>
    </row>
    <row r="112" spans="2:9" ht="15" customHeight="1">
      <c r="B112" s="158"/>
      <c r="C112" s="159"/>
      <c r="D112" s="159"/>
      <c r="E112" s="159"/>
      <c r="F112" s="159"/>
    </row>
    <row r="113" spans="2:12" ht="15" customHeight="1">
      <c r="B113" s="165"/>
      <c r="C113" s="166" t="s">
        <v>46</v>
      </c>
      <c r="D113" s="166" t="s">
        <v>1</v>
      </c>
      <c r="E113" s="166" t="s">
        <v>2</v>
      </c>
      <c r="F113" s="166" t="s">
        <v>3</v>
      </c>
      <c r="G113" s="166" t="s">
        <v>4</v>
      </c>
      <c r="H113" s="165" t="s">
        <v>47</v>
      </c>
      <c r="I113" s="159"/>
      <c r="J113" s="159"/>
    </row>
    <row r="114" spans="2:12" ht="15" customHeight="1">
      <c r="B114" s="4"/>
      <c r="C114" s="161"/>
      <c r="D114" s="615"/>
      <c r="E114" s="615"/>
      <c r="F114" s="161"/>
      <c r="G114" s="161"/>
      <c r="H114" s="4"/>
      <c r="I114" s="159"/>
      <c r="J114" s="159"/>
    </row>
    <row r="115" spans="2:12" ht="15" customHeight="1">
      <c r="B115" s="613" t="s">
        <v>936</v>
      </c>
      <c r="C115" s="614"/>
      <c r="D115" s="614"/>
      <c r="E115" s="614"/>
      <c r="F115" s="614"/>
      <c r="G115" s="614"/>
      <c r="H115" s="314"/>
    </row>
    <row r="116" spans="2:12" ht="15" customHeight="1">
      <c r="B116" s="2331" t="s">
        <v>101</v>
      </c>
      <c r="C116" s="660"/>
      <c r="D116" s="660">
        <f>'P opération brûleur - avant MEE'!D94</f>
        <v>0</v>
      </c>
      <c r="E116" s="660">
        <f>'P opération brûleur - avant MEE'!E94</f>
        <v>0</v>
      </c>
      <c r="F116" s="660">
        <f>'P opération brûleur - avant MEE'!F94</f>
        <v>0</v>
      </c>
      <c r="G116" s="660">
        <f>'P opération brûleur - avant MEE'!G94</f>
        <v>0</v>
      </c>
      <c r="H116" s="661" t="s">
        <v>5</v>
      </c>
    </row>
    <row r="117" spans="2:12">
      <c r="B117" s="2331"/>
      <c r="C117" s="662"/>
      <c r="D117" s="663">
        <f>D74</f>
        <v>0</v>
      </c>
      <c r="E117" s="663">
        <f>E74</f>
        <v>0</v>
      </c>
      <c r="F117" s="663">
        <f>F74</f>
        <v>0</v>
      </c>
      <c r="G117" s="663">
        <f>G74</f>
        <v>0</v>
      </c>
      <c r="H117" s="664" t="s">
        <v>5</v>
      </c>
      <c r="J117" s="140"/>
    </row>
    <row r="118" spans="2:12" ht="18" customHeight="1">
      <c r="B118" s="2331" t="s">
        <v>102</v>
      </c>
      <c r="C118" s="660"/>
      <c r="D118" s="665">
        <f>'P opération brûleur - avant MEE'!D95</f>
        <v>0</v>
      </c>
      <c r="E118" s="665">
        <f>'P opération brûleur - avant MEE'!E95</f>
        <v>0</v>
      </c>
      <c r="F118" s="665">
        <f>'P opération brûleur - avant MEE'!F95</f>
        <v>0</v>
      </c>
      <c r="G118" s="665">
        <f>'P opération brûleur - avant MEE'!G95</f>
        <v>0</v>
      </c>
      <c r="H118" s="666" t="s">
        <v>5</v>
      </c>
      <c r="J118" s="140"/>
    </row>
    <row r="119" spans="2:12" ht="15" customHeight="1">
      <c r="B119" s="2331"/>
      <c r="C119" s="662"/>
      <c r="D119" s="667">
        <f>D61</f>
        <v>0</v>
      </c>
      <c r="E119" s="667">
        <f>E61</f>
        <v>0</v>
      </c>
      <c r="F119" s="667">
        <f>F61</f>
        <v>0</v>
      </c>
      <c r="G119" s="667">
        <f>G61</f>
        <v>0</v>
      </c>
      <c r="H119" s="664" t="s">
        <v>5</v>
      </c>
      <c r="J119" s="140"/>
      <c r="L119" s="139"/>
    </row>
    <row r="120" spans="2:12" ht="18" customHeight="1">
      <c r="B120" s="2331" t="s">
        <v>103</v>
      </c>
      <c r="C120" s="660"/>
      <c r="D120" s="668">
        <f>'P opération brûleur - avant MEE'!D96</f>
        <v>0</v>
      </c>
      <c r="E120" s="668">
        <f>'P opération brûleur - avant MEE'!E96</f>
        <v>0</v>
      </c>
      <c r="F120" s="668">
        <f>'P opération brûleur - avant MEE'!F96</f>
        <v>0</v>
      </c>
      <c r="G120" s="668">
        <f>'P opération brûleur - avant MEE'!G96</f>
        <v>0</v>
      </c>
      <c r="H120" s="666" t="s">
        <v>5</v>
      </c>
      <c r="J120" s="140"/>
      <c r="L120" s="139"/>
    </row>
    <row r="121" spans="2:12">
      <c r="B121" s="2331"/>
      <c r="C121" s="662"/>
      <c r="D121" s="667">
        <f>D69</f>
        <v>0</v>
      </c>
      <c r="E121" s="667">
        <f>E69</f>
        <v>0</v>
      </c>
      <c r="F121" s="667">
        <f>F69</f>
        <v>0</v>
      </c>
      <c r="G121" s="667">
        <f>G69</f>
        <v>0</v>
      </c>
      <c r="H121" s="664" t="s">
        <v>5</v>
      </c>
      <c r="I121" s="228"/>
      <c r="J121" s="140"/>
      <c r="L121" s="139"/>
    </row>
    <row r="122" spans="2:12" ht="18" customHeight="1">
      <c r="B122" s="2331" t="s">
        <v>104</v>
      </c>
      <c r="C122" s="660"/>
      <c r="D122" s="668">
        <f>'P opération brûleur - avant MEE'!D97</f>
        <v>0</v>
      </c>
      <c r="E122" s="668">
        <f>'P opération brûleur - avant MEE'!E97</f>
        <v>0</v>
      </c>
      <c r="F122" s="668">
        <f>'P opération brûleur - avant MEE'!F97</f>
        <v>0</v>
      </c>
      <c r="G122" s="668">
        <f>'P opération brûleur - avant MEE'!G97</f>
        <v>0</v>
      </c>
      <c r="H122" s="666" t="s">
        <v>5</v>
      </c>
      <c r="J122" s="140"/>
      <c r="L122" s="139"/>
    </row>
    <row r="123" spans="2:12">
      <c r="B123" s="2331"/>
      <c r="C123" s="662"/>
      <c r="D123" s="663">
        <f>D54</f>
        <v>0</v>
      </c>
      <c r="E123" s="663">
        <f>E54</f>
        <v>0</v>
      </c>
      <c r="F123" s="663">
        <f>F54</f>
        <v>0</v>
      </c>
      <c r="G123" s="663">
        <f>G54</f>
        <v>0</v>
      </c>
      <c r="H123" s="664" t="s">
        <v>5</v>
      </c>
      <c r="I123" s="228"/>
      <c r="J123" s="140"/>
      <c r="L123" s="139"/>
    </row>
    <row r="124" spans="2:12" ht="18" customHeight="1">
      <c r="B124" s="2330" t="s">
        <v>105</v>
      </c>
      <c r="C124" s="660"/>
      <c r="D124" s="669">
        <f>'P opération brûleur - avant MEE'!D98</f>
        <v>0</v>
      </c>
      <c r="E124" s="669">
        <f>'P opération brûleur - avant MEE'!E98</f>
        <v>0</v>
      </c>
      <c r="F124" s="669">
        <f>'P opération brûleur - avant MEE'!F98</f>
        <v>0</v>
      </c>
      <c r="G124" s="669">
        <f>'P opération brûleur - avant MEE'!G98</f>
        <v>0</v>
      </c>
      <c r="H124" s="666" t="s">
        <v>5</v>
      </c>
      <c r="J124" s="140"/>
      <c r="L124" s="139"/>
    </row>
    <row r="125" spans="2:12" ht="18">
      <c r="B125" s="2330"/>
      <c r="C125" s="662"/>
      <c r="D125" s="670">
        <f>D117+D119+D121-D123</f>
        <v>0</v>
      </c>
      <c r="E125" s="670">
        <f t="shared" ref="E125" si="9">E117+E119+E121-E123</f>
        <v>0</v>
      </c>
      <c r="F125" s="670">
        <f>F117+F119+F121-F123</f>
        <v>0</v>
      </c>
      <c r="G125" s="670">
        <f>G117+G119+G121-G123</f>
        <v>0</v>
      </c>
      <c r="H125" s="664" t="s">
        <v>5</v>
      </c>
      <c r="I125" s="148" t="s">
        <v>106</v>
      </c>
    </row>
    <row r="126" spans="2:12" ht="18" customHeight="1">
      <c r="B126" s="2330" t="s">
        <v>107</v>
      </c>
      <c r="C126" s="662"/>
      <c r="D126" s="663">
        <f>D125*'Facteurs conversion'!$C$10</f>
        <v>0</v>
      </c>
      <c r="E126" s="663">
        <f>E125*'Facteurs conversion'!$C$10</f>
        <v>0</v>
      </c>
      <c r="F126" s="663">
        <f>F125*'Facteurs conversion'!$C$10</f>
        <v>0</v>
      </c>
      <c r="G126" s="663">
        <f>G125*'Facteurs conversion'!$C$10</f>
        <v>0</v>
      </c>
      <c r="H126" s="664" t="s">
        <v>10</v>
      </c>
    </row>
    <row r="127" spans="2:12" ht="18" customHeight="1">
      <c r="B127" s="2330"/>
      <c r="C127" s="660"/>
      <c r="D127" s="669">
        <f>'P opération brûleur - avant MEE'!D100</f>
        <v>0</v>
      </c>
      <c r="E127" s="671">
        <f>'P opération brûleur - avant MEE'!E100</f>
        <v>0</v>
      </c>
      <c r="F127" s="669">
        <f>'P opération brûleur - avant MEE'!F100</f>
        <v>0</v>
      </c>
      <c r="G127" s="669">
        <f>'P opération brûleur - avant MEE'!G100</f>
        <v>0</v>
      </c>
      <c r="H127" s="666" t="s">
        <v>5</v>
      </c>
    </row>
    <row r="128" spans="2:12">
      <c r="B128" s="2330"/>
      <c r="C128" s="662"/>
      <c r="D128" s="670">
        <f>D125/D100</f>
        <v>0</v>
      </c>
      <c r="E128" s="670">
        <f>E125/E100</f>
        <v>0</v>
      </c>
      <c r="F128" s="670">
        <f>F125/F100</f>
        <v>0</v>
      </c>
      <c r="G128" s="670">
        <f>G125/G100</f>
        <v>0</v>
      </c>
      <c r="H128" s="664" t="s">
        <v>5</v>
      </c>
    </row>
    <row r="129" spans="1:12">
      <c r="B129" s="2330"/>
      <c r="C129" s="662"/>
      <c r="D129" s="667">
        <f>D128*'Facteurs conversion'!$C$10</f>
        <v>0</v>
      </c>
      <c r="E129" s="667">
        <f>E128*'Facteurs conversion'!$C$10</f>
        <v>0</v>
      </c>
      <c r="F129" s="667">
        <f>F128*'Facteurs conversion'!$C$10</f>
        <v>0</v>
      </c>
      <c r="G129" s="667">
        <f>G128*'Facteurs conversion'!$C$10</f>
        <v>0</v>
      </c>
      <c r="H129" s="664" t="s">
        <v>10</v>
      </c>
    </row>
    <row r="130" spans="1:12">
      <c r="B130" s="2330"/>
      <c r="C130" s="662"/>
      <c r="D130" s="667">
        <f>D129*10^6/'Facteurs conversion'!$C$11</f>
        <v>0</v>
      </c>
      <c r="E130" s="667">
        <f>E129*10^6/'Facteurs conversion'!$C$11</f>
        <v>0</v>
      </c>
      <c r="F130" s="667">
        <f>F129*10^6/'Facteurs conversion'!$C$11</f>
        <v>0</v>
      </c>
      <c r="G130" s="667">
        <f>G129*10^6/'Facteurs conversion'!$C$11</f>
        <v>0</v>
      </c>
      <c r="H130" s="664" t="s">
        <v>109</v>
      </c>
    </row>
    <row r="131" spans="1:12">
      <c r="B131" s="4" t="s">
        <v>1581</v>
      </c>
      <c r="C131" s="143"/>
      <c r="D131" s="1031" t="e">
        <f>D124/D127</f>
        <v>#DIV/0!</v>
      </c>
      <c r="E131" s="1031" t="e">
        <f t="shared" ref="E131:G131" si="10">E124/E127</f>
        <v>#DIV/0!</v>
      </c>
      <c r="F131" s="1031" t="e">
        <f t="shared" si="10"/>
        <v>#DIV/0!</v>
      </c>
      <c r="G131" s="1031" t="e">
        <f t="shared" si="10"/>
        <v>#DIV/0!</v>
      </c>
      <c r="H131" s="1031"/>
    </row>
    <row r="132" spans="1:12">
      <c r="B132" s="5" t="s">
        <v>1313</v>
      </c>
      <c r="C132" s="145"/>
      <c r="D132" s="6"/>
      <c r="E132" s="6"/>
      <c r="F132" s="6"/>
      <c r="G132" s="6"/>
      <c r="H132" s="6"/>
      <c r="I132" s="6"/>
      <c r="J132" s="6"/>
      <c r="K132" s="6"/>
      <c r="L132" s="6"/>
    </row>
    <row r="133" spans="1:12">
      <c r="C133"/>
      <c r="D133" s="1032"/>
      <c r="E133" s="1032"/>
      <c r="F133" s="1032"/>
      <c r="G133" s="1032"/>
      <c r="H133" s="1032"/>
    </row>
    <row r="134" spans="1:12">
      <c r="B134" t="s">
        <v>1312</v>
      </c>
      <c r="C134"/>
      <c r="D134" s="228"/>
      <c r="E134" s="228"/>
    </row>
    <row r="135" spans="1:12">
      <c r="B135" s="2328"/>
      <c r="C135" s="2327" t="s">
        <v>910</v>
      </c>
      <c r="D135" s="2327"/>
      <c r="E135" s="2327"/>
      <c r="F135" s="2327"/>
      <c r="G135" s="2327"/>
      <c r="H135" s="2327"/>
    </row>
    <row r="136" spans="1:12">
      <c r="B136" s="2329"/>
      <c r="C136" s="608" t="s">
        <v>46</v>
      </c>
      <c r="D136" s="608" t="s">
        <v>1</v>
      </c>
      <c r="E136" s="608" t="s">
        <v>2</v>
      </c>
      <c r="F136" s="608" t="s">
        <v>3</v>
      </c>
      <c r="G136" s="875" t="s">
        <v>4</v>
      </c>
      <c r="H136" s="865" t="s">
        <v>913</v>
      </c>
    </row>
    <row r="137" spans="1:12">
      <c r="A137">
        <v>1</v>
      </c>
      <c r="B137" s="10" t="s">
        <v>906</v>
      </c>
      <c r="C137" s="609">
        <f t="shared" ref="C137:C142" si="11">SUM(D137:G137)</f>
        <v>0</v>
      </c>
      <c r="D137" s="137">
        <f>IF(D$12=$A137,'P opération brûleur - éco'!D$37,0)</f>
        <v>0</v>
      </c>
      <c r="E137" s="137">
        <f>IF(E$12=$A137,'P opération brûleur - éco'!E$37,0)</f>
        <v>0</v>
      </c>
      <c r="F137" s="137">
        <f>IF(F$12=$A137,'P opération brûleur - éco'!F$37,0)</f>
        <v>0</v>
      </c>
      <c r="G137" s="876">
        <f>IF(G$12=$A137,'P opération brûleur - éco'!G$37,0)</f>
        <v>0</v>
      </c>
      <c r="H137" s="609">
        <f>D49</f>
        <v>0</v>
      </c>
    </row>
    <row r="138" spans="1:12">
      <c r="A138">
        <v>2</v>
      </c>
      <c r="B138" s="10" t="s">
        <v>907</v>
      </c>
      <c r="C138" s="609">
        <f t="shared" si="11"/>
        <v>0</v>
      </c>
      <c r="D138" s="137">
        <f>IF(D$12=$A138,'P opération brûleur - éco'!D$37,0)</f>
        <v>0</v>
      </c>
      <c r="E138" s="137">
        <f>IF(E$12=$A138,'P opération brûleur - éco'!E$37,0)</f>
        <v>0</v>
      </c>
      <c r="F138" s="137">
        <f>IF(F$12=$A138,'P opération brûleur - éco'!F$37,0)</f>
        <v>0</v>
      </c>
      <c r="G138" s="876">
        <f>IF(G$12=$A138,'P opération brûleur - éco'!G$37,0)</f>
        <v>0</v>
      </c>
      <c r="H138" s="609">
        <f>E49</f>
        <v>0</v>
      </c>
    </row>
    <row r="139" spans="1:12">
      <c r="A139">
        <v>3</v>
      </c>
      <c r="B139" s="10" t="s">
        <v>908</v>
      </c>
      <c r="C139" s="609">
        <f t="shared" si="11"/>
        <v>0</v>
      </c>
      <c r="D139" s="137">
        <f>IF(D$12=$A139,'P opération brûleur - éco'!D$37,0)</f>
        <v>0</v>
      </c>
      <c r="E139" s="137">
        <f>IF(E$12=$A139,'P opération brûleur - éco'!E$37,0)</f>
        <v>0</v>
      </c>
      <c r="F139" s="137">
        <f>IF(F$12=$A139,'P opération brûleur - éco'!F$37,0)</f>
        <v>0</v>
      </c>
      <c r="G139" s="876">
        <f>IF(G$12=$A139,'P opération brûleur - éco'!G$37,0)</f>
        <v>0</v>
      </c>
      <c r="H139" s="609">
        <f>F49</f>
        <v>0</v>
      </c>
    </row>
    <row r="140" spans="1:12" ht="15.75" thickBot="1">
      <c r="A140">
        <v>4</v>
      </c>
      <c r="B140" s="880" t="s">
        <v>909</v>
      </c>
      <c r="C140" s="882">
        <f t="shared" si="11"/>
        <v>0</v>
      </c>
      <c r="D140" s="881">
        <f>IF(D$12=$A140,'P opération brûleur - éco'!D$37,0)</f>
        <v>0</v>
      </c>
      <c r="E140" s="881">
        <f>IF(E$12=$A140,'P opération brûleur - éco'!E$37,0)</f>
        <v>0</v>
      </c>
      <c r="F140" s="881">
        <f>IF(F$12=$A140,'P opération brûleur - éco'!F$37,0)</f>
        <v>0</v>
      </c>
      <c r="G140" s="883">
        <f>IF(G$12=$A140,'P opération brûleur - éco'!G$37,0)</f>
        <v>0</v>
      </c>
      <c r="H140" s="882">
        <f>G49</f>
        <v>0</v>
      </c>
    </row>
    <row r="141" spans="1:12" ht="15.75" thickTop="1">
      <c r="A141" s="218" t="s">
        <v>670</v>
      </c>
      <c r="B141" s="871" t="s">
        <v>1314</v>
      </c>
      <c r="C141" s="872">
        <f t="shared" si="11"/>
        <v>0</v>
      </c>
      <c r="D141" s="873">
        <f>IF(D$12=$A141,'P opération brûleur - éco'!D$37,0)</f>
        <v>0</v>
      </c>
      <c r="E141" s="873">
        <f>IF(E$12=$A141,'P opération brûleur - éco'!E$37,0)</f>
        <v>0</v>
      </c>
      <c r="F141" s="873">
        <f>IF(F$12=$A141,'P opération brûleur - éco'!F$37,0)</f>
        <v>0</v>
      </c>
      <c r="G141" s="877">
        <f>IF(G$12=$A141,'P opération brûleur - éco'!G$37,0)</f>
        <v>0</v>
      </c>
      <c r="H141" s="884">
        <f>H49</f>
        <v>0</v>
      </c>
    </row>
    <row r="142" spans="1:12">
      <c r="A142" s="218" t="s">
        <v>1309</v>
      </c>
      <c r="B142" s="10" t="s">
        <v>1315</v>
      </c>
      <c r="C142" s="609">
        <f t="shared" si="11"/>
        <v>0</v>
      </c>
      <c r="D142" s="137">
        <f>IF(D$12=$A142,'P opération brûleur - éco'!D$37,0)</f>
        <v>0</v>
      </c>
      <c r="E142" s="137">
        <f>IF(E$12=$A142,'P opération brûleur - éco'!E$37,0)</f>
        <v>0</v>
      </c>
      <c r="F142" s="137">
        <f>IF(F$12=$A142,'P opération brûleur - éco'!F$37,0)</f>
        <v>0</v>
      </c>
      <c r="G142" s="876">
        <f>IF(G$12=$A142,'P opération brûleur - éco'!G$37,0)</f>
        <v>0</v>
      </c>
      <c r="H142" s="609">
        <f>I49</f>
        <v>0</v>
      </c>
    </row>
    <row r="143" spans="1:12">
      <c r="A143" s="218" t="s">
        <v>678</v>
      </c>
      <c r="B143" s="10" t="s">
        <v>1316</v>
      </c>
      <c r="C143" s="609">
        <f t="shared" ref="C143:C144" si="12">SUM(D143:G143)</f>
        <v>0</v>
      </c>
      <c r="D143" s="137">
        <f>IF(D$12=$A143,'P opération brûleur - éco'!D$37,0)</f>
        <v>0</v>
      </c>
      <c r="E143" s="137">
        <f>IF(E$12=$A143,'P opération brûleur - éco'!E$37,0)</f>
        <v>0</v>
      </c>
      <c r="F143" s="137">
        <f>IF(F$12=$A143,'P opération brûleur - éco'!F$37,0)</f>
        <v>0</v>
      </c>
      <c r="G143" s="876">
        <f>IF(G$12=$A143,'P opération brûleur - éco'!G$37,0)</f>
        <v>0</v>
      </c>
      <c r="H143" s="609">
        <f>J49</f>
        <v>0</v>
      </c>
    </row>
    <row r="144" spans="1:12">
      <c r="A144" s="218" t="s">
        <v>740</v>
      </c>
      <c r="B144" s="10" t="s">
        <v>1317</v>
      </c>
      <c r="C144" s="609">
        <f t="shared" si="12"/>
        <v>0</v>
      </c>
      <c r="D144" s="137">
        <f>IF(D$12=$A144,'P opération brûleur - éco'!D$37,0)</f>
        <v>0</v>
      </c>
      <c r="E144" s="137">
        <f>IF(E$12=$A144,'P opération brûleur - éco'!E$37,0)</f>
        <v>0</v>
      </c>
      <c r="F144" s="137">
        <f>IF(F$12=$A144,'P opération brûleur - éco'!F$37,0)</f>
        <v>0</v>
      </c>
      <c r="G144" s="876">
        <f>IF(G$12=$A144,'P opération brûleur - éco'!G$37,0)</f>
        <v>0</v>
      </c>
      <c r="H144" s="878">
        <f>K49</f>
        <v>0</v>
      </c>
    </row>
    <row r="145" spans="1:8">
      <c r="B145" s="707"/>
      <c r="C145" s="187"/>
      <c r="D145" s="187"/>
      <c r="E145" s="187"/>
      <c r="F145" s="187"/>
      <c r="G145" s="187"/>
      <c r="H145" s="187"/>
    </row>
    <row r="146" spans="1:8">
      <c r="B146" s="490" t="s">
        <v>911</v>
      </c>
    </row>
    <row r="147" spans="1:8">
      <c r="B147" s="708"/>
      <c r="C147" s="2327" t="s">
        <v>912</v>
      </c>
      <c r="D147" s="2327"/>
      <c r="E147" s="2327"/>
      <c r="F147" s="2327"/>
      <c r="G147" s="2327"/>
    </row>
    <row r="148" spans="1:8">
      <c r="B148" s="260"/>
      <c r="C148" s="610" t="s">
        <v>46</v>
      </c>
      <c r="D148" s="610" t="s">
        <v>1</v>
      </c>
      <c r="E148" s="610" t="s">
        <v>2</v>
      </c>
      <c r="F148" s="610" t="s">
        <v>3</v>
      </c>
      <c r="G148" s="610" t="s">
        <v>4</v>
      </c>
    </row>
    <row r="149" spans="1:8">
      <c r="B149" s="10" t="s">
        <v>906</v>
      </c>
      <c r="C149" s="609">
        <f>SUM(D149:G149)</f>
        <v>0</v>
      </c>
      <c r="D149" s="137">
        <f>IF($C137=0,0,$H137*(D137/$C137))</f>
        <v>0</v>
      </c>
      <c r="E149" s="137">
        <f t="shared" ref="E149:G149" si="13">IF($C137=0,0,$H137*(E137/$C137))</f>
        <v>0</v>
      </c>
      <c r="F149" s="137">
        <f t="shared" si="13"/>
        <v>0</v>
      </c>
      <c r="G149" s="137">
        <f t="shared" si="13"/>
        <v>0</v>
      </c>
    </row>
    <row r="150" spans="1:8">
      <c r="B150" s="10" t="s">
        <v>907</v>
      </c>
      <c r="C150" s="609">
        <f>SUM(D150:G150)</f>
        <v>0</v>
      </c>
      <c r="D150" s="137">
        <f t="shared" ref="D150:G150" si="14">IF($C138=0,0,$H138*(D138/$C138))</f>
        <v>0</v>
      </c>
      <c r="E150" s="137">
        <f t="shared" si="14"/>
        <v>0</v>
      </c>
      <c r="F150" s="137">
        <f t="shared" si="14"/>
        <v>0</v>
      </c>
      <c r="G150" s="137">
        <f t="shared" si="14"/>
        <v>0</v>
      </c>
    </row>
    <row r="151" spans="1:8">
      <c r="B151" s="10" t="s">
        <v>908</v>
      </c>
      <c r="C151" s="609">
        <f t="shared" ref="C151:C156" si="15">SUM(D151:G151)</f>
        <v>0</v>
      </c>
      <c r="D151" s="137">
        <f t="shared" ref="D151:G151" si="16">IF($C139=0,0,$H139*(D139/$C139))</f>
        <v>0</v>
      </c>
      <c r="E151" s="137">
        <f t="shared" si="16"/>
        <v>0</v>
      </c>
      <c r="F151" s="137">
        <f t="shared" si="16"/>
        <v>0</v>
      </c>
      <c r="G151" s="137">
        <f t="shared" si="16"/>
        <v>0</v>
      </c>
    </row>
    <row r="152" spans="1:8" ht="15.75" thickBot="1">
      <c r="B152" s="880" t="s">
        <v>909</v>
      </c>
      <c r="C152" s="881">
        <f t="shared" si="15"/>
        <v>0</v>
      </c>
      <c r="D152" s="881">
        <f t="shared" ref="D152:G152" si="17">IF($C140=0,0,$H140*(D140/$C140))</f>
        <v>0</v>
      </c>
      <c r="E152" s="881">
        <f t="shared" si="17"/>
        <v>0</v>
      </c>
      <c r="F152" s="881">
        <f t="shared" si="17"/>
        <v>0</v>
      </c>
      <c r="G152" s="881">
        <f t="shared" si="17"/>
        <v>0</v>
      </c>
    </row>
    <row r="153" spans="1:8" ht="15.75" thickTop="1">
      <c r="A153" s="218"/>
      <c r="B153" s="871" t="s">
        <v>1314</v>
      </c>
      <c r="C153" s="879">
        <f t="shared" si="15"/>
        <v>0</v>
      </c>
      <c r="D153" s="879">
        <f>IF($C141=0,0,$H141*(D141/$C141))</f>
        <v>0</v>
      </c>
      <c r="E153" s="879">
        <f>IF($C141=0,0,$H141*(E141/$C141))</f>
        <v>0</v>
      </c>
      <c r="F153" s="879">
        <f t="shared" ref="F153:G153" si="18">IF($C141=0,0,$H141*(F141/$C141))</f>
        <v>0</v>
      </c>
      <c r="G153" s="879">
        <f t="shared" si="18"/>
        <v>0</v>
      </c>
    </row>
    <row r="154" spans="1:8">
      <c r="A154" s="218"/>
      <c r="B154" s="10" t="s">
        <v>1315</v>
      </c>
      <c r="C154" s="874">
        <f t="shared" si="15"/>
        <v>0</v>
      </c>
      <c r="D154" s="874">
        <f t="shared" ref="D154:G154" si="19">IF($C142=0,0,$H142*(D142/$C142))</f>
        <v>0</v>
      </c>
      <c r="E154" s="137">
        <f t="shared" si="19"/>
        <v>0</v>
      </c>
      <c r="F154" s="874">
        <f t="shared" si="19"/>
        <v>0</v>
      </c>
      <c r="G154" s="874">
        <f t="shared" si="19"/>
        <v>0</v>
      </c>
    </row>
    <row r="155" spans="1:8">
      <c r="A155" s="218"/>
      <c r="B155" s="10" t="s">
        <v>1316</v>
      </c>
      <c r="C155" s="874">
        <f t="shared" si="15"/>
        <v>0</v>
      </c>
      <c r="D155" s="874">
        <f t="shared" ref="D155:G155" si="20">IF($C143=0,0,$H143*(D143/$C143))</f>
        <v>0</v>
      </c>
      <c r="E155" s="874">
        <f t="shared" si="20"/>
        <v>0</v>
      </c>
      <c r="F155" s="874">
        <f t="shared" si="20"/>
        <v>0</v>
      </c>
      <c r="G155" s="874">
        <f t="shared" si="20"/>
        <v>0</v>
      </c>
    </row>
    <row r="156" spans="1:8">
      <c r="A156" s="218"/>
      <c r="B156" s="10" t="s">
        <v>1317</v>
      </c>
      <c r="C156" s="137">
        <f t="shared" si="15"/>
        <v>0</v>
      </c>
      <c r="D156" s="137">
        <f t="shared" ref="D156:G156" si="21">IF($C144=0,0,$H144*(D144/$C144))</f>
        <v>0</v>
      </c>
      <c r="E156" s="137">
        <f t="shared" si="21"/>
        <v>0</v>
      </c>
      <c r="F156" s="137">
        <f t="shared" si="21"/>
        <v>0</v>
      </c>
      <c r="G156" s="137">
        <f t="shared" si="21"/>
        <v>0</v>
      </c>
    </row>
    <row r="158" spans="1:8">
      <c r="B158" s="5" t="s">
        <v>605</v>
      </c>
      <c r="C158" s="145"/>
      <c r="D158" s="6"/>
      <c r="E158" s="6"/>
      <c r="F158" s="6"/>
      <c r="G158" s="6"/>
      <c r="H158" s="6"/>
    </row>
    <row r="159" spans="1:8">
      <c r="C159" s="166" t="s">
        <v>46</v>
      </c>
      <c r="D159" s="166" t="s">
        <v>1</v>
      </c>
      <c r="E159" s="166" t="s">
        <v>2</v>
      </c>
      <c r="F159" s="166" t="s">
        <v>3</v>
      </c>
      <c r="G159" s="166" t="s">
        <v>4</v>
      </c>
      <c r="H159" s="2"/>
    </row>
    <row r="160" spans="1:8">
      <c r="B160" s="617" t="s">
        <v>920</v>
      </c>
      <c r="C160" s="618"/>
      <c r="D160" s="619"/>
      <c r="E160" s="619"/>
      <c r="F160" s="619"/>
      <c r="G160" s="619"/>
      <c r="H160" s="620"/>
    </row>
    <row r="161" spans="1:12">
      <c r="B161" t="s">
        <v>314</v>
      </c>
      <c r="C161" s="496">
        <f>SUM(D161:G161)</f>
        <v>0</v>
      </c>
      <c r="D161" s="646">
        <f>IF(D14=1,'Micromodulation et sonde O2'!D79,0)</f>
        <v>0</v>
      </c>
      <c r="E161" s="646">
        <f>IF(E14=1,'Micromodulation et sonde O2'!E79,0)</f>
        <v>0</v>
      </c>
      <c r="F161" s="646">
        <f>IF(F14=1,'Micromodulation et sonde O2'!F79,0)</f>
        <v>0</v>
      </c>
      <c r="G161" s="646">
        <f>IF(G14=1,'Micromodulation et sonde O2'!G79,0)</f>
        <v>0</v>
      </c>
      <c r="H161" t="s">
        <v>5</v>
      </c>
      <c r="I161" s="623" t="s">
        <v>934</v>
      </c>
    </row>
    <row r="162" spans="1:12" ht="18">
      <c r="B162" t="s">
        <v>929</v>
      </c>
      <c r="C162" s="496">
        <f>SUM(D162:G162)</f>
        <v>0</v>
      </c>
      <c r="D162" s="654">
        <f>IF(D14=1,'Micromodulation et sonde O2'!D80,0)</f>
        <v>0</v>
      </c>
      <c r="E162" s="654">
        <f>IF(E14=1,'Micromodulation et sonde O2'!E80,0)</f>
        <v>0</v>
      </c>
      <c r="F162" s="654">
        <f>IF(F14=1,'Micromodulation et sonde O2'!F80,0)</f>
        <v>0</v>
      </c>
      <c r="G162" s="654">
        <f>IF(G14=1,'Micromodulation et sonde O2'!G80,0)</f>
        <v>0</v>
      </c>
      <c r="H162" t="s">
        <v>5</v>
      </c>
      <c r="I162" s="623" t="s">
        <v>935</v>
      </c>
    </row>
    <row r="163" spans="1:12">
      <c r="B163" t="s">
        <v>608</v>
      </c>
      <c r="C163" s="496">
        <f>SUM(D163:G163)</f>
        <v>0</v>
      </c>
      <c r="D163" s="187">
        <f>SUMIF(D149:D152,"&lt;&gt;"&amp;"#DIV/0!",D149:D152)</f>
        <v>0</v>
      </c>
      <c r="E163" s="187">
        <f>SUMIF(E149:E152,"&lt;&gt;"&amp;"#DIV/0!",E149:E152)</f>
        <v>0</v>
      </c>
      <c r="F163" s="187">
        <f t="shared" ref="F163:G163" si="22">SUMIF(F149:F152,"&lt;&gt;"&amp;"#DIV/0!",F149:F152)</f>
        <v>0</v>
      </c>
      <c r="G163" s="187">
        <f t="shared" si="22"/>
        <v>0</v>
      </c>
      <c r="H163" t="s">
        <v>5</v>
      </c>
      <c r="I163" s="623" t="s">
        <v>917</v>
      </c>
    </row>
    <row r="164" spans="1:12">
      <c r="A164" s="724"/>
      <c r="B164" t="s">
        <v>1319</v>
      </c>
      <c r="C164" s="496">
        <f>IF(OR('3c. Calculateur MEÉ 2-3-4'!$G$13="Eau chaude",'3c. Calculateur MEÉ 2-3-4'!$G$19&lt;&gt;"Oui"),C165,C166)</f>
        <v>0</v>
      </c>
      <c r="D164" s="496" t="e">
        <f>IF(OR('3c. Calculateur MEÉ 2-3-4'!$G$13="Eau chaude",'3c. Calculateur MEÉ 2-3-4'!$G$19&lt;&gt;"Oui"),D165,D166)</f>
        <v>#DIV/0!</v>
      </c>
      <c r="E164" s="496" t="e">
        <f>IF(OR('3c. Calculateur MEÉ 2-3-4'!$G$13="Eau chaude",'3c. Calculateur MEÉ 2-3-4'!$G$19&lt;&gt;"Oui"),E165,E166)</f>
        <v>#DIV/0!</v>
      </c>
      <c r="F164" s="496" t="e">
        <f>IF(OR('3c. Calculateur MEÉ 2-3-4'!$G$13="Eau chaude",'3c. Calculateur MEÉ 2-3-4'!$G$19&lt;&gt;"Oui"),F165,F166)</f>
        <v>#DIV/0!</v>
      </c>
      <c r="G164" s="496" t="e">
        <f>IF(OR('3c. Calculateur MEÉ 2-3-4'!$G$13="Eau chaude",'3c. Calculateur MEÉ 2-3-4'!$G$19&lt;&gt;"Oui"),G165,G166)</f>
        <v>#DIV/0!</v>
      </c>
      <c r="H164" t="s">
        <v>5</v>
      </c>
      <c r="I164" s="623" t="s">
        <v>923</v>
      </c>
    </row>
    <row r="165" spans="1:12">
      <c r="A165" s="724"/>
      <c r="B165" s="1180" t="s">
        <v>1900</v>
      </c>
      <c r="C165" s="1184">
        <f>SUMIF(D10:G10,1,D26:G26)</f>
        <v>0</v>
      </c>
      <c r="D165" s="1185" t="e">
        <f>$C$165*D19</f>
        <v>#DIV/0!</v>
      </c>
      <c r="E165" s="1185" t="e">
        <f t="shared" ref="E165:F165" si="23">$C$165*E19</f>
        <v>#DIV/0!</v>
      </c>
      <c r="F165" s="1185" t="e">
        <f t="shared" si="23"/>
        <v>#DIV/0!</v>
      </c>
      <c r="G165" s="1185" t="e">
        <f>$C$165*G19</f>
        <v>#DIV/0!</v>
      </c>
      <c r="H165" s="1181" t="s">
        <v>5</v>
      </c>
      <c r="I165" s="623"/>
    </row>
    <row r="166" spans="1:12">
      <c r="A166" s="724"/>
      <c r="B166" s="1180" t="s">
        <v>1896</v>
      </c>
      <c r="C166" s="1184">
        <f>IF(OR(D10=1,E10=1,F10=1,G10=1),'P opération brûleur - avant MEE'!C45-'P opération brûleur - éco'!C69,0)</f>
        <v>0</v>
      </c>
      <c r="D166" s="1185" t="e">
        <f>$C$166*D19</f>
        <v>#DIV/0!</v>
      </c>
      <c r="E166" s="1185" t="e">
        <f t="shared" ref="E166:G166" si="24">$C$166*E19</f>
        <v>#DIV/0!</v>
      </c>
      <c r="F166" s="1185" t="e">
        <f t="shared" si="24"/>
        <v>#DIV/0!</v>
      </c>
      <c r="G166" s="1185" t="e">
        <f t="shared" si="24"/>
        <v>#DIV/0!</v>
      </c>
      <c r="H166" s="1181" t="s">
        <v>5</v>
      </c>
      <c r="I166" s="623" t="s">
        <v>1905</v>
      </c>
    </row>
    <row r="167" spans="1:12">
      <c r="B167" t="s">
        <v>1320</v>
      </c>
      <c r="C167" s="496" t="e">
        <f>IF(OR('3c. Calculateur MEÉ 2-3-4'!$G$13="Eau chaude",'3c. Calculateur MEÉ 2-3-4'!$G$19&lt;&gt;"Oui"),C168,C169)</f>
        <v>#DIV/0!</v>
      </c>
      <c r="D167" s="496" t="e">
        <f>IF(OR('3c. Calculateur MEÉ 2-3-4'!$G$13="Eau chaude",'3c. Calculateur MEÉ 2-3-4'!$G$19&lt;&gt;"Oui"),D168,D169)</f>
        <v>#DIV/0!</v>
      </c>
      <c r="E167" s="496" t="e">
        <f>IF(OR('3c. Calculateur MEÉ 2-3-4'!$G$13="Eau chaude",'3c. Calculateur MEÉ 2-3-4'!$G$19&lt;&gt;"Oui"),E168,E169)</f>
        <v>#DIV/0!</v>
      </c>
      <c r="F167" s="496" t="e">
        <f>IF(OR('3c. Calculateur MEÉ 2-3-4'!$G$13="Eau chaude",'3c. Calculateur MEÉ 2-3-4'!$G$19&lt;&gt;"Oui"),F168,F169)</f>
        <v>#DIV/0!</v>
      </c>
      <c r="G167" s="496" t="e">
        <f>IF(OR('3c. Calculateur MEÉ 2-3-4'!$G$13="Eau chaude",'3c. Calculateur MEÉ 2-3-4'!$G$19&lt;&gt;"Oui"),G168,G169)</f>
        <v>#DIV/0!</v>
      </c>
      <c r="H167" t="s">
        <v>5</v>
      </c>
      <c r="I167" s="623" t="s">
        <v>1322</v>
      </c>
    </row>
    <row r="168" spans="1:12">
      <c r="B168" s="1180" t="s">
        <v>1900</v>
      </c>
      <c r="C168" s="1184" t="e">
        <f>SUM(D168:G168)</f>
        <v>#DIV/0!</v>
      </c>
      <c r="D168" s="1185" t="e">
        <f>SUMIF($D$10:$G$10,2,$D$26:$G$26)*D19+SUM(D153:D156)</f>
        <v>#DIV/0!</v>
      </c>
      <c r="E168" s="1185" t="e">
        <f t="shared" ref="E168:G168" si="25">SUMIF($D$10:$G$10,2,$D$26:$G$26)*E19+SUM(E153:E156)</f>
        <v>#DIV/0!</v>
      </c>
      <c r="F168" s="1185" t="e">
        <f t="shared" si="25"/>
        <v>#DIV/0!</v>
      </c>
      <c r="G168" s="1185" t="e">
        <f t="shared" si="25"/>
        <v>#DIV/0!</v>
      </c>
      <c r="H168" s="1181" t="s">
        <v>5</v>
      </c>
      <c r="I168" s="623"/>
    </row>
    <row r="169" spans="1:12">
      <c r="B169" s="1180" t="s">
        <v>1896</v>
      </c>
      <c r="C169" s="1184">
        <f>SUM(C170:C171)</f>
        <v>0</v>
      </c>
      <c r="D169" s="1184" t="e">
        <f t="shared" ref="D169:G169" si="26">SUM(D170:D171)</f>
        <v>#DIV/0!</v>
      </c>
      <c r="E169" s="1184" t="e">
        <f t="shared" si="26"/>
        <v>#DIV/0!</v>
      </c>
      <c r="F169" s="1184" t="e">
        <f t="shared" si="26"/>
        <v>#DIV/0!</v>
      </c>
      <c r="G169" s="1184" t="e">
        <f t="shared" si="26"/>
        <v>#DIV/0!</v>
      </c>
      <c r="H169" s="1181" t="s">
        <v>5</v>
      </c>
      <c r="I169" s="623" t="s">
        <v>1905</v>
      </c>
    </row>
    <row r="170" spans="1:12">
      <c r="B170" s="1182" t="s">
        <v>1906</v>
      </c>
      <c r="C170" s="1186">
        <f>SUM(D170:G170)</f>
        <v>0</v>
      </c>
      <c r="D170" s="1187">
        <f>SUM(D153:D156)</f>
        <v>0</v>
      </c>
      <c r="E170" s="1187">
        <f>SUM(E153:E156)</f>
        <v>0</v>
      </c>
      <c r="F170" s="1187">
        <f t="shared" ref="F170" si="27">SUM(F153:F156)</f>
        <v>0</v>
      </c>
      <c r="G170" s="1187">
        <f>SUM(G153:G156)</f>
        <v>0</v>
      </c>
      <c r="H170" s="1183" t="s">
        <v>5</v>
      </c>
      <c r="I170" s="623"/>
    </row>
    <row r="171" spans="1:12">
      <c r="B171" s="1182" t="s">
        <v>1907</v>
      </c>
      <c r="C171" s="1186">
        <f>IF(OR(D10=2,E10=2,F10=2,G10=2),'P opération brûleur - avant MEE'!C45-'P opération brûleur - éco'!C69,0)</f>
        <v>0</v>
      </c>
      <c r="D171" s="1187" t="e">
        <f>$C$171*D19</f>
        <v>#DIV/0!</v>
      </c>
      <c r="E171" s="1187" t="e">
        <f t="shared" ref="E171:G171" si="28">$C$171*E19</f>
        <v>#DIV/0!</v>
      </c>
      <c r="F171" s="1187" t="e">
        <f t="shared" si="28"/>
        <v>#DIV/0!</v>
      </c>
      <c r="G171" s="1187" t="e">
        <f t="shared" si="28"/>
        <v>#DIV/0!</v>
      </c>
      <c r="H171" s="1183" t="s">
        <v>5</v>
      </c>
      <c r="I171" s="623"/>
    </row>
    <row r="172" spans="1:12" s="243" customFormat="1">
      <c r="B172" s="617" t="s">
        <v>921</v>
      </c>
      <c r="C172" s="647"/>
      <c r="D172" s="647"/>
      <c r="E172" s="647"/>
      <c r="F172" s="647"/>
      <c r="G172" s="647"/>
      <c r="H172" s="621"/>
    </row>
    <row r="173" spans="1:12" s="243" customFormat="1">
      <c r="B173" s="622" t="s">
        <v>930</v>
      </c>
      <c r="C173" s="187">
        <f>SUM(D173:G173)</f>
        <v>0</v>
      </c>
      <c r="D173" s="187">
        <f>(D124-D125)*(1/'P opération brûleur - avant MEE'!D78-1/('Micromodulation et sonde O2'!D64))*'Micromodulation et sonde O2'!D69</f>
        <v>0</v>
      </c>
      <c r="E173" s="187">
        <f>(E124-E125)*(1/'P opération brûleur - avant MEE'!E78-1/('Micromodulation et sonde O2'!E64))*'Micromodulation et sonde O2'!E69</f>
        <v>0</v>
      </c>
      <c r="F173" s="187">
        <f>(F124-F125)*(1/'P opération brûleur - avant MEE'!F78-1/('Micromodulation et sonde O2'!F64))*'Micromodulation et sonde O2'!F69</f>
        <v>0</v>
      </c>
      <c r="G173" s="187">
        <f>(G124-G125)*(1/'P opération brûleur - avant MEE'!G78-1/('Micromodulation et sonde O2'!G64))*'Micromodulation et sonde O2'!G69</f>
        <v>0</v>
      </c>
      <c r="H173" s="622" t="s">
        <v>5</v>
      </c>
      <c r="I173" s="623" t="s">
        <v>925</v>
      </c>
    </row>
    <row r="174" spans="1:12" s="243" customFormat="1" ht="18">
      <c r="B174" s="622" t="s">
        <v>931</v>
      </c>
      <c r="C174" s="187">
        <f>SUM(D174:G174)</f>
        <v>0</v>
      </c>
      <c r="D174" s="187">
        <f>(D124-D125)*(1/'P opération brûleur - avant MEE'!D78-1/('Micromodulation et sonde O2'!D64))*'Micromodulation et sonde O2'!D70</f>
        <v>0</v>
      </c>
      <c r="E174" s="187">
        <f>(E124-E125)*(1/'P opération brûleur - avant MEE'!E78-1/('Micromodulation et sonde O2'!E64))*'Micromodulation et sonde O2'!E70</f>
        <v>0</v>
      </c>
      <c r="F174" s="187">
        <f>(F124-F125)*(1/'P opération brûleur - avant MEE'!F78-1/('Micromodulation et sonde O2'!F64))*'Micromodulation et sonde O2'!F70</f>
        <v>0</v>
      </c>
      <c r="G174" s="187">
        <f>(G124-G125)*(1/'P opération brûleur - avant MEE'!G78-1/('Micromodulation et sonde O2'!G64))*'Micromodulation et sonde O2'!G70</f>
        <v>0</v>
      </c>
      <c r="H174" s="622" t="s">
        <v>5</v>
      </c>
      <c r="I174" s="623" t="s">
        <v>925</v>
      </c>
    </row>
    <row r="175" spans="1:12" s="243" customFormat="1">
      <c r="B175" s="617" t="s">
        <v>922</v>
      </c>
      <c r="C175" s="647"/>
      <c r="D175" s="647"/>
      <c r="E175" s="647"/>
      <c r="F175" s="647"/>
      <c r="G175" s="647"/>
      <c r="H175" s="621"/>
      <c r="J175" s="1176"/>
      <c r="L175" s="950"/>
    </row>
    <row r="176" spans="1:12">
      <c r="B176" t="s">
        <v>314</v>
      </c>
      <c r="C176" s="496">
        <f>SUM(D176:G176)</f>
        <v>0</v>
      </c>
      <c r="D176" s="195">
        <f>D161-D173</f>
        <v>0</v>
      </c>
      <c r="E176" s="195">
        <f t="shared" ref="D176:G177" si="29">E161-E173</f>
        <v>0</v>
      </c>
      <c r="F176" s="195">
        <f t="shared" si="29"/>
        <v>0</v>
      </c>
      <c r="G176" s="195">
        <f t="shared" si="29"/>
        <v>0</v>
      </c>
      <c r="H176" t="s">
        <v>5</v>
      </c>
      <c r="L176" s="950"/>
    </row>
    <row r="177" spans="2:9" ht="18">
      <c r="B177" t="s">
        <v>929</v>
      </c>
      <c r="C177" s="496">
        <f>SUM(D177:G177)</f>
        <v>0</v>
      </c>
      <c r="D177" s="195">
        <f t="shared" si="29"/>
        <v>0</v>
      </c>
      <c r="E177" s="195">
        <f t="shared" si="29"/>
        <v>0</v>
      </c>
      <c r="F177" s="195">
        <f t="shared" si="29"/>
        <v>0</v>
      </c>
      <c r="G177" s="195">
        <f t="shared" si="29"/>
        <v>0</v>
      </c>
      <c r="H177" s="622" t="s">
        <v>5</v>
      </c>
      <c r="I177" s="1177"/>
    </row>
    <row r="178" spans="2:9">
      <c r="B178" t="s">
        <v>608</v>
      </c>
      <c r="C178" s="496">
        <f>SUM(D178:G178)</f>
        <v>0</v>
      </c>
      <c r="D178" s="187">
        <f>D163/'P opération brûleur - avant MEE'!D78</f>
        <v>0</v>
      </c>
      <c r="E178" s="187">
        <f>E163/'P opération brûleur - avant MEE'!E78</f>
        <v>0</v>
      </c>
      <c r="F178" s="187">
        <f>F163/'P opération brûleur - avant MEE'!F78</f>
        <v>0</v>
      </c>
      <c r="G178" s="187">
        <f>G163/'P opération brûleur - avant MEE'!G78</f>
        <v>0</v>
      </c>
      <c r="H178" t="s">
        <v>5</v>
      </c>
    </row>
    <row r="179" spans="2:9">
      <c r="B179" t="s">
        <v>1319</v>
      </c>
      <c r="C179" s="496" t="e">
        <f>SUM(D179:G179)</f>
        <v>#DIV/0!</v>
      </c>
      <c r="D179" s="496" t="e">
        <f>(D164)/'P opération brûleur - avant MEE'!D78</f>
        <v>#DIV/0!</v>
      </c>
      <c r="E179" s="496" t="e">
        <f>(E164)/'P opération brûleur - avant MEE'!E78</f>
        <v>#DIV/0!</v>
      </c>
      <c r="F179" s="496" t="e">
        <f>(F164)/'P opération brûleur - avant MEE'!F78</f>
        <v>#DIV/0!</v>
      </c>
      <c r="G179" s="496" t="e">
        <f>(G164)/'P opération brûleur - avant MEE'!G78</f>
        <v>#DIV/0!</v>
      </c>
      <c r="H179" t="s">
        <v>5</v>
      </c>
    </row>
    <row r="180" spans="2:9">
      <c r="B180" t="s">
        <v>1320</v>
      </c>
      <c r="C180" s="496" t="e">
        <f>SUM(D180:G180)</f>
        <v>#DIV/0!</v>
      </c>
      <c r="D180" s="496" t="e">
        <f>D167/'P opération brûleur - avant MEE'!D78</f>
        <v>#DIV/0!</v>
      </c>
      <c r="E180" s="496" t="e">
        <f>E167/'P opération brûleur - avant MEE'!E78</f>
        <v>#DIV/0!</v>
      </c>
      <c r="F180" s="496" t="e">
        <f>F167/'P opération brûleur - avant MEE'!F78</f>
        <v>#DIV/0!</v>
      </c>
      <c r="G180" s="496" t="e">
        <f>G167/'P opération brûleur - avant MEE'!G78</f>
        <v>#DIV/0!</v>
      </c>
      <c r="H180" t="s">
        <v>5</v>
      </c>
    </row>
    <row r="181" spans="2:9">
      <c r="B181" s="4" t="s">
        <v>219</v>
      </c>
      <c r="C181" s="649" t="e">
        <f>SUM(C176:C180)</f>
        <v>#DIV/0!</v>
      </c>
      <c r="D181" s="649" t="e">
        <f>SUM(D176:D180)</f>
        <v>#DIV/0!</v>
      </c>
      <c r="E181" s="649" t="e">
        <f>SUM(E176:E180)</f>
        <v>#DIV/0!</v>
      </c>
      <c r="F181" s="649" t="e">
        <f t="shared" ref="F181:G181" si="30">SUM(F176:F180)</f>
        <v>#DIV/0!</v>
      </c>
      <c r="G181" s="649" t="e">
        <f t="shared" si="30"/>
        <v>#DIV/0!</v>
      </c>
      <c r="H181" s="644" t="s">
        <v>5</v>
      </c>
    </row>
    <row r="182" spans="2:9" s="243" customFormat="1">
      <c r="B182" s="617" t="s">
        <v>916</v>
      </c>
      <c r="C182" s="647"/>
      <c r="D182" s="647"/>
      <c r="E182" s="647"/>
      <c r="F182" s="647"/>
      <c r="G182" s="647"/>
      <c r="H182" s="621"/>
    </row>
    <row r="183" spans="2:9" ht="18">
      <c r="B183" t="s">
        <v>1321</v>
      </c>
      <c r="C183" s="496"/>
      <c r="D183" s="277"/>
      <c r="E183" s="277"/>
      <c r="F183" s="277"/>
      <c r="G183" s="277"/>
    </row>
    <row r="184" spans="2:9">
      <c r="B184" s="460" t="s">
        <v>567</v>
      </c>
      <c r="C184" s="496">
        <f>SUM(D184:G184)</f>
        <v>0</v>
      </c>
      <c r="D184" s="187">
        <f t="shared" ref="D184:G185" si="31">D127</f>
        <v>0</v>
      </c>
      <c r="E184" s="187">
        <f t="shared" si="31"/>
        <v>0</v>
      </c>
      <c r="F184" s="187">
        <f t="shared" si="31"/>
        <v>0</v>
      </c>
      <c r="G184" s="187">
        <f t="shared" si="31"/>
        <v>0</v>
      </c>
      <c r="H184" t="s">
        <v>5</v>
      </c>
    </row>
    <row r="185" spans="2:9">
      <c r="B185" s="645" t="s">
        <v>606</v>
      </c>
      <c r="C185" s="497">
        <f>SUM(D185:G185)</f>
        <v>0</v>
      </c>
      <c r="D185" s="648">
        <f t="shared" si="31"/>
        <v>0</v>
      </c>
      <c r="E185" s="648">
        <f t="shared" si="31"/>
        <v>0</v>
      </c>
      <c r="F185" s="648">
        <f t="shared" si="31"/>
        <v>0</v>
      </c>
      <c r="G185" s="648">
        <f t="shared" si="31"/>
        <v>0</v>
      </c>
      <c r="H185" s="490" t="s">
        <v>5</v>
      </c>
    </row>
    <row r="186" spans="2:9">
      <c r="B186" s="4" t="s">
        <v>607</v>
      </c>
      <c r="C186" s="649">
        <f>C184-C185</f>
        <v>0</v>
      </c>
      <c r="D186" s="649">
        <f>D184-D185</f>
        <v>0</v>
      </c>
      <c r="E186" s="649">
        <f>E184-E185</f>
        <v>0</v>
      </c>
      <c r="F186" s="649">
        <f t="shared" ref="F186:G186" si="32">F184-F185</f>
        <v>0</v>
      </c>
      <c r="G186" s="649">
        <f t="shared" si="32"/>
        <v>0</v>
      </c>
      <c r="H186" s="4" t="s">
        <v>5</v>
      </c>
      <c r="I186" s="242"/>
    </row>
    <row r="187" spans="2:9">
      <c r="C187" s="1033"/>
      <c r="D187" s="1034"/>
      <c r="E187" s="1034"/>
      <c r="F187" s="1034"/>
      <c r="G187" s="1034"/>
    </row>
    <row r="188" spans="2:9">
      <c r="C188" s="616" t="e">
        <f>ROUND(C181,-1)=ROUND(C186,-1)</f>
        <v>#DIV/0!</v>
      </c>
      <c r="D188" s="616" t="e">
        <f>ROUND(D181,-1)=ROUND(D186,-1)</f>
        <v>#DIV/0!</v>
      </c>
      <c r="E188" s="616" t="e">
        <f t="shared" ref="E188:G188" si="33">ROUND(E181,-1)=ROUND(E186,-1)</f>
        <v>#DIV/0!</v>
      </c>
      <c r="F188" s="616" t="e">
        <f t="shared" si="33"/>
        <v>#DIV/0!</v>
      </c>
      <c r="G188" s="616" t="e">
        <f t="shared" si="33"/>
        <v>#DIV/0!</v>
      </c>
      <c r="H188" s="616"/>
    </row>
    <row r="189" spans="2:9">
      <c r="B189" s="277"/>
    </row>
    <row r="190" spans="2:9">
      <c r="C190" s="228"/>
      <c r="D190" s="228"/>
      <c r="E190" s="228"/>
      <c r="F190" s="228"/>
      <c r="G190" s="228"/>
      <c r="H190" s="228"/>
    </row>
    <row r="191" spans="2:9">
      <c r="D191" s="1259"/>
      <c r="E191" s="695"/>
      <c r="F191" s="695"/>
      <c r="G191" s="695"/>
    </row>
    <row r="192" spans="2:9">
      <c r="C192" s="695"/>
      <c r="D192" s="695"/>
      <c r="E192" s="695"/>
      <c r="F192" s="695"/>
      <c r="G192" s="695"/>
    </row>
    <row r="193" spans="3:7">
      <c r="D193" s="695"/>
      <c r="E193" s="695"/>
      <c r="F193" s="695"/>
      <c r="G193" s="695"/>
    </row>
    <row r="194" spans="3:7">
      <c r="D194" s="695"/>
      <c r="E194" s="695"/>
      <c r="F194" s="695"/>
      <c r="G194" s="695"/>
    </row>
    <row r="195" spans="3:7">
      <c r="C195" s="496"/>
      <c r="D195" s="695"/>
      <c r="E195" s="695"/>
      <c r="F195" s="695"/>
      <c r="G195" s="695"/>
    </row>
    <row r="196" spans="3:7">
      <c r="D196" s="695"/>
      <c r="E196" s="695"/>
      <c r="F196" s="695"/>
      <c r="G196" s="695"/>
    </row>
    <row r="197" spans="3:7">
      <c r="D197" s="695"/>
      <c r="E197" s="695"/>
      <c r="F197" s="695"/>
      <c r="G197" s="695"/>
    </row>
    <row r="198" spans="3:7">
      <c r="D198" s="695"/>
      <c r="E198" s="695"/>
      <c r="F198" s="695"/>
      <c r="G198" s="695"/>
    </row>
    <row r="199" spans="3:7">
      <c r="D199" s="242"/>
      <c r="E199" s="242"/>
      <c r="F199" s="242"/>
      <c r="G199" s="242"/>
    </row>
    <row r="200" spans="3:7">
      <c r="D200" s="242"/>
      <c r="E200" s="242"/>
      <c r="F200" s="242"/>
      <c r="G200" s="242"/>
    </row>
    <row r="201" spans="3:7">
      <c r="D201" s="242"/>
      <c r="E201" s="242"/>
      <c r="F201" s="242"/>
      <c r="G201" s="242"/>
    </row>
    <row r="202" spans="3:7">
      <c r="D202" s="242"/>
      <c r="E202" s="242"/>
      <c r="F202" s="242"/>
      <c r="G202" s="242"/>
    </row>
    <row r="203" spans="3:7">
      <c r="D203" s="277"/>
      <c r="E203" s="277"/>
      <c r="F203" s="277"/>
      <c r="G203" s="277"/>
    </row>
    <row r="204" spans="3:7">
      <c r="D204" s="277"/>
      <c r="E204" s="277"/>
      <c r="F204" s="277"/>
      <c r="G204" s="277"/>
    </row>
    <row r="205" spans="3:7">
      <c r="D205" s="277"/>
      <c r="E205" s="277"/>
      <c r="F205" s="277"/>
      <c r="G205" s="277"/>
    </row>
    <row r="206" spans="3:7">
      <c r="D206" s="277"/>
      <c r="E206" s="277"/>
      <c r="F206" s="277"/>
      <c r="G206" s="277"/>
    </row>
    <row r="207" spans="3:7">
      <c r="D207" s="277"/>
      <c r="E207" s="277"/>
      <c r="F207" s="277"/>
      <c r="G207" s="277"/>
    </row>
  </sheetData>
  <mergeCells count="18">
    <mergeCell ref="B1:H1"/>
    <mergeCell ref="C102:E102"/>
    <mergeCell ref="F102:H102"/>
    <mergeCell ref="H47:K47"/>
    <mergeCell ref="L47:L48"/>
    <mergeCell ref="B47:B48"/>
    <mergeCell ref="C47:G47"/>
    <mergeCell ref="C135:H135"/>
    <mergeCell ref="B135:B136"/>
    <mergeCell ref="C147:G147"/>
    <mergeCell ref="C107:E107"/>
    <mergeCell ref="F107:H107"/>
    <mergeCell ref="B126:B130"/>
    <mergeCell ref="B116:B117"/>
    <mergeCell ref="B118:B119"/>
    <mergeCell ref="B120:B121"/>
    <mergeCell ref="B122:B123"/>
    <mergeCell ref="B124:B125"/>
  </mergeCells>
  <phoneticPr fontId="71" type="noConversion"/>
  <conditionalFormatting sqref="C3">
    <cfRule type="expression" dxfId="5" priority="1">
      <formula>$C$3="NOK"</formula>
    </cfRule>
    <cfRule type="expression" dxfId="4" priority="2">
      <formula>$C$3="OK"</formula>
    </cfRule>
  </conditionalFormatting>
  <conditionalFormatting sqref="C149:G156">
    <cfRule type="cellIs" dxfId="3" priority="3" operator="equal">
      <formula>"#DIV/0!"</formula>
    </cfRule>
  </conditionalFormatting>
  <conditionalFormatting sqref="C188:G188">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codeName="Feuil1">
    <tabColor rgb="FF00B0F0"/>
  </sheetPr>
  <dimension ref="A1:ET984"/>
  <sheetViews>
    <sheetView tabSelected="1" workbookViewId="0">
      <selection activeCell="C17" sqref="C17"/>
    </sheetView>
  </sheetViews>
  <sheetFormatPr baseColWidth="10" defaultColWidth="12.5703125" defaultRowHeight="15"/>
  <cols>
    <col min="1" max="1" width="2.85546875" style="7" customWidth="1"/>
    <col min="2" max="2" width="3" customWidth="1"/>
    <col min="3" max="3" width="31.42578125" customWidth="1"/>
    <col min="4" max="4" width="2.85546875" customWidth="1"/>
    <col min="5" max="5" width="24" customWidth="1"/>
    <col min="6" max="6" width="2.85546875" customWidth="1"/>
    <col min="7" max="7" width="31.140625" customWidth="1"/>
    <col min="8" max="8" width="2.85546875" customWidth="1"/>
    <col min="9" max="9" width="29.85546875" customWidth="1"/>
    <col min="10" max="10" width="2.85546875" customWidth="1"/>
    <col min="11" max="11" width="31.140625" customWidth="1"/>
    <col min="12" max="12" width="29.5703125" customWidth="1"/>
    <col min="13" max="14" width="3" customWidth="1"/>
    <col min="15" max="15" width="2.42578125" customWidth="1"/>
    <col min="16" max="16" width="4.42578125" customWidth="1"/>
    <col min="17" max="150" width="12.5703125" style="1071"/>
  </cols>
  <sheetData>
    <row r="1" spans="1:16" ht="15.75" customHeight="1">
      <c r="C1" s="7"/>
      <c r="D1" s="7"/>
      <c r="E1" s="7"/>
      <c r="F1" s="7"/>
      <c r="G1" s="7"/>
      <c r="H1" s="7"/>
      <c r="I1" s="7"/>
      <c r="J1" s="7"/>
      <c r="K1" s="7"/>
      <c r="L1" s="7"/>
      <c r="M1" s="7"/>
      <c r="N1" s="7"/>
      <c r="O1" s="7"/>
      <c r="P1" s="7"/>
    </row>
    <row r="2" spans="1:16" ht="26.25" customHeight="1">
      <c r="B2" s="571" t="s">
        <v>1645</v>
      </c>
      <c r="C2" s="1072"/>
      <c r="D2" s="1072"/>
      <c r="E2" s="7"/>
      <c r="F2" s="1737"/>
      <c r="G2" s="1737"/>
      <c r="H2" s="1737"/>
      <c r="I2" s="1737"/>
      <c r="J2" s="1738"/>
      <c r="K2" s="1739"/>
      <c r="L2" s="1739"/>
      <c r="M2" s="1739"/>
      <c r="N2" s="1739"/>
      <c r="O2" s="1739"/>
      <c r="P2" s="7"/>
    </row>
    <row r="3" spans="1:16" ht="17.25" customHeight="1">
      <c r="B3" s="1263" t="s">
        <v>1646</v>
      </c>
      <c r="E3" s="1683"/>
      <c r="F3" s="1680"/>
      <c r="G3" s="1680"/>
      <c r="H3" s="1680"/>
      <c r="I3" s="1680"/>
      <c r="J3" s="1680"/>
      <c r="K3" s="1680"/>
      <c r="L3" s="7"/>
      <c r="M3" s="7"/>
      <c r="N3" s="7"/>
      <c r="O3" s="7"/>
      <c r="P3" s="7"/>
    </row>
    <row r="4" spans="1:16" ht="15" customHeight="1">
      <c r="A4" s="1742"/>
      <c r="B4" s="1265"/>
      <c r="C4" s="1741"/>
      <c r="D4" s="1742"/>
      <c r="E4" s="1743"/>
      <c r="F4" s="1740"/>
      <c r="G4" s="1740"/>
      <c r="H4" s="1740"/>
      <c r="I4" s="1740"/>
      <c r="J4" s="1740"/>
      <c r="K4" s="1740"/>
      <c r="L4" s="1742"/>
      <c r="M4" s="1742"/>
      <c r="N4" s="1742"/>
      <c r="O4" s="1308" t="s">
        <v>1647</v>
      </c>
      <c r="P4" s="7"/>
    </row>
    <row r="5" spans="1:16" ht="15" customHeight="1">
      <c r="A5" s="1742"/>
      <c r="B5" s="1265"/>
      <c r="C5" s="1741"/>
      <c r="D5" s="1742"/>
      <c r="E5" s="1743"/>
      <c r="F5" s="1740"/>
      <c r="G5" s="1740"/>
      <c r="H5" s="1740"/>
      <c r="I5" s="1740"/>
      <c r="J5" s="1740"/>
      <c r="K5" s="1740"/>
      <c r="L5" s="1742"/>
      <c r="M5" s="1742"/>
      <c r="N5" s="1742"/>
      <c r="O5" s="984" t="s">
        <v>2019</v>
      </c>
      <c r="P5" s="7"/>
    </row>
    <row r="6" spans="1:16" ht="15" customHeight="1">
      <c r="A6" s="1742"/>
      <c r="B6" s="1267"/>
      <c r="C6" s="1885" t="s">
        <v>1648</v>
      </c>
      <c r="D6" s="1886"/>
      <c r="E6" s="1886"/>
      <c r="F6" s="1886"/>
      <c r="G6" s="1886"/>
      <c r="H6" s="1886"/>
      <c r="I6" s="1886"/>
      <c r="J6" s="1886"/>
      <c r="K6" s="1886"/>
      <c r="L6" s="1886"/>
      <c r="M6" s="1267"/>
      <c r="N6" s="1267"/>
      <c r="O6" s="1267"/>
      <c r="P6" s="7"/>
    </row>
    <row r="7" spans="1:16" ht="6.75" customHeight="1" thickBot="1">
      <c r="A7" s="1742"/>
      <c r="B7" s="1268"/>
      <c r="C7" s="1269"/>
      <c r="D7" s="1270"/>
      <c r="E7" s="1270"/>
      <c r="F7" s="1270"/>
      <c r="G7" s="1270"/>
      <c r="H7" s="1270"/>
      <c r="I7" s="1270"/>
      <c r="J7" s="1270"/>
      <c r="K7" s="1270"/>
      <c r="L7" s="1270"/>
      <c r="M7" s="1268"/>
      <c r="N7" s="1268"/>
      <c r="O7" s="1268"/>
      <c r="P7" s="7"/>
    </row>
    <row r="8" spans="1:16" ht="14.85" customHeight="1" thickBot="1">
      <c r="A8" s="1742"/>
      <c r="B8" s="1271"/>
      <c r="C8" s="1272" t="s">
        <v>1921</v>
      </c>
      <c r="D8" s="1273"/>
      <c r="E8" s="1273"/>
      <c r="F8" s="1887" t="s">
        <v>1943</v>
      </c>
      <c r="G8" s="1888"/>
      <c r="H8" s="1888"/>
      <c r="I8" s="1888"/>
      <c r="J8" s="1888"/>
      <c r="K8" s="1889"/>
      <c r="L8" s="1274"/>
      <c r="M8" s="1268"/>
      <c r="N8" s="1268"/>
      <c r="O8" s="1268"/>
      <c r="P8" s="7"/>
    </row>
    <row r="9" spans="1:16" ht="6.75" customHeight="1">
      <c r="A9" s="1742"/>
      <c r="B9" s="1275"/>
      <c r="C9" s="1275"/>
      <c r="D9" s="1275"/>
      <c r="E9" s="1275"/>
      <c r="F9" s="1276"/>
      <c r="G9" s="1276"/>
      <c r="H9" s="1276"/>
      <c r="I9" s="1276"/>
      <c r="J9" s="1276"/>
      <c r="K9" s="1276"/>
      <c r="L9" s="1275"/>
      <c r="M9" s="1275"/>
      <c r="N9" s="1275"/>
      <c r="O9" s="1275"/>
      <c r="P9" s="7"/>
    </row>
    <row r="10" spans="1:16" ht="14.25" customHeight="1">
      <c r="A10" s="1742"/>
      <c r="B10" s="1275"/>
      <c r="C10" s="1277" t="s">
        <v>1649</v>
      </c>
      <c r="D10" s="1276"/>
      <c r="E10" s="1276"/>
      <c r="F10" s="1276"/>
      <c r="G10" s="1276"/>
      <c r="H10" s="1276"/>
      <c r="I10" s="1276"/>
      <c r="J10" s="1276"/>
      <c r="K10" s="1276"/>
      <c r="L10" s="1276"/>
      <c r="M10" s="1276"/>
      <c r="N10" s="1276"/>
      <c r="O10" s="1276"/>
      <c r="P10" s="7"/>
    </row>
    <row r="11" spans="1:16" ht="6.75" customHeight="1" thickBot="1">
      <c r="A11" s="1742"/>
      <c r="B11" s="1275"/>
      <c r="C11" s="1278"/>
      <c r="D11" s="1276"/>
      <c r="E11" s="1276"/>
      <c r="F11" s="1276"/>
      <c r="G11" s="1276"/>
      <c r="H11" s="1276"/>
      <c r="I11" s="1276"/>
      <c r="J11" s="1276"/>
      <c r="K11" s="1276"/>
      <c r="L11" s="1276"/>
      <c r="M11" s="1276"/>
      <c r="N11" s="1276"/>
      <c r="O11" s="1276"/>
      <c r="P11" s="7"/>
    </row>
    <row r="12" spans="1:16" ht="14.25" customHeight="1" thickBot="1">
      <c r="A12" s="1742"/>
      <c r="B12" s="1275"/>
      <c r="C12" s="1279" t="s">
        <v>1657</v>
      </c>
      <c r="D12" s="1280"/>
      <c r="E12" s="1280"/>
      <c r="F12" s="1882"/>
      <c r="G12" s="1883"/>
      <c r="H12" s="1883"/>
      <c r="I12" s="1883"/>
      <c r="J12" s="1883"/>
      <c r="K12" s="1884"/>
      <c r="L12" s="1276"/>
      <c r="M12" s="1276"/>
      <c r="N12" s="1276"/>
      <c r="O12" s="1276"/>
      <c r="P12" s="7"/>
    </row>
    <row r="13" spans="1:16" ht="6.75" customHeight="1" thickBot="1">
      <c r="A13" s="1742"/>
      <c r="B13" s="1268"/>
      <c r="C13" s="1279"/>
      <c r="D13" s="1280"/>
      <c r="E13" s="1280"/>
      <c r="F13" s="1276"/>
      <c r="G13" s="1276"/>
      <c r="H13" s="1276"/>
      <c r="I13" s="1276"/>
      <c r="J13" s="1276"/>
      <c r="K13" s="1276"/>
      <c r="L13" s="1276"/>
      <c r="M13" s="1276"/>
      <c r="N13" s="1276"/>
      <c r="O13" s="1276"/>
      <c r="P13" s="7"/>
    </row>
    <row r="14" spans="1:16" ht="14.25" customHeight="1" thickBot="1">
      <c r="A14" s="1742"/>
      <c r="B14" s="1268"/>
      <c r="C14" s="1279" t="s">
        <v>1658</v>
      </c>
      <c r="D14" s="1280"/>
      <c r="E14" s="1281"/>
      <c r="F14" s="1882"/>
      <c r="G14" s="1883"/>
      <c r="H14" s="1883"/>
      <c r="I14" s="1883"/>
      <c r="J14" s="1883"/>
      <c r="K14" s="1884"/>
      <c r="L14" s="1275"/>
      <c r="M14" s="1275"/>
      <c r="N14" s="1275"/>
      <c r="O14" s="1276"/>
      <c r="P14" s="7"/>
    </row>
    <row r="15" spans="1:16" ht="6.75" customHeight="1" thickBot="1">
      <c r="A15" s="1742"/>
      <c r="B15" s="1268"/>
      <c r="C15" s="1279"/>
      <c r="D15" s="1280"/>
      <c r="E15" s="1281"/>
      <c r="F15" s="1276"/>
      <c r="G15" s="1276"/>
      <c r="H15" s="1276"/>
      <c r="I15" s="1276"/>
      <c r="J15" s="1276"/>
      <c r="K15" s="1276"/>
      <c r="L15" s="1276"/>
      <c r="M15" s="1276"/>
      <c r="N15" s="1276"/>
      <c r="O15" s="1276"/>
      <c r="P15" s="7"/>
    </row>
    <row r="16" spans="1:16" ht="14.25" customHeight="1" thickBot="1">
      <c r="A16" s="1742"/>
      <c r="B16" s="1268"/>
      <c r="C16" s="1279" t="s">
        <v>1659</v>
      </c>
      <c r="D16" s="1280"/>
      <c r="E16" s="1281"/>
      <c r="F16" s="1882"/>
      <c r="G16" s="1883"/>
      <c r="H16" s="1883"/>
      <c r="I16" s="1883"/>
      <c r="J16" s="1883"/>
      <c r="K16" s="1884"/>
      <c r="L16" s="1275"/>
      <c r="M16" s="1275"/>
      <c r="N16" s="1275"/>
      <c r="O16" s="1276"/>
      <c r="P16" s="7"/>
    </row>
    <row r="17" spans="1:16" ht="6.75" customHeight="1" thickBot="1">
      <c r="A17" s="1742"/>
      <c r="B17" s="1268"/>
      <c r="C17" s="1279"/>
      <c r="D17" s="1280"/>
      <c r="E17" s="1280"/>
      <c r="F17" s="1276"/>
      <c r="G17" s="1276"/>
      <c r="H17" s="1276"/>
      <c r="I17" s="1276"/>
      <c r="J17" s="1276"/>
      <c r="K17" s="1276"/>
      <c r="L17" s="1276"/>
      <c r="M17" s="1276"/>
      <c r="N17" s="1276"/>
      <c r="O17" s="1276"/>
      <c r="P17" s="7"/>
    </row>
    <row r="18" spans="1:16" ht="14.25" customHeight="1" thickBot="1">
      <c r="A18" s="1742"/>
      <c r="B18" s="1268"/>
      <c r="C18" s="1279" t="s">
        <v>1660</v>
      </c>
      <c r="D18" s="1280"/>
      <c r="E18" s="1281"/>
      <c r="F18" s="1882"/>
      <c r="G18" s="1883"/>
      <c r="H18" s="1883"/>
      <c r="I18" s="1883"/>
      <c r="J18" s="1883"/>
      <c r="K18" s="1884"/>
      <c r="L18" s="1275"/>
      <c r="M18" s="1275"/>
      <c r="N18" s="1275"/>
      <c r="O18" s="1276"/>
      <c r="P18" s="7"/>
    </row>
    <row r="19" spans="1:16" ht="6.75" customHeight="1" thickBot="1">
      <c r="A19" s="1742"/>
      <c r="B19" s="1268"/>
      <c r="C19" s="1279"/>
      <c r="D19" s="1280"/>
      <c r="E19" s="1281"/>
      <c r="F19" s="1276"/>
      <c r="G19" s="1276"/>
      <c r="H19" s="1276"/>
      <c r="I19" s="1276"/>
      <c r="J19" s="1276"/>
      <c r="K19" s="1276"/>
      <c r="L19" s="1276"/>
      <c r="M19" s="1276"/>
      <c r="N19" s="1276"/>
      <c r="O19" s="1276"/>
      <c r="P19" s="7"/>
    </row>
    <row r="20" spans="1:16" ht="14.25" customHeight="1" thickBot="1">
      <c r="A20" s="1742"/>
      <c r="B20" s="1268"/>
      <c r="C20" s="1279" t="s">
        <v>1661</v>
      </c>
      <c r="D20" s="1280"/>
      <c r="E20" s="1280"/>
      <c r="F20" s="1882"/>
      <c r="G20" s="1883"/>
      <c r="H20" s="1883"/>
      <c r="I20" s="1883"/>
      <c r="J20" s="1883"/>
      <c r="K20" s="1884"/>
      <c r="L20" s="1275"/>
      <c r="M20" s="1275"/>
      <c r="N20" s="1275"/>
      <c r="O20" s="1276"/>
      <c r="P20" s="7"/>
    </row>
    <row r="21" spans="1:16" ht="6.75" customHeight="1" thickBot="1">
      <c r="A21" s="1742"/>
      <c r="B21" s="1268"/>
      <c r="C21" s="1279"/>
      <c r="D21" s="1281"/>
      <c r="E21" s="1281"/>
      <c r="F21" s="1282"/>
      <c r="G21" s="1282"/>
      <c r="H21" s="1282"/>
      <c r="I21" s="1276"/>
      <c r="J21" s="1276"/>
      <c r="K21" s="1276"/>
      <c r="L21" s="1276"/>
      <c r="M21" s="1276"/>
      <c r="N21" s="1276"/>
      <c r="O21" s="1276"/>
      <c r="P21" s="7"/>
    </row>
    <row r="22" spans="1:16" ht="14.25" customHeight="1" thickBot="1">
      <c r="A22" s="1742"/>
      <c r="B22" s="1268"/>
      <c r="C22" s="1279" t="s">
        <v>1662</v>
      </c>
      <c r="D22" s="1280"/>
      <c r="E22" s="1280"/>
      <c r="F22" s="1882"/>
      <c r="G22" s="1883"/>
      <c r="H22" s="1883"/>
      <c r="I22" s="1883"/>
      <c r="J22" s="1883"/>
      <c r="K22" s="1884"/>
      <c r="L22" s="1275"/>
      <c r="M22" s="1275"/>
      <c r="N22" s="1275"/>
      <c r="O22" s="1276"/>
      <c r="P22" s="7"/>
    </row>
    <row r="23" spans="1:16" ht="6.75" customHeight="1" thickBot="1">
      <c r="A23" s="1742"/>
      <c r="B23" s="1268"/>
      <c r="C23" s="1279"/>
      <c r="D23" s="1281"/>
      <c r="E23" s="1281"/>
      <c r="F23" s="1276"/>
      <c r="G23" s="1276"/>
      <c r="H23" s="1276"/>
      <c r="I23" s="1276"/>
      <c r="J23" s="1276"/>
      <c r="K23" s="1276"/>
      <c r="L23" s="1276"/>
      <c r="M23" s="1276"/>
      <c r="N23" s="1276"/>
      <c r="O23" s="1276"/>
      <c r="P23" s="7"/>
    </row>
    <row r="24" spans="1:16" ht="14.25" customHeight="1" thickBot="1">
      <c r="A24" s="1742"/>
      <c r="B24" s="1268"/>
      <c r="C24" s="1279" t="s">
        <v>1663</v>
      </c>
      <c r="D24" s="1280"/>
      <c r="E24" s="1280"/>
      <c r="F24" s="1882"/>
      <c r="G24" s="1883"/>
      <c r="H24" s="1883"/>
      <c r="I24" s="1883"/>
      <c r="J24" s="1883"/>
      <c r="K24" s="1884"/>
      <c r="L24" s="1275"/>
      <c r="M24" s="1275"/>
      <c r="N24" s="1275"/>
      <c r="O24" s="1276"/>
      <c r="P24" s="7"/>
    </row>
    <row r="25" spans="1:16" ht="6.75" customHeight="1" thickBot="1">
      <c r="A25" s="1742"/>
      <c r="B25" s="1268"/>
      <c r="C25" s="1279"/>
      <c r="D25" s="1280"/>
      <c r="E25" s="1280"/>
      <c r="F25" s="1276"/>
      <c r="G25" s="1276"/>
      <c r="H25" s="1276"/>
      <c r="I25" s="1276"/>
      <c r="J25" s="1276"/>
      <c r="K25" s="1276"/>
      <c r="L25" s="1276"/>
      <c r="M25" s="1276"/>
      <c r="N25" s="1276"/>
      <c r="O25" s="1276"/>
      <c r="P25" s="7"/>
    </row>
    <row r="26" spans="1:16" ht="14.25" customHeight="1" thickBot="1">
      <c r="A26" s="1742"/>
      <c r="B26" s="1268"/>
      <c r="C26" s="1279" t="s">
        <v>1664</v>
      </c>
      <c r="D26" s="1280"/>
      <c r="E26" s="1283"/>
      <c r="F26" s="1882"/>
      <c r="G26" s="1883"/>
      <c r="H26" s="1883"/>
      <c r="I26" s="1883"/>
      <c r="J26" s="1883"/>
      <c r="K26" s="1884"/>
      <c r="L26" s="1275"/>
      <c r="M26" s="1275"/>
      <c r="N26" s="1275"/>
      <c r="O26" s="1276"/>
      <c r="P26" s="7"/>
    </row>
    <row r="27" spans="1:16" ht="6.75" customHeight="1" thickBot="1">
      <c r="A27" s="1742"/>
      <c r="B27" s="1268"/>
      <c r="C27" s="1279"/>
      <c r="D27" s="1280"/>
      <c r="E27" s="1280"/>
      <c r="F27" s="1276"/>
      <c r="G27" s="1276"/>
      <c r="H27" s="1276"/>
      <c r="I27" s="1276"/>
      <c r="J27" s="1276"/>
      <c r="K27" s="1276"/>
      <c r="L27" s="1276"/>
      <c r="M27" s="1276"/>
      <c r="N27" s="1276"/>
      <c r="O27" s="1276"/>
      <c r="P27" s="7"/>
    </row>
    <row r="28" spans="1:16" ht="14.25" customHeight="1" thickBot="1">
      <c r="A28" s="1742"/>
      <c r="B28" s="1268"/>
      <c r="C28" s="1279" t="s">
        <v>1665</v>
      </c>
      <c r="D28" s="1280"/>
      <c r="E28" s="1268"/>
      <c r="F28" s="1882"/>
      <c r="G28" s="1883"/>
      <c r="H28" s="1883"/>
      <c r="I28" s="1883"/>
      <c r="J28" s="1883"/>
      <c r="K28" s="1884"/>
      <c r="L28" s="1191"/>
      <c r="M28" s="1191"/>
      <c r="N28" s="1191"/>
      <c r="O28" s="1276"/>
      <c r="P28" s="7"/>
    </row>
    <row r="29" spans="1:16" ht="6.75" customHeight="1">
      <c r="A29" s="1742"/>
      <c r="B29" s="1268"/>
      <c r="C29" s="1279"/>
      <c r="D29" s="1280"/>
      <c r="E29" s="1280"/>
      <c r="F29" s="1276"/>
      <c r="G29" s="1276"/>
      <c r="H29" s="1276"/>
      <c r="I29" s="1276"/>
      <c r="J29" s="1276"/>
      <c r="K29" s="1276"/>
      <c r="L29" s="1276"/>
      <c r="M29" s="1276"/>
      <c r="N29" s="1276"/>
      <c r="O29" s="1276"/>
      <c r="P29" s="7"/>
    </row>
    <row r="30" spans="1:16" ht="14.25" customHeight="1">
      <c r="A30" s="1742"/>
      <c r="B30" s="1275"/>
      <c r="C30" s="1284" t="s">
        <v>1650</v>
      </c>
      <c r="D30" s="1276"/>
      <c r="E30" s="1276"/>
      <c r="F30" s="1276"/>
      <c r="G30" s="1276"/>
      <c r="H30" s="1276"/>
      <c r="I30" s="1276"/>
      <c r="J30" s="1276"/>
      <c r="K30" s="1276"/>
      <c r="L30" s="1276"/>
      <c r="M30" s="1276"/>
      <c r="N30" s="1276"/>
      <c r="O30" s="1276"/>
      <c r="P30" s="7"/>
    </row>
    <row r="31" spans="1:16" ht="6.75" customHeight="1" thickBot="1">
      <c r="A31" s="1742"/>
      <c r="B31" s="1275"/>
      <c r="C31" s="1277"/>
      <c r="D31" s="1276"/>
      <c r="E31" s="1276"/>
      <c r="F31" s="1276"/>
      <c r="G31" s="1276"/>
      <c r="H31" s="1276"/>
      <c r="I31" s="1276"/>
      <c r="J31" s="1276"/>
      <c r="K31" s="1276"/>
      <c r="L31" s="1276"/>
      <c r="M31" s="1276"/>
      <c r="N31" s="1276"/>
      <c r="O31" s="1276"/>
      <c r="P31" s="7"/>
    </row>
    <row r="32" spans="1:16" ht="14.25" customHeight="1" thickBot="1">
      <c r="A32" s="1742"/>
      <c r="B32" s="1275"/>
      <c r="C32" s="1279" t="s">
        <v>1666</v>
      </c>
      <c r="D32" s="1280"/>
      <c r="E32" s="1280"/>
      <c r="F32" s="1882"/>
      <c r="G32" s="1883"/>
      <c r="H32" s="1883"/>
      <c r="I32" s="1883"/>
      <c r="J32" s="1883"/>
      <c r="K32" s="1884"/>
      <c r="L32" s="1275"/>
      <c r="M32" s="1275"/>
      <c r="N32" s="1275"/>
      <c r="O32" s="1276"/>
      <c r="P32" s="7"/>
    </row>
    <row r="33" spans="1:16" ht="6.75" customHeight="1" thickBot="1">
      <c r="A33" s="1742"/>
      <c r="B33" s="1268"/>
      <c r="C33" s="1279"/>
      <c r="D33" s="1280"/>
      <c r="E33" s="1280"/>
      <c r="F33" s="1276"/>
      <c r="G33" s="1276"/>
      <c r="H33" s="1276"/>
      <c r="I33" s="1276"/>
      <c r="J33" s="1276"/>
      <c r="K33" s="1276"/>
      <c r="L33" s="1276"/>
      <c r="M33" s="1276"/>
      <c r="N33" s="1276"/>
      <c r="O33" s="1276"/>
      <c r="P33" s="7"/>
    </row>
    <row r="34" spans="1:16" ht="14.25" customHeight="1" thickBot="1">
      <c r="A34" s="1742"/>
      <c r="B34" s="1268"/>
      <c r="C34" s="1285" t="s">
        <v>1667</v>
      </c>
      <c r="D34" s="1280"/>
      <c r="E34" s="1280"/>
      <c r="F34" s="1882"/>
      <c r="G34" s="1883"/>
      <c r="H34" s="1883"/>
      <c r="I34" s="1883"/>
      <c r="J34" s="1883"/>
      <c r="K34" s="1884"/>
      <c r="L34" s="1275"/>
      <c r="M34" s="1275"/>
      <c r="N34" s="1275"/>
      <c r="O34" s="1276"/>
      <c r="P34" s="7"/>
    </row>
    <row r="35" spans="1:16" ht="6.75" customHeight="1" thickBot="1">
      <c r="A35" s="1742"/>
      <c r="B35" s="1268"/>
      <c r="C35" s="1279"/>
      <c r="D35" s="1280"/>
      <c r="E35" s="1281"/>
      <c r="F35" s="1276"/>
      <c r="G35" s="1276"/>
      <c r="H35" s="1276"/>
      <c r="I35" s="1276"/>
      <c r="J35" s="1276"/>
      <c r="K35" s="1276"/>
      <c r="L35" s="1276"/>
      <c r="M35" s="1276"/>
      <c r="N35" s="1276"/>
      <c r="O35" s="1276"/>
      <c r="P35" s="7"/>
    </row>
    <row r="36" spans="1:16" ht="14.25" customHeight="1" thickBot="1">
      <c r="A36" s="1742"/>
      <c r="B36" s="1268"/>
      <c r="C36" s="1279" t="s">
        <v>1661</v>
      </c>
      <c r="D36" s="1280"/>
      <c r="E36" s="1280"/>
      <c r="F36" s="1882"/>
      <c r="G36" s="1883"/>
      <c r="H36" s="1883"/>
      <c r="I36" s="1883"/>
      <c r="J36" s="1883"/>
      <c r="K36" s="1884"/>
      <c r="L36" s="1275"/>
      <c r="M36" s="1275"/>
      <c r="N36" s="1275"/>
      <c r="O36" s="1276"/>
      <c r="P36" s="7"/>
    </row>
    <row r="37" spans="1:16" ht="6.75" customHeight="1" thickBot="1">
      <c r="A37" s="1742"/>
      <c r="B37" s="1268"/>
      <c r="C37" s="1279"/>
      <c r="D37" s="1281"/>
      <c r="E37" s="1281"/>
      <c r="F37" s="1282"/>
      <c r="G37" s="1282"/>
      <c r="H37" s="1276"/>
      <c r="I37" s="1276"/>
      <c r="J37" s="1276"/>
      <c r="K37" s="1276"/>
      <c r="L37" s="1276"/>
      <c r="M37" s="1276"/>
      <c r="N37" s="1276"/>
      <c r="O37" s="1276"/>
      <c r="P37" s="7"/>
    </row>
    <row r="38" spans="1:16" ht="14.25" customHeight="1" thickBot="1">
      <c r="A38" s="1742"/>
      <c r="B38" s="1268"/>
      <c r="C38" s="1279" t="s">
        <v>1662</v>
      </c>
      <c r="D38" s="1280"/>
      <c r="E38" s="1280"/>
      <c r="F38" s="1882"/>
      <c r="G38" s="1883"/>
      <c r="H38" s="1883"/>
      <c r="I38" s="1883"/>
      <c r="J38" s="1883"/>
      <c r="K38" s="1884"/>
      <c r="L38" s="1275"/>
      <c r="M38" s="1275"/>
      <c r="N38" s="1275"/>
      <c r="O38" s="1276"/>
      <c r="P38" s="7"/>
    </row>
    <row r="39" spans="1:16" ht="6.75" customHeight="1">
      <c r="A39" s="1742"/>
      <c r="B39" s="1268"/>
      <c r="C39" s="1279"/>
      <c r="D39" s="1280"/>
      <c r="E39" s="1280"/>
      <c r="F39" s="1276"/>
      <c r="G39" s="1276"/>
      <c r="H39" s="1276"/>
      <c r="I39" s="1276"/>
      <c r="J39" s="1276"/>
      <c r="K39" s="1276"/>
      <c r="L39" s="1276"/>
      <c r="M39" s="1276"/>
      <c r="N39" s="1276"/>
      <c r="O39" s="1276"/>
      <c r="P39" s="7"/>
    </row>
    <row r="40" spans="1:16" ht="15" customHeight="1">
      <c r="A40" s="1742"/>
      <c r="B40" s="1268"/>
      <c r="C40" s="1286" t="s">
        <v>1668</v>
      </c>
      <c r="D40" s="1280"/>
      <c r="E40" s="1280"/>
      <c r="F40" s="1280"/>
      <c r="G40" s="1280"/>
      <c r="H40" s="1280"/>
      <c r="I40" s="1280"/>
      <c r="J40" s="1276"/>
      <c r="K40" s="1276"/>
      <c r="L40" s="1276"/>
      <c r="M40" s="1276"/>
      <c r="N40" s="1276"/>
      <c r="O40" s="1276"/>
      <c r="P40" s="7"/>
    </row>
    <row r="41" spans="1:16" ht="6.75" customHeight="1">
      <c r="A41" s="1742"/>
      <c r="B41" s="1268"/>
      <c r="C41" s="1287"/>
      <c r="D41" s="1280"/>
      <c r="E41" s="1280"/>
      <c r="F41" s="1280"/>
      <c r="G41" s="1280"/>
      <c r="H41" s="1280"/>
      <c r="I41" s="1280"/>
      <c r="J41" s="1276"/>
      <c r="K41" s="1276"/>
      <c r="L41" s="1276"/>
      <c r="M41" s="1276"/>
      <c r="N41" s="1276"/>
      <c r="O41" s="1276"/>
      <c r="P41" s="7"/>
    </row>
    <row r="42" spans="1:16" ht="15" customHeight="1">
      <c r="B42" s="7"/>
      <c r="C42" s="1744"/>
      <c r="D42" s="1744"/>
      <c r="E42" s="1744"/>
      <c r="F42" s="1744"/>
      <c r="G42" s="1744"/>
      <c r="H42" s="1744"/>
      <c r="I42" s="1744"/>
      <c r="J42" s="1744"/>
      <c r="K42" s="1744"/>
      <c r="L42" s="1744"/>
      <c r="M42" s="1744"/>
      <c r="N42" s="7"/>
      <c r="O42" s="7"/>
      <c r="P42" s="7"/>
    </row>
    <row r="43" spans="1:16" ht="15" customHeight="1">
      <c r="B43" s="1288"/>
      <c r="C43" s="1885" t="s">
        <v>1651</v>
      </c>
      <c r="D43" s="1886"/>
      <c r="E43" s="1886"/>
      <c r="F43" s="1886"/>
      <c r="G43" s="1886"/>
      <c r="H43" s="1886"/>
      <c r="I43" s="1886"/>
      <c r="J43" s="1886"/>
      <c r="K43" s="1886"/>
      <c r="L43" s="1886"/>
      <c r="M43" s="1267"/>
      <c r="N43" s="1267"/>
      <c r="O43" s="1267"/>
      <c r="P43" s="7"/>
    </row>
    <row r="44" spans="1:16" ht="6.75" customHeight="1" thickBot="1">
      <c r="B44" s="6"/>
      <c r="C44" s="1269"/>
      <c r="D44" s="1289"/>
      <c r="E44" s="1289"/>
      <c r="F44" s="1289"/>
      <c r="G44" s="1289"/>
      <c r="H44" s="1289"/>
      <c r="I44" s="1289"/>
      <c r="J44" s="1289"/>
      <c r="K44" s="1289"/>
      <c r="L44" s="1289"/>
      <c r="M44" s="1290"/>
      <c r="N44" s="1290"/>
      <c r="O44" s="1290"/>
      <c r="P44" s="7"/>
    </row>
    <row r="45" spans="1:16" ht="15" customHeight="1" thickBot="1">
      <c r="B45" s="1291" t="s">
        <v>1652</v>
      </c>
      <c r="C45" s="1272" t="s">
        <v>1653</v>
      </c>
      <c r="D45" s="1272"/>
      <c r="E45" s="1272"/>
      <c r="F45" s="1890" t="s">
        <v>15</v>
      </c>
      <c r="G45" s="1891"/>
      <c r="H45" s="1891"/>
      <c r="I45" s="1891"/>
      <c r="J45" s="1891"/>
      <c r="K45" s="1892"/>
      <c r="L45" s="1274"/>
      <c r="M45" s="1290"/>
      <c r="N45" s="1290"/>
      <c r="O45" s="1290"/>
      <c r="P45" s="7"/>
    </row>
    <row r="46" spans="1:16" ht="6.75" customHeight="1">
      <c r="B46" s="1291"/>
      <c r="C46" s="1273"/>
      <c r="D46" s="1273"/>
      <c r="E46" s="1273"/>
      <c r="F46" s="1273"/>
      <c r="G46" s="1273"/>
      <c r="H46" s="1273"/>
      <c r="I46" s="1273"/>
      <c r="J46" s="1273"/>
      <c r="K46" s="1273"/>
      <c r="L46" s="1273"/>
      <c r="M46" s="1290"/>
      <c r="N46" s="1290"/>
      <c r="O46" s="1290"/>
      <c r="P46" s="7"/>
    </row>
    <row r="47" spans="1:16" ht="15" customHeight="1">
      <c r="B47" s="1292" t="s">
        <v>1652</v>
      </c>
      <c r="C47" s="1893" t="s">
        <v>1805</v>
      </c>
      <c r="D47" s="1893"/>
      <c r="E47" s="1893"/>
      <c r="F47" s="1893"/>
      <c r="G47" s="1893"/>
      <c r="H47" s="1893"/>
      <c r="I47" s="1893"/>
      <c r="J47" s="1893"/>
      <c r="K47" s="1893"/>
      <c r="L47" s="1893"/>
      <c r="M47" s="1290"/>
      <c r="N47" s="1290"/>
      <c r="O47" s="1290"/>
      <c r="P47" s="7"/>
    </row>
    <row r="48" spans="1:16" ht="6.75" customHeight="1">
      <c r="B48" s="1293"/>
      <c r="C48" s="1277"/>
      <c r="D48" s="1276"/>
      <c r="E48" s="1276"/>
      <c r="F48" s="1276"/>
      <c r="G48" s="1276"/>
      <c r="H48" s="1276"/>
      <c r="I48" s="1276"/>
      <c r="J48" s="1276"/>
      <c r="K48" s="1276"/>
      <c r="L48" s="1276"/>
      <c r="M48" s="1276"/>
      <c r="N48" s="1276"/>
      <c r="O48" s="1276"/>
    </row>
    <row r="49" spans="1:16" ht="15.75" customHeight="1">
      <c r="B49" s="7"/>
      <c r="C49" s="1294"/>
      <c r="D49" s="1295"/>
      <c r="E49" s="1295"/>
      <c r="F49" s="1295"/>
      <c r="G49" s="1295"/>
      <c r="H49" s="1295"/>
      <c r="I49" s="1295"/>
      <c r="J49" s="1295"/>
      <c r="K49" s="1295"/>
      <c r="L49" s="1295"/>
      <c r="M49" s="1295"/>
      <c r="N49" s="7"/>
      <c r="O49" s="7"/>
      <c r="P49" s="7"/>
    </row>
    <row r="50" spans="1:16" s="1071" customFormat="1">
      <c r="A50" s="7"/>
    </row>
    <row r="51" spans="1:16" s="1071" customFormat="1">
      <c r="A51" s="7"/>
    </row>
    <row r="52" spans="1:16" s="1071" customFormat="1">
      <c r="A52" s="7"/>
    </row>
    <row r="53" spans="1:16" s="1071" customFormat="1">
      <c r="A53" s="7"/>
    </row>
    <row r="54" spans="1:16" s="1071" customFormat="1">
      <c r="A54" s="7"/>
    </row>
    <row r="55" spans="1:16" s="1071" customFormat="1">
      <c r="A55" s="7"/>
    </row>
    <row r="56" spans="1:16" s="1071" customFormat="1">
      <c r="A56" s="7"/>
    </row>
    <row r="57" spans="1:16" s="1071" customFormat="1">
      <c r="A57" s="7"/>
    </row>
    <row r="58" spans="1:16" s="1071" customFormat="1">
      <c r="A58" s="7"/>
    </row>
    <row r="59" spans="1:16" s="1071" customFormat="1">
      <c r="A59" s="7"/>
    </row>
    <row r="60" spans="1:16" s="1071" customFormat="1">
      <c r="A60" s="7"/>
    </row>
    <row r="61" spans="1:16" s="1071" customFormat="1">
      <c r="A61" s="7"/>
    </row>
    <row r="62" spans="1:16" s="1071" customFormat="1">
      <c r="A62" s="7"/>
    </row>
    <row r="63" spans="1:16" s="1071" customFormat="1">
      <c r="A63" s="7"/>
    </row>
    <row r="64" spans="1:16" s="1071" customFormat="1">
      <c r="A64" s="7"/>
    </row>
    <row r="65" spans="1:1" s="1071" customFormat="1">
      <c r="A65" s="7"/>
    </row>
    <row r="66" spans="1:1" s="1071" customFormat="1">
      <c r="A66" s="7"/>
    </row>
    <row r="67" spans="1:1" s="1071" customFormat="1">
      <c r="A67" s="7"/>
    </row>
    <row r="68" spans="1:1" s="1071" customFormat="1">
      <c r="A68" s="7"/>
    </row>
    <row r="69" spans="1:1" s="1071" customFormat="1">
      <c r="A69" s="7"/>
    </row>
    <row r="70" spans="1:1" s="1071" customFormat="1">
      <c r="A70" s="7"/>
    </row>
    <row r="71" spans="1:1" s="1071" customFormat="1">
      <c r="A71" s="7"/>
    </row>
    <row r="72" spans="1:1" s="1071" customFormat="1">
      <c r="A72" s="7"/>
    </row>
    <row r="73" spans="1:1" s="1071" customFormat="1">
      <c r="A73" s="7"/>
    </row>
    <row r="74" spans="1:1" s="1071" customFormat="1">
      <c r="A74" s="7"/>
    </row>
    <row r="75" spans="1:1" s="1071" customFormat="1">
      <c r="A75" s="7"/>
    </row>
    <row r="76" spans="1:1" s="1071" customFormat="1">
      <c r="A76" s="7"/>
    </row>
    <row r="77" spans="1:1" s="1071" customFormat="1">
      <c r="A77" s="7"/>
    </row>
    <row r="78" spans="1:1" s="1071" customFormat="1">
      <c r="A78" s="7"/>
    </row>
    <row r="79" spans="1:1" s="1071" customFormat="1">
      <c r="A79" s="7"/>
    </row>
    <row r="80" spans="1:1" s="1071" customFormat="1">
      <c r="A80" s="7"/>
    </row>
    <row r="81" spans="1:1" s="1071" customFormat="1">
      <c r="A81" s="7"/>
    </row>
    <row r="82" spans="1:1" s="1071" customFormat="1">
      <c r="A82" s="7"/>
    </row>
    <row r="83" spans="1:1" s="1071" customFormat="1">
      <c r="A83" s="7"/>
    </row>
    <row r="84" spans="1:1" s="1071" customFormat="1">
      <c r="A84" s="7"/>
    </row>
    <row r="85" spans="1:1" s="1071" customFormat="1">
      <c r="A85" s="7"/>
    </row>
    <row r="86" spans="1:1" s="1071" customFormat="1">
      <c r="A86" s="7"/>
    </row>
    <row r="87" spans="1:1" s="1071" customFormat="1">
      <c r="A87" s="7"/>
    </row>
    <row r="88" spans="1:1" s="1071" customFormat="1">
      <c r="A88" s="7"/>
    </row>
    <row r="89" spans="1:1" s="1071" customFormat="1">
      <c r="A89" s="7"/>
    </row>
    <row r="90" spans="1:1" s="1071" customFormat="1">
      <c r="A90" s="7"/>
    </row>
    <row r="91" spans="1:1" s="1071" customFormat="1">
      <c r="A91" s="7"/>
    </row>
    <row r="92" spans="1:1" s="1071" customFormat="1">
      <c r="A92" s="7"/>
    </row>
    <row r="93" spans="1:1" s="1071" customFormat="1">
      <c r="A93" s="7"/>
    </row>
    <row r="94" spans="1:1" s="1071" customFormat="1">
      <c r="A94" s="7"/>
    </row>
    <row r="95" spans="1:1" s="1071" customFormat="1">
      <c r="A95" s="7"/>
    </row>
    <row r="96" spans="1:1" s="1071" customFormat="1">
      <c r="A96" s="7"/>
    </row>
    <row r="97" spans="1:1" s="1071" customFormat="1">
      <c r="A97" s="7"/>
    </row>
    <row r="98" spans="1:1" s="1071" customFormat="1">
      <c r="A98" s="7"/>
    </row>
    <row r="99" spans="1:1" s="1071" customFormat="1">
      <c r="A99" s="7"/>
    </row>
    <row r="100" spans="1:1" s="1071" customFormat="1">
      <c r="A100" s="7"/>
    </row>
    <row r="101" spans="1:1" s="1071" customFormat="1">
      <c r="A101" s="7"/>
    </row>
    <row r="102" spans="1:1" s="1071" customFormat="1">
      <c r="A102" s="7"/>
    </row>
    <row r="103" spans="1:1" s="1071" customFormat="1">
      <c r="A103" s="7"/>
    </row>
    <row r="104" spans="1:1" s="1071" customFormat="1">
      <c r="A104" s="7"/>
    </row>
    <row r="105" spans="1:1" s="1071" customFormat="1">
      <c r="A105" s="7"/>
    </row>
    <row r="106" spans="1:1" s="1071" customFormat="1">
      <c r="A106" s="7"/>
    </row>
    <row r="107" spans="1:1" s="1071" customFormat="1">
      <c r="A107" s="7"/>
    </row>
    <row r="108" spans="1:1" s="1071" customFormat="1">
      <c r="A108" s="7"/>
    </row>
    <row r="109" spans="1:1" s="1071" customFormat="1">
      <c r="A109" s="7"/>
    </row>
    <row r="110" spans="1:1" s="1071" customFormat="1">
      <c r="A110" s="7"/>
    </row>
    <row r="111" spans="1:1" s="1071" customFormat="1">
      <c r="A111" s="7"/>
    </row>
    <row r="112" spans="1:1" s="1071" customFormat="1">
      <c r="A112" s="7"/>
    </row>
    <row r="113" spans="1:1" s="1071" customFormat="1">
      <c r="A113" s="7"/>
    </row>
    <row r="114" spans="1:1" s="1071" customFormat="1">
      <c r="A114" s="7"/>
    </row>
    <row r="115" spans="1:1" s="1071" customFormat="1">
      <c r="A115" s="7"/>
    </row>
    <row r="116" spans="1:1" s="1071" customFormat="1">
      <c r="A116" s="7"/>
    </row>
    <row r="117" spans="1:1" s="1071" customFormat="1">
      <c r="A117" s="7"/>
    </row>
    <row r="118" spans="1:1" s="1071" customFormat="1">
      <c r="A118" s="7"/>
    </row>
    <row r="119" spans="1:1" s="1071" customFormat="1">
      <c r="A119" s="7"/>
    </row>
    <row r="120" spans="1:1" s="1071" customFormat="1">
      <c r="A120" s="7"/>
    </row>
    <row r="121" spans="1:1" s="1071" customFormat="1">
      <c r="A121" s="7"/>
    </row>
    <row r="122" spans="1:1" s="1071" customFormat="1">
      <c r="A122" s="7"/>
    </row>
    <row r="123" spans="1:1" s="1071" customFormat="1">
      <c r="A123" s="7"/>
    </row>
    <row r="124" spans="1:1" s="1071" customFormat="1">
      <c r="A124" s="7"/>
    </row>
    <row r="125" spans="1:1" s="1071" customFormat="1">
      <c r="A125" s="7"/>
    </row>
    <row r="126" spans="1:1" s="1071" customFormat="1">
      <c r="A126" s="7"/>
    </row>
    <row r="127" spans="1:1" s="1071" customFormat="1">
      <c r="A127" s="7"/>
    </row>
    <row r="128" spans="1:1" s="1071" customFormat="1">
      <c r="A128" s="7"/>
    </row>
    <row r="129" spans="1:1" s="1071" customFormat="1">
      <c r="A129" s="7"/>
    </row>
    <row r="130" spans="1:1" s="1071" customFormat="1">
      <c r="A130" s="7"/>
    </row>
    <row r="131" spans="1:1" s="1071" customFormat="1">
      <c r="A131" s="7"/>
    </row>
    <row r="132" spans="1:1" s="1071" customFormat="1">
      <c r="A132" s="7"/>
    </row>
    <row r="133" spans="1:1" s="1071" customFormat="1">
      <c r="A133" s="7"/>
    </row>
    <row r="134" spans="1:1" s="1071" customFormat="1">
      <c r="A134" s="7"/>
    </row>
    <row r="135" spans="1:1" s="1071" customFormat="1">
      <c r="A135" s="7"/>
    </row>
    <row r="136" spans="1:1" s="1071" customFormat="1">
      <c r="A136" s="7"/>
    </row>
    <row r="137" spans="1:1" s="1071" customFormat="1">
      <c r="A137" s="7"/>
    </row>
    <row r="138" spans="1:1" s="1071" customFormat="1">
      <c r="A138" s="7"/>
    </row>
    <row r="139" spans="1:1" s="1071" customFormat="1">
      <c r="A139" s="7"/>
    </row>
    <row r="140" spans="1:1" s="1071" customFormat="1">
      <c r="A140" s="7"/>
    </row>
    <row r="141" spans="1:1" s="1071" customFormat="1">
      <c r="A141" s="7"/>
    </row>
    <row r="142" spans="1:1" s="1071" customFormat="1">
      <c r="A142" s="7"/>
    </row>
    <row r="143" spans="1:1" s="1071" customFormat="1">
      <c r="A143" s="7"/>
    </row>
    <row r="144" spans="1:1" s="1071" customFormat="1">
      <c r="A144" s="7"/>
    </row>
    <row r="145" spans="1:1" s="1071" customFormat="1">
      <c r="A145" s="7"/>
    </row>
    <row r="146" spans="1:1" s="1071" customFormat="1">
      <c r="A146" s="7"/>
    </row>
    <row r="147" spans="1:1" s="1071" customFormat="1">
      <c r="A147" s="7"/>
    </row>
    <row r="148" spans="1:1" s="1071" customFormat="1">
      <c r="A148" s="7"/>
    </row>
    <row r="149" spans="1:1" s="1071" customFormat="1">
      <c r="A149" s="7"/>
    </row>
    <row r="150" spans="1:1" s="1071" customFormat="1">
      <c r="A150" s="7"/>
    </row>
    <row r="151" spans="1:1" s="1071" customFormat="1">
      <c r="A151" s="7"/>
    </row>
    <row r="152" spans="1:1" s="1071" customFormat="1">
      <c r="A152" s="7"/>
    </row>
    <row r="153" spans="1:1" s="1071" customFormat="1">
      <c r="A153" s="7"/>
    </row>
    <row r="154" spans="1:1" s="1071" customFormat="1">
      <c r="A154" s="7"/>
    </row>
    <row r="155" spans="1:1" s="1071" customFormat="1">
      <c r="A155" s="7"/>
    </row>
    <row r="156" spans="1:1" s="1071" customFormat="1">
      <c r="A156" s="7"/>
    </row>
    <row r="157" spans="1:1" s="1071" customFormat="1">
      <c r="A157" s="7"/>
    </row>
    <row r="158" spans="1:1" s="1071" customFormat="1">
      <c r="A158" s="7"/>
    </row>
    <row r="159" spans="1:1" s="1071" customFormat="1">
      <c r="A159" s="7"/>
    </row>
    <row r="160" spans="1:1" s="1071" customFormat="1">
      <c r="A160" s="7"/>
    </row>
    <row r="161" spans="1:1" s="1071" customFormat="1">
      <c r="A161" s="7"/>
    </row>
    <row r="162" spans="1:1" s="1071" customFormat="1">
      <c r="A162" s="7"/>
    </row>
    <row r="163" spans="1:1" s="1071" customFormat="1">
      <c r="A163" s="7"/>
    </row>
    <row r="164" spans="1:1" s="1071" customFormat="1">
      <c r="A164" s="7"/>
    </row>
    <row r="165" spans="1:1" s="1071" customFormat="1">
      <c r="A165" s="7"/>
    </row>
    <row r="166" spans="1:1" s="1071" customFormat="1">
      <c r="A166" s="7"/>
    </row>
    <row r="167" spans="1:1" s="1071" customFormat="1">
      <c r="A167" s="7"/>
    </row>
    <row r="168" spans="1:1" s="1071" customFormat="1">
      <c r="A168" s="7"/>
    </row>
    <row r="169" spans="1:1" s="1071" customFormat="1">
      <c r="A169" s="7"/>
    </row>
    <row r="170" spans="1:1" s="1071" customFormat="1">
      <c r="A170" s="7"/>
    </row>
    <row r="171" spans="1:1" s="1071" customFormat="1">
      <c r="A171" s="7"/>
    </row>
    <row r="172" spans="1:1" s="1071" customFormat="1">
      <c r="A172" s="7"/>
    </row>
    <row r="173" spans="1:1" s="1071" customFormat="1">
      <c r="A173" s="7"/>
    </row>
    <row r="174" spans="1:1" s="1071" customFormat="1">
      <c r="A174" s="7"/>
    </row>
    <row r="175" spans="1:1" s="1071" customFormat="1">
      <c r="A175" s="7"/>
    </row>
    <row r="176" spans="1:1" s="1071" customFormat="1">
      <c r="A176" s="7"/>
    </row>
    <row r="177" spans="1:1" s="1071" customFormat="1">
      <c r="A177" s="7"/>
    </row>
    <row r="178" spans="1:1" s="1071" customFormat="1">
      <c r="A178" s="7"/>
    </row>
    <row r="179" spans="1:1" s="1071" customFormat="1">
      <c r="A179" s="7"/>
    </row>
    <row r="180" spans="1:1" s="1071" customFormat="1">
      <c r="A180" s="7"/>
    </row>
    <row r="181" spans="1:1" s="1071" customFormat="1">
      <c r="A181" s="7"/>
    </row>
    <row r="182" spans="1:1" s="1071" customFormat="1">
      <c r="A182" s="7"/>
    </row>
    <row r="183" spans="1:1" s="1071" customFormat="1">
      <c r="A183" s="7"/>
    </row>
    <row r="184" spans="1:1" s="1071" customFormat="1">
      <c r="A184" s="7"/>
    </row>
    <row r="185" spans="1:1" s="1071" customFormat="1">
      <c r="A185" s="7"/>
    </row>
    <row r="186" spans="1:1" s="1071" customFormat="1">
      <c r="A186" s="7"/>
    </row>
    <row r="187" spans="1:1" s="1071" customFormat="1">
      <c r="A187" s="7"/>
    </row>
    <row r="188" spans="1:1" s="1071" customFormat="1">
      <c r="A188" s="7"/>
    </row>
    <row r="189" spans="1:1" s="1071" customFormat="1">
      <c r="A189" s="7"/>
    </row>
    <row r="190" spans="1:1" s="1071" customFormat="1">
      <c r="A190" s="7"/>
    </row>
    <row r="191" spans="1:1" s="1071" customFormat="1">
      <c r="A191" s="7"/>
    </row>
    <row r="192" spans="1:1" s="1071" customFormat="1">
      <c r="A192" s="7"/>
    </row>
    <row r="193" spans="1:1" s="1071" customFormat="1">
      <c r="A193" s="7"/>
    </row>
    <row r="194" spans="1:1" s="1071" customFormat="1">
      <c r="A194" s="7"/>
    </row>
    <row r="195" spans="1:1" s="1071" customFormat="1">
      <c r="A195" s="7"/>
    </row>
    <row r="196" spans="1:1" s="1071" customFormat="1">
      <c r="A196" s="7"/>
    </row>
    <row r="197" spans="1:1" s="1071" customFormat="1">
      <c r="A197" s="7"/>
    </row>
    <row r="198" spans="1:1" s="1071" customFormat="1">
      <c r="A198" s="7"/>
    </row>
    <row r="199" spans="1:1" s="1071" customFormat="1">
      <c r="A199" s="7"/>
    </row>
    <row r="200" spans="1:1" s="1071" customFormat="1">
      <c r="A200" s="7"/>
    </row>
    <row r="201" spans="1:1" s="1071" customFormat="1">
      <c r="A201" s="7"/>
    </row>
    <row r="202" spans="1:1" s="1071" customFormat="1">
      <c r="A202" s="7"/>
    </row>
    <row r="203" spans="1:1" s="1071" customFormat="1">
      <c r="A203" s="7"/>
    </row>
    <row r="204" spans="1:1" s="1071" customFormat="1">
      <c r="A204" s="7"/>
    </row>
    <row r="205" spans="1:1" s="1071" customFormat="1">
      <c r="A205" s="7"/>
    </row>
    <row r="206" spans="1:1" s="1071" customFormat="1">
      <c r="A206" s="7"/>
    </row>
    <row r="207" spans="1:1" s="1071" customFormat="1">
      <c r="A207" s="7"/>
    </row>
    <row r="208" spans="1:1" s="1071" customFormat="1">
      <c r="A208" s="7"/>
    </row>
    <row r="209" spans="1:1" s="1071" customFormat="1">
      <c r="A209" s="7"/>
    </row>
    <row r="210" spans="1:1" s="1071" customFormat="1">
      <c r="A210" s="7"/>
    </row>
    <row r="211" spans="1:1" s="1071" customFormat="1">
      <c r="A211" s="7"/>
    </row>
    <row r="212" spans="1:1" s="1071" customFormat="1">
      <c r="A212" s="7"/>
    </row>
    <row r="213" spans="1:1" s="1071" customFormat="1">
      <c r="A213" s="7"/>
    </row>
    <row r="214" spans="1:1" s="1071" customFormat="1">
      <c r="A214" s="7"/>
    </row>
    <row r="215" spans="1:1" s="1071" customFormat="1">
      <c r="A215" s="7"/>
    </row>
    <row r="216" spans="1:1" s="1071" customFormat="1">
      <c r="A216" s="7"/>
    </row>
    <row r="217" spans="1:1" s="1071" customFormat="1">
      <c r="A217" s="7"/>
    </row>
    <row r="218" spans="1:1" s="1071" customFormat="1">
      <c r="A218" s="7"/>
    </row>
    <row r="219" spans="1:1" s="1071" customFormat="1">
      <c r="A219" s="7"/>
    </row>
    <row r="220" spans="1:1" s="1071" customFormat="1">
      <c r="A220" s="7"/>
    </row>
    <row r="221" spans="1:1" s="1071" customFormat="1">
      <c r="A221" s="7"/>
    </row>
    <row r="222" spans="1:1" s="1071" customFormat="1">
      <c r="A222" s="7"/>
    </row>
    <row r="223" spans="1:1" s="1071" customFormat="1">
      <c r="A223" s="7"/>
    </row>
    <row r="224" spans="1:1" s="1071" customFormat="1">
      <c r="A224" s="7"/>
    </row>
    <row r="225" spans="1:1" s="1071" customFormat="1">
      <c r="A225" s="7"/>
    </row>
    <row r="226" spans="1:1" s="1071" customFormat="1">
      <c r="A226" s="7"/>
    </row>
    <row r="227" spans="1:1" s="1071" customFormat="1">
      <c r="A227" s="7"/>
    </row>
    <row r="228" spans="1:1" s="1071" customFormat="1">
      <c r="A228" s="7"/>
    </row>
    <row r="229" spans="1:1" s="1071" customFormat="1">
      <c r="A229" s="7"/>
    </row>
    <row r="230" spans="1:1" s="1071" customFormat="1">
      <c r="A230" s="7"/>
    </row>
    <row r="231" spans="1:1" s="1071" customFormat="1">
      <c r="A231" s="7"/>
    </row>
    <row r="232" spans="1:1" s="1071" customFormat="1">
      <c r="A232" s="7"/>
    </row>
    <row r="233" spans="1:1" s="1071" customFormat="1">
      <c r="A233" s="7"/>
    </row>
    <row r="234" spans="1:1" s="1071" customFormat="1">
      <c r="A234" s="7"/>
    </row>
    <row r="235" spans="1:1" s="1071" customFormat="1">
      <c r="A235" s="7"/>
    </row>
    <row r="236" spans="1:1" s="1071" customFormat="1">
      <c r="A236" s="7"/>
    </row>
    <row r="237" spans="1:1" s="1071" customFormat="1">
      <c r="A237" s="7"/>
    </row>
    <row r="238" spans="1:1" s="1071" customFormat="1">
      <c r="A238" s="7"/>
    </row>
    <row r="239" spans="1:1" s="1071" customFormat="1">
      <c r="A239" s="7"/>
    </row>
    <row r="240" spans="1:1" s="1071" customFormat="1">
      <c r="A240" s="7"/>
    </row>
    <row r="241" spans="1:1" s="1071" customFormat="1">
      <c r="A241" s="7"/>
    </row>
    <row r="242" spans="1:1" s="1071" customFormat="1">
      <c r="A242" s="7"/>
    </row>
    <row r="243" spans="1:1" s="1071" customFormat="1">
      <c r="A243" s="7"/>
    </row>
    <row r="244" spans="1:1" s="1071" customFormat="1">
      <c r="A244" s="7"/>
    </row>
    <row r="245" spans="1:1" s="1071" customFormat="1">
      <c r="A245" s="7"/>
    </row>
    <row r="246" spans="1:1" s="1071" customFormat="1">
      <c r="A246" s="7"/>
    </row>
    <row r="247" spans="1:1" s="1071" customFormat="1">
      <c r="A247" s="7"/>
    </row>
    <row r="248" spans="1:1" s="1071" customFormat="1">
      <c r="A248" s="7"/>
    </row>
    <row r="249" spans="1:1" s="1071" customFormat="1">
      <c r="A249" s="7"/>
    </row>
    <row r="250" spans="1:1" s="1071" customFormat="1">
      <c r="A250" s="7"/>
    </row>
    <row r="251" spans="1:1" s="1071" customFormat="1">
      <c r="A251" s="7"/>
    </row>
    <row r="252" spans="1:1" s="1071" customFormat="1">
      <c r="A252" s="7"/>
    </row>
    <row r="253" spans="1:1" s="1071" customFormat="1">
      <c r="A253" s="7"/>
    </row>
    <row r="254" spans="1:1" s="1071" customFormat="1">
      <c r="A254" s="7"/>
    </row>
    <row r="255" spans="1:1" s="1071" customFormat="1">
      <c r="A255" s="7"/>
    </row>
    <row r="256" spans="1:1" s="1071" customFormat="1">
      <c r="A256" s="7"/>
    </row>
    <row r="257" spans="1:1" s="1071" customFormat="1">
      <c r="A257" s="7"/>
    </row>
    <row r="258" spans="1:1" s="1071" customFormat="1">
      <c r="A258" s="7"/>
    </row>
    <row r="259" spans="1:1" s="1071" customFormat="1">
      <c r="A259" s="7"/>
    </row>
    <row r="260" spans="1:1" s="1071" customFormat="1">
      <c r="A260" s="7"/>
    </row>
    <row r="261" spans="1:1" s="1071" customFormat="1">
      <c r="A261" s="7"/>
    </row>
    <row r="262" spans="1:1" s="1071" customFormat="1">
      <c r="A262" s="7"/>
    </row>
    <row r="263" spans="1:1" s="1071" customFormat="1">
      <c r="A263" s="7"/>
    </row>
    <row r="264" spans="1:1" s="1071" customFormat="1">
      <c r="A264" s="7"/>
    </row>
    <row r="265" spans="1:1" s="1071" customFormat="1">
      <c r="A265" s="7"/>
    </row>
    <row r="266" spans="1:1" s="1071" customFormat="1">
      <c r="A266" s="7"/>
    </row>
    <row r="267" spans="1:1" s="1071" customFormat="1">
      <c r="A267" s="7"/>
    </row>
    <row r="268" spans="1:1" s="1071" customFormat="1">
      <c r="A268" s="7"/>
    </row>
    <row r="269" spans="1:1" s="1071" customFormat="1">
      <c r="A269" s="7"/>
    </row>
    <row r="270" spans="1:1" s="1071" customFormat="1">
      <c r="A270" s="7"/>
    </row>
    <row r="271" spans="1:1" s="1071" customFormat="1">
      <c r="A271" s="7"/>
    </row>
    <row r="272" spans="1:1" s="1071" customFormat="1">
      <c r="A272" s="7"/>
    </row>
    <row r="273" spans="1:1" s="1071" customFormat="1">
      <c r="A273" s="7"/>
    </row>
    <row r="274" spans="1:1" s="1071" customFormat="1">
      <c r="A274" s="7"/>
    </row>
    <row r="275" spans="1:1" s="1071" customFormat="1">
      <c r="A275" s="7"/>
    </row>
    <row r="276" spans="1:1" s="1071" customFormat="1">
      <c r="A276" s="7"/>
    </row>
    <row r="277" spans="1:1" s="1071" customFormat="1">
      <c r="A277" s="7"/>
    </row>
    <row r="278" spans="1:1" s="1071" customFormat="1">
      <c r="A278" s="7"/>
    </row>
    <row r="279" spans="1:1" s="1071" customFormat="1">
      <c r="A279" s="7"/>
    </row>
    <row r="280" spans="1:1" s="1071" customFormat="1">
      <c r="A280" s="7"/>
    </row>
    <row r="281" spans="1:1" s="1071" customFormat="1">
      <c r="A281" s="7"/>
    </row>
    <row r="282" spans="1:1" s="1071" customFormat="1">
      <c r="A282" s="7"/>
    </row>
    <row r="283" spans="1:1" s="1071" customFormat="1">
      <c r="A283" s="7"/>
    </row>
    <row r="284" spans="1:1" s="1071" customFormat="1">
      <c r="A284" s="7"/>
    </row>
    <row r="285" spans="1:1" s="1071" customFormat="1">
      <c r="A285" s="7"/>
    </row>
    <row r="286" spans="1:1" s="1071" customFormat="1">
      <c r="A286" s="7"/>
    </row>
    <row r="287" spans="1:1" s="1071" customFormat="1">
      <c r="A287" s="7"/>
    </row>
    <row r="288" spans="1:1" s="1071" customFormat="1">
      <c r="A288" s="7"/>
    </row>
    <row r="289" spans="1:1" s="1071" customFormat="1">
      <c r="A289" s="7"/>
    </row>
    <row r="290" spans="1:1" s="1071" customFormat="1">
      <c r="A290" s="7"/>
    </row>
    <row r="291" spans="1:1" s="1071" customFormat="1">
      <c r="A291" s="7"/>
    </row>
    <row r="292" spans="1:1" s="1071" customFormat="1">
      <c r="A292" s="7"/>
    </row>
    <row r="293" spans="1:1" s="1071" customFormat="1">
      <c r="A293" s="7"/>
    </row>
    <row r="294" spans="1:1" s="1071" customFormat="1">
      <c r="A294" s="7"/>
    </row>
    <row r="295" spans="1:1" s="1071" customFormat="1">
      <c r="A295" s="7"/>
    </row>
    <row r="296" spans="1:1" s="1071" customFormat="1">
      <c r="A296" s="7"/>
    </row>
    <row r="297" spans="1:1" s="1071" customFormat="1">
      <c r="A297" s="7"/>
    </row>
    <row r="298" spans="1:1" s="1071" customFormat="1">
      <c r="A298" s="7"/>
    </row>
    <row r="299" spans="1:1" s="1071" customFormat="1">
      <c r="A299" s="7"/>
    </row>
    <row r="300" spans="1:1" s="1071" customFormat="1">
      <c r="A300" s="7"/>
    </row>
    <row r="301" spans="1:1" s="1071" customFormat="1">
      <c r="A301" s="7"/>
    </row>
    <row r="302" spans="1:1" s="1071" customFormat="1">
      <c r="A302" s="7"/>
    </row>
    <row r="303" spans="1:1" s="1071" customFormat="1">
      <c r="A303" s="7"/>
    </row>
    <row r="304" spans="1:1" s="1071" customFormat="1">
      <c r="A304" s="7"/>
    </row>
    <row r="305" spans="1:1" s="1071" customFormat="1">
      <c r="A305" s="7"/>
    </row>
    <row r="306" spans="1:1" s="1071" customFormat="1">
      <c r="A306" s="7"/>
    </row>
    <row r="307" spans="1:1" s="1071" customFormat="1">
      <c r="A307" s="7"/>
    </row>
    <row r="308" spans="1:1" s="1071" customFormat="1">
      <c r="A308" s="7"/>
    </row>
    <row r="309" spans="1:1" s="1071" customFormat="1">
      <c r="A309" s="7"/>
    </row>
    <row r="310" spans="1:1" s="1071" customFormat="1">
      <c r="A310" s="7"/>
    </row>
    <row r="311" spans="1:1" s="1071" customFormat="1">
      <c r="A311" s="7"/>
    </row>
    <row r="312" spans="1:1" s="1071" customFormat="1">
      <c r="A312" s="7"/>
    </row>
    <row r="313" spans="1:1" s="1071" customFormat="1">
      <c r="A313" s="7"/>
    </row>
    <row r="314" spans="1:1" s="1071" customFormat="1">
      <c r="A314" s="7"/>
    </row>
    <row r="315" spans="1:1" s="1071" customFormat="1">
      <c r="A315" s="7"/>
    </row>
    <row r="316" spans="1:1" s="1071" customFormat="1">
      <c r="A316" s="7"/>
    </row>
    <row r="317" spans="1:1" s="1071" customFormat="1">
      <c r="A317" s="7"/>
    </row>
    <row r="318" spans="1:1" s="1071" customFormat="1">
      <c r="A318" s="7"/>
    </row>
    <row r="319" spans="1:1" s="1071" customFormat="1">
      <c r="A319" s="7"/>
    </row>
    <row r="320" spans="1:1" s="1071" customFormat="1">
      <c r="A320" s="7"/>
    </row>
    <row r="321" spans="1:1" s="1071" customFormat="1">
      <c r="A321" s="7"/>
    </row>
    <row r="322" spans="1:1" s="1071" customFormat="1">
      <c r="A322" s="7"/>
    </row>
    <row r="323" spans="1:1" s="1071" customFormat="1">
      <c r="A323" s="7"/>
    </row>
    <row r="324" spans="1:1" s="1071" customFormat="1">
      <c r="A324" s="7"/>
    </row>
    <row r="325" spans="1:1" s="1071" customFormat="1">
      <c r="A325" s="7"/>
    </row>
    <row r="326" spans="1:1" s="1071" customFormat="1">
      <c r="A326" s="7"/>
    </row>
    <row r="327" spans="1:1" s="1071" customFormat="1">
      <c r="A327" s="7"/>
    </row>
    <row r="328" spans="1:1" s="1071" customFormat="1">
      <c r="A328" s="7"/>
    </row>
    <row r="329" spans="1:1" s="1071" customFormat="1">
      <c r="A329" s="7"/>
    </row>
    <row r="330" spans="1:1" s="1071" customFormat="1">
      <c r="A330" s="7"/>
    </row>
    <row r="331" spans="1:1" s="1071" customFormat="1">
      <c r="A331" s="7"/>
    </row>
    <row r="332" spans="1:1" s="1071" customFormat="1">
      <c r="A332" s="7"/>
    </row>
    <row r="333" spans="1:1" s="1071" customFormat="1">
      <c r="A333" s="7"/>
    </row>
    <row r="334" spans="1:1" s="1071" customFormat="1">
      <c r="A334" s="7"/>
    </row>
    <row r="335" spans="1:1" s="1071" customFormat="1">
      <c r="A335" s="7"/>
    </row>
    <row r="336" spans="1:1" s="1071" customFormat="1">
      <c r="A336" s="7"/>
    </row>
    <row r="337" spans="1:1" s="1071" customFormat="1">
      <c r="A337" s="7"/>
    </row>
    <row r="338" spans="1:1" s="1071" customFormat="1">
      <c r="A338" s="7"/>
    </row>
    <row r="339" spans="1:1" s="1071" customFormat="1">
      <c r="A339" s="7"/>
    </row>
    <row r="340" spans="1:1" s="1071" customFormat="1">
      <c r="A340" s="7"/>
    </row>
    <row r="341" spans="1:1" s="1071" customFormat="1">
      <c r="A341" s="7"/>
    </row>
    <row r="342" spans="1:1" s="1071" customFormat="1">
      <c r="A342" s="7"/>
    </row>
    <row r="343" spans="1:1" s="1071" customFormat="1">
      <c r="A343" s="7"/>
    </row>
    <row r="344" spans="1:1" s="1071" customFormat="1">
      <c r="A344" s="7"/>
    </row>
    <row r="345" spans="1:1" s="1071" customFormat="1">
      <c r="A345" s="7"/>
    </row>
    <row r="346" spans="1:1" s="1071" customFormat="1">
      <c r="A346" s="7"/>
    </row>
    <row r="347" spans="1:1" s="1071" customFormat="1">
      <c r="A347" s="7"/>
    </row>
    <row r="348" spans="1:1" s="1071" customFormat="1">
      <c r="A348" s="7"/>
    </row>
    <row r="349" spans="1:1" s="1071" customFormat="1">
      <c r="A349" s="7"/>
    </row>
    <row r="350" spans="1:1" s="1071" customFormat="1">
      <c r="A350" s="7"/>
    </row>
    <row r="351" spans="1:1" s="1071" customFormat="1">
      <c r="A351" s="7"/>
    </row>
    <row r="352" spans="1:1" s="1071" customFormat="1">
      <c r="A352" s="7"/>
    </row>
    <row r="353" spans="1:1" s="1071" customFormat="1">
      <c r="A353" s="7"/>
    </row>
    <row r="354" spans="1:1" s="1071" customFormat="1">
      <c r="A354" s="7"/>
    </row>
    <row r="355" spans="1:1" s="1071" customFormat="1">
      <c r="A355" s="7"/>
    </row>
    <row r="356" spans="1:1" s="1071" customFormat="1">
      <c r="A356" s="7"/>
    </row>
    <row r="357" spans="1:1" s="1071" customFormat="1">
      <c r="A357" s="7"/>
    </row>
    <row r="358" spans="1:1" s="1071" customFormat="1">
      <c r="A358" s="7"/>
    </row>
    <row r="359" spans="1:1" s="1071" customFormat="1">
      <c r="A359" s="7"/>
    </row>
    <row r="360" spans="1:1" s="1071" customFormat="1">
      <c r="A360" s="7"/>
    </row>
    <row r="361" spans="1:1" s="1071" customFormat="1">
      <c r="A361" s="7"/>
    </row>
    <row r="362" spans="1:1" s="1071" customFormat="1">
      <c r="A362" s="7"/>
    </row>
    <row r="363" spans="1:1" s="1071" customFormat="1">
      <c r="A363" s="7"/>
    </row>
    <row r="364" spans="1:1" s="1071" customFormat="1">
      <c r="A364" s="7"/>
    </row>
    <row r="365" spans="1:1" s="1071" customFormat="1">
      <c r="A365" s="7"/>
    </row>
    <row r="366" spans="1:1" s="1071" customFormat="1">
      <c r="A366" s="7"/>
    </row>
    <row r="367" spans="1:1" s="1071" customFormat="1">
      <c r="A367" s="7"/>
    </row>
    <row r="368" spans="1:1" s="1071" customFormat="1">
      <c r="A368" s="7"/>
    </row>
    <row r="369" spans="1:1" s="1071" customFormat="1">
      <c r="A369" s="7"/>
    </row>
    <row r="370" spans="1:1" s="1071" customFormat="1">
      <c r="A370" s="7"/>
    </row>
    <row r="371" spans="1:1" s="1071" customFormat="1">
      <c r="A371" s="7"/>
    </row>
    <row r="372" spans="1:1" s="1071" customFormat="1">
      <c r="A372" s="7"/>
    </row>
    <row r="373" spans="1:1" s="1071" customFormat="1">
      <c r="A373" s="7"/>
    </row>
    <row r="374" spans="1:1" s="1071" customFormat="1">
      <c r="A374" s="7"/>
    </row>
    <row r="375" spans="1:1" s="1071" customFormat="1">
      <c r="A375" s="7"/>
    </row>
    <row r="376" spans="1:1" s="1071" customFormat="1">
      <c r="A376" s="7"/>
    </row>
    <row r="377" spans="1:1" s="1071" customFormat="1">
      <c r="A377" s="7"/>
    </row>
    <row r="378" spans="1:1" s="1071" customFormat="1">
      <c r="A378" s="7"/>
    </row>
    <row r="379" spans="1:1" s="1071" customFormat="1">
      <c r="A379" s="7"/>
    </row>
    <row r="380" spans="1:1" s="1071" customFormat="1">
      <c r="A380" s="7"/>
    </row>
    <row r="381" spans="1:1" s="1071" customFormat="1">
      <c r="A381" s="7"/>
    </row>
    <row r="382" spans="1:1" s="1071" customFormat="1">
      <c r="A382" s="7"/>
    </row>
    <row r="383" spans="1:1" s="1071" customFormat="1">
      <c r="A383" s="7"/>
    </row>
    <row r="384" spans="1:1" s="1071" customFormat="1">
      <c r="A384" s="7"/>
    </row>
    <row r="385" spans="1:1" s="1071" customFormat="1">
      <c r="A385" s="7"/>
    </row>
    <row r="386" spans="1:1" s="1071" customFormat="1">
      <c r="A386" s="7"/>
    </row>
    <row r="387" spans="1:1" s="1071" customFormat="1">
      <c r="A387" s="7"/>
    </row>
    <row r="388" spans="1:1" s="1071" customFormat="1">
      <c r="A388" s="7"/>
    </row>
    <row r="389" spans="1:1" s="1071" customFormat="1">
      <c r="A389" s="7"/>
    </row>
    <row r="390" spans="1:1" s="1071" customFormat="1">
      <c r="A390" s="7"/>
    </row>
    <row r="391" spans="1:1" s="1071" customFormat="1">
      <c r="A391" s="7"/>
    </row>
    <row r="392" spans="1:1" s="1071" customFormat="1">
      <c r="A392" s="7"/>
    </row>
    <row r="393" spans="1:1" s="1071" customFormat="1">
      <c r="A393" s="7"/>
    </row>
    <row r="394" spans="1:1" s="1071" customFormat="1">
      <c r="A394" s="7"/>
    </row>
    <row r="395" spans="1:1" s="1071" customFormat="1">
      <c r="A395" s="7"/>
    </row>
    <row r="396" spans="1:1" s="1071" customFormat="1">
      <c r="A396" s="7"/>
    </row>
    <row r="397" spans="1:1" s="1071" customFormat="1">
      <c r="A397" s="7"/>
    </row>
    <row r="398" spans="1:1" s="1071" customFormat="1">
      <c r="A398" s="7"/>
    </row>
    <row r="399" spans="1:1" s="1071" customFormat="1">
      <c r="A399" s="7"/>
    </row>
    <row r="400" spans="1:1" s="1071" customFormat="1">
      <c r="A400" s="7"/>
    </row>
    <row r="401" spans="1:1" s="1071" customFormat="1">
      <c r="A401" s="7"/>
    </row>
    <row r="402" spans="1:1" s="1071" customFormat="1">
      <c r="A402" s="7"/>
    </row>
    <row r="403" spans="1:1" s="1071" customFormat="1">
      <c r="A403" s="7"/>
    </row>
    <row r="404" spans="1:1" s="1071" customFormat="1">
      <c r="A404" s="7"/>
    </row>
    <row r="405" spans="1:1" s="1071" customFormat="1">
      <c r="A405" s="7"/>
    </row>
    <row r="406" spans="1:1" s="1071" customFormat="1">
      <c r="A406" s="7"/>
    </row>
    <row r="407" spans="1:1" s="1071" customFormat="1">
      <c r="A407" s="7"/>
    </row>
    <row r="408" spans="1:1" s="1071" customFormat="1">
      <c r="A408" s="7"/>
    </row>
    <row r="409" spans="1:1" s="1071" customFormat="1">
      <c r="A409" s="7"/>
    </row>
    <row r="410" spans="1:1" s="1071" customFormat="1">
      <c r="A410" s="7"/>
    </row>
    <row r="411" spans="1:1" s="1071" customFormat="1">
      <c r="A411" s="7"/>
    </row>
    <row r="412" spans="1:1" s="1071" customFormat="1">
      <c r="A412" s="7"/>
    </row>
    <row r="413" spans="1:1" s="1071" customFormat="1">
      <c r="A413" s="7"/>
    </row>
    <row r="414" spans="1:1" s="1071" customFormat="1">
      <c r="A414" s="7"/>
    </row>
    <row r="415" spans="1:1" s="1071" customFormat="1">
      <c r="A415" s="7"/>
    </row>
    <row r="416" spans="1:1" s="1071" customFormat="1">
      <c r="A416" s="7"/>
    </row>
    <row r="417" spans="1:1" s="1071" customFormat="1">
      <c r="A417" s="7"/>
    </row>
    <row r="418" spans="1:1" s="1071" customFormat="1">
      <c r="A418" s="7"/>
    </row>
    <row r="419" spans="1:1" s="1071" customFormat="1">
      <c r="A419" s="7"/>
    </row>
    <row r="420" spans="1:1" s="1071" customFormat="1">
      <c r="A420" s="7"/>
    </row>
    <row r="421" spans="1:1" s="1071" customFormat="1">
      <c r="A421" s="7"/>
    </row>
    <row r="422" spans="1:1" s="1071" customFormat="1">
      <c r="A422" s="7"/>
    </row>
    <row r="423" spans="1:1" s="1071" customFormat="1">
      <c r="A423" s="7"/>
    </row>
    <row r="424" spans="1:1" s="1071" customFormat="1">
      <c r="A424" s="7"/>
    </row>
    <row r="425" spans="1:1" s="1071" customFormat="1">
      <c r="A425" s="7"/>
    </row>
    <row r="426" spans="1:1" s="1071" customFormat="1">
      <c r="A426" s="7"/>
    </row>
    <row r="427" spans="1:1" s="1071" customFormat="1">
      <c r="A427" s="7"/>
    </row>
    <row r="428" spans="1:1" s="1071" customFormat="1">
      <c r="A428" s="7"/>
    </row>
    <row r="429" spans="1:1" s="1071" customFormat="1">
      <c r="A429" s="7"/>
    </row>
    <row r="430" spans="1:1" s="1071" customFormat="1">
      <c r="A430" s="7"/>
    </row>
    <row r="431" spans="1:1" s="1071" customFormat="1">
      <c r="A431" s="7"/>
    </row>
    <row r="432" spans="1:1" s="1071" customFormat="1">
      <c r="A432" s="7"/>
    </row>
    <row r="433" spans="1:1" s="1071" customFormat="1">
      <c r="A433" s="7"/>
    </row>
    <row r="434" spans="1:1" s="1071" customFormat="1">
      <c r="A434" s="7"/>
    </row>
    <row r="435" spans="1:1" s="1071" customFormat="1">
      <c r="A435" s="7"/>
    </row>
    <row r="436" spans="1:1" s="1071" customFormat="1">
      <c r="A436" s="7"/>
    </row>
    <row r="437" spans="1:1" s="1071" customFormat="1">
      <c r="A437" s="7"/>
    </row>
    <row r="438" spans="1:1" s="1071" customFormat="1">
      <c r="A438" s="7"/>
    </row>
    <row r="439" spans="1:1" s="1071" customFormat="1">
      <c r="A439" s="7"/>
    </row>
    <row r="440" spans="1:1" s="1071" customFormat="1">
      <c r="A440" s="7"/>
    </row>
    <row r="441" spans="1:1" s="1071" customFormat="1">
      <c r="A441" s="7"/>
    </row>
    <row r="442" spans="1:1" s="1071" customFormat="1">
      <c r="A442" s="7"/>
    </row>
    <row r="443" spans="1:1" s="1071" customFormat="1">
      <c r="A443" s="7"/>
    </row>
    <row r="444" spans="1:1" s="1071" customFormat="1">
      <c r="A444" s="7"/>
    </row>
    <row r="445" spans="1:1" s="1071" customFormat="1">
      <c r="A445" s="7"/>
    </row>
    <row r="446" spans="1:1" s="1071" customFormat="1">
      <c r="A446" s="7"/>
    </row>
    <row r="447" spans="1:1" s="1071" customFormat="1">
      <c r="A447" s="7"/>
    </row>
    <row r="448" spans="1:1" s="1071" customFormat="1">
      <c r="A448" s="7"/>
    </row>
    <row r="449" spans="1:1" s="1071" customFormat="1">
      <c r="A449" s="7"/>
    </row>
    <row r="450" spans="1:1" s="1071" customFormat="1">
      <c r="A450" s="7"/>
    </row>
    <row r="451" spans="1:1" s="1071" customFormat="1">
      <c r="A451" s="7"/>
    </row>
    <row r="452" spans="1:1" s="1071" customFormat="1">
      <c r="A452" s="7"/>
    </row>
    <row r="453" spans="1:1" s="1071" customFormat="1">
      <c r="A453" s="7"/>
    </row>
    <row r="454" spans="1:1" s="1071" customFormat="1">
      <c r="A454" s="7"/>
    </row>
    <row r="455" spans="1:1" s="1071" customFormat="1">
      <c r="A455" s="7"/>
    </row>
    <row r="456" spans="1:1" s="1071" customFormat="1">
      <c r="A456" s="7"/>
    </row>
    <row r="457" spans="1:1" s="1071" customFormat="1">
      <c r="A457" s="7"/>
    </row>
    <row r="458" spans="1:1" s="1071" customFormat="1">
      <c r="A458" s="7"/>
    </row>
    <row r="459" spans="1:1" s="1071" customFormat="1">
      <c r="A459" s="7"/>
    </row>
    <row r="460" spans="1:1" s="1071" customFormat="1">
      <c r="A460" s="7"/>
    </row>
    <row r="461" spans="1:1" s="1071" customFormat="1">
      <c r="A461" s="7"/>
    </row>
    <row r="462" spans="1:1" s="1071" customFormat="1">
      <c r="A462" s="7"/>
    </row>
    <row r="463" spans="1:1" s="1071" customFormat="1">
      <c r="A463" s="7"/>
    </row>
    <row r="464" spans="1:1" s="1071" customFormat="1">
      <c r="A464" s="7"/>
    </row>
    <row r="465" spans="1:1" s="1071" customFormat="1">
      <c r="A465" s="7"/>
    </row>
    <row r="466" spans="1:1" s="1071" customFormat="1">
      <c r="A466" s="7"/>
    </row>
    <row r="467" spans="1:1" s="1071" customFormat="1">
      <c r="A467" s="7"/>
    </row>
    <row r="468" spans="1:1" s="1071" customFormat="1">
      <c r="A468" s="7"/>
    </row>
    <row r="469" spans="1:1" s="1071" customFormat="1">
      <c r="A469" s="7"/>
    </row>
    <row r="470" spans="1:1" s="1071" customFormat="1">
      <c r="A470" s="7"/>
    </row>
    <row r="471" spans="1:1" s="1071" customFormat="1">
      <c r="A471" s="7"/>
    </row>
    <row r="472" spans="1:1" s="1071" customFormat="1">
      <c r="A472" s="7"/>
    </row>
    <row r="473" spans="1:1" s="1071" customFormat="1">
      <c r="A473" s="7"/>
    </row>
    <row r="474" spans="1:1" s="1071" customFormat="1">
      <c r="A474" s="7"/>
    </row>
    <row r="475" spans="1:1" s="1071" customFormat="1">
      <c r="A475" s="7"/>
    </row>
    <row r="476" spans="1:1" s="1071" customFormat="1">
      <c r="A476" s="7"/>
    </row>
    <row r="477" spans="1:1" s="1071" customFormat="1">
      <c r="A477" s="7"/>
    </row>
    <row r="478" spans="1:1" s="1071" customFormat="1">
      <c r="A478" s="7"/>
    </row>
    <row r="479" spans="1:1" s="1071" customFormat="1">
      <c r="A479" s="7"/>
    </row>
    <row r="480" spans="1:1" s="1071" customFormat="1">
      <c r="A480" s="7"/>
    </row>
    <row r="481" spans="1:1" s="1071" customFormat="1">
      <c r="A481" s="7"/>
    </row>
    <row r="482" spans="1:1" s="1071" customFormat="1">
      <c r="A482" s="7"/>
    </row>
    <row r="483" spans="1:1" s="1071" customFormat="1">
      <c r="A483" s="7"/>
    </row>
    <row r="484" spans="1:1" s="1071" customFormat="1">
      <c r="A484" s="7"/>
    </row>
    <row r="485" spans="1:1" s="1071" customFormat="1">
      <c r="A485" s="7"/>
    </row>
    <row r="486" spans="1:1" s="1071" customFormat="1">
      <c r="A486" s="7"/>
    </row>
    <row r="487" spans="1:1" s="1071" customFormat="1">
      <c r="A487" s="7"/>
    </row>
    <row r="488" spans="1:1" s="1071" customFormat="1">
      <c r="A488" s="7"/>
    </row>
    <row r="489" spans="1:1" s="1071" customFormat="1">
      <c r="A489" s="7"/>
    </row>
    <row r="490" spans="1:1" s="1071" customFormat="1">
      <c r="A490" s="7"/>
    </row>
    <row r="491" spans="1:1" s="1071" customFormat="1">
      <c r="A491" s="7"/>
    </row>
    <row r="492" spans="1:1" s="1071" customFormat="1">
      <c r="A492" s="7"/>
    </row>
    <row r="493" spans="1:1" s="1071" customFormat="1">
      <c r="A493" s="7"/>
    </row>
    <row r="494" spans="1:1" s="1071" customFormat="1">
      <c r="A494" s="7"/>
    </row>
    <row r="495" spans="1:1" s="1071" customFormat="1">
      <c r="A495" s="7"/>
    </row>
    <row r="496" spans="1:1" s="1071" customFormat="1">
      <c r="A496" s="7"/>
    </row>
    <row r="497" spans="1:1" s="1071" customFormat="1">
      <c r="A497" s="7"/>
    </row>
    <row r="498" spans="1:1" s="1071" customFormat="1">
      <c r="A498" s="7"/>
    </row>
    <row r="499" spans="1:1" s="1071" customFormat="1">
      <c r="A499" s="7"/>
    </row>
    <row r="500" spans="1:1" s="1071" customFormat="1">
      <c r="A500" s="7"/>
    </row>
    <row r="501" spans="1:1" s="1071" customFormat="1">
      <c r="A501" s="7"/>
    </row>
    <row r="502" spans="1:1" s="1071" customFormat="1">
      <c r="A502" s="7"/>
    </row>
    <row r="503" spans="1:1" s="1071" customFormat="1">
      <c r="A503" s="7"/>
    </row>
    <row r="504" spans="1:1" s="1071" customFormat="1">
      <c r="A504" s="7"/>
    </row>
    <row r="505" spans="1:1" s="1071" customFormat="1">
      <c r="A505" s="7"/>
    </row>
    <row r="506" spans="1:1" s="1071" customFormat="1">
      <c r="A506" s="7"/>
    </row>
    <row r="507" spans="1:1" s="1071" customFormat="1">
      <c r="A507" s="7"/>
    </row>
    <row r="508" spans="1:1" s="1071" customFormat="1">
      <c r="A508" s="7"/>
    </row>
    <row r="509" spans="1:1" s="1071" customFormat="1">
      <c r="A509" s="7"/>
    </row>
    <row r="510" spans="1:1" s="1071" customFormat="1">
      <c r="A510" s="7"/>
    </row>
    <row r="511" spans="1:1" s="1071" customFormat="1">
      <c r="A511" s="7"/>
    </row>
    <row r="512" spans="1:1" s="1071" customFormat="1">
      <c r="A512" s="7"/>
    </row>
    <row r="513" spans="1:1" s="1071" customFormat="1">
      <c r="A513" s="7"/>
    </row>
    <row r="514" spans="1:1" s="1071" customFormat="1">
      <c r="A514" s="7"/>
    </row>
    <row r="515" spans="1:1" s="1071" customFormat="1">
      <c r="A515" s="7"/>
    </row>
    <row r="516" spans="1:1" s="1071" customFormat="1">
      <c r="A516" s="7"/>
    </row>
    <row r="517" spans="1:1" s="1071" customFormat="1">
      <c r="A517" s="7"/>
    </row>
    <row r="518" spans="1:1" s="1071" customFormat="1">
      <c r="A518" s="7"/>
    </row>
    <row r="519" spans="1:1" s="1071" customFormat="1">
      <c r="A519" s="7"/>
    </row>
    <row r="520" spans="1:1" s="1071" customFormat="1">
      <c r="A520" s="7"/>
    </row>
    <row r="521" spans="1:1" s="1071" customFormat="1">
      <c r="A521" s="7"/>
    </row>
    <row r="522" spans="1:1" s="1071" customFormat="1">
      <c r="A522" s="7"/>
    </row>
    <row r="523" spans="1:1" s="1071" customFormat="1">
      <c r="A523" s="7"/>
    </row>
    <row r="524" spans="1:1" s="1071" customFormat="1">
      <c r="A524" s="7"/>
    </row>
    <row r="525" spans="1:1" s="1071" customFormat="1">
      <c r="A525" s="7"/>
    </row>
    <row r="526" spans="1:1" s="1071" customFormat="1">
      <c r="A526" s="7"/>
    </row>
    <row r="527" spans="1:1" s="1071" customFormat="1">
      <c r="A527" s="7"/>
    </row>
    <row r="528" spans="1:1" s="1071" customFormat="1">
      <c r="A528" s="7"/>
    </row>
    <row r="529" spans="1:1" s="1071" customFormat="1">
      <c r="A529" s="7"/>
    </row>
    <row r="530" spans="1:1" s="1071" customFormat="1">
      <c r="A530" s="7"/>
    </row>
    <row r="531" spans="1:1" s="1071" customFormat="1">
      <c r="A531" s="7"/>
    </row>
    <row r="532" spans="1:1" s="1071" customFormat="1">
      <c r="A532" s="7"/>
    </row>
    <row r="533" spans="1:1" s="1071" customFormat="1">
      <c r="A533" s="7"/>
    </row>
    <row r="534" spans="1:1" s="1071" customFormat="1">
      <c r="A534" s="7"/>
    </row>
    <row r="535" spans="1:1" s="1071" customFormat="1">
      <c r="A535" s="7"/>
    </row>
    <row r="536" spans="1:1" s="1071" customFormat="1">
      <c r="A536" s="7"/>
    </row>
    <row r="537" spans="1:1" s="1071" customFormat="1">
      <c r="A537" s="7"/>
    </row>
    <row r="538" spans="1:1" s="1071" customFormat="1">
      <c r="A538" s="7"/>
    </row>
    <row r="539" spans="1:1" s="1071" customFormat="1">
      <c r="A539" s="7"/>
    </row>
    <row r="540" spans="1:1" s="1071" customFormat="1">
      <c r="A540" s="7"/>
    </row>
    <row r="541" spans="1:1" s="1071" customFormat="1">
      <c r="A541" s="7"/>
    </row>
    <row r="542" spans="1:1" s="1071" customFormat="1">
      <c r="A542" s="7"/>
    </row>
    <row r="543" spans="1:1" s="1071" customFormat="1">
      <c r="A543" s="7"/>
    </row>
    <row r="544" spans="1:1" s="1071" customFormat="1">
      <c r="A544" s="7"/>
    </row>
    <row r="545" spans="1:1" s="1071" customFormat="1">
      <c r="A545" s="7"/>
    </row>
    <row r="546" spans="1:1" s="1071" customFormat="1">
      <c r="A546" s="7"/>
    </row>
    <row r="547" spans="1:1" s="1071" customFormat="1">
      <c r="A547" s="7"/>
    </row>
    <row r="548" spans="1:1" s="1071" customFormat="1">
      <c r="A548" s="7"/>
    </row>
    <row r="549" spans="1:1" s="1071" customFormat="1">
      <c r="A549" s="7"/>
    </row>
    <row r="550" spans="1:1" s="1071" customFormat="1">
      <c r="A550" s="7"/>
    </row>
    <row r="551" spans="1:1" s="1071" customFormat="1">
      <c r="A551" s="7"/>
    </row>
    <row r="552" spans="1:1" s="1071" customFormat="1">
      <c r="A552" s="7"/>
    </row>
    <row r="553" spans="1:1" s="1071" customFormat="1">
      <c r="A553" s="7"/>
    </row>
    <row r="554" spans="1:1" s="1071" customFormat="1">
      <c r="A554" s="7"/>
    </row>
    <row r="555" spans="1:1" s="1071" customFormat="1">
      <c r="A555" s="7"/>
    </row>
    <row r="556" spans="1:1" s="1071" customFormat="1">
      <c r="A556" s="7"/>
    </row>
    <row r="557" spans="1:1" s="1071" customFormat="1">
      <c r="A557" s="7"/>
    </row>
    <row r="558" spans="1:1" s="1071" customFormat="1">
      <c r="A558" s="7"/>
    </row>
    <row r="559" spans="1:1" s="1071" customFormat="1">
      <c r="A559" s="7"/>
    </row>
    <row r="560" spans="1:1" s="1071" customFormat="1">
      <c r="A560" s="7"/>
    </row>
    <row r="561" spans="1:1" s="1071" customFormat="1">
      <c r="A561" s="7"/>
    </row>
    <row r="562" spans="1:1" s="1071" customFormat="1">
      <c r="A562" s="7"/>
    </row>
    <row r="563" spans="1:1" s="1071" customFormat="1">
      <c r="A563" s="7"/>
    </row>
    <row r="564" spans="1:1" s="1071" customFormat="1">
      <c r="A564" s="7"/>
    </row>
    <row r="565" spans="1:1" s="1071" customFormat="1">
      <c r="A565" s="7"/>
    </row>
    <row r="566" spans="1:1" s="1071" customFormat="1">
      <c r="A566" s="7"/>
    </row>
    <row r="567" spans="1:1" s="1071" customFormat="1">
      <c r="A567" s="7"/>
    </row>
    <row r="568" spans="1:1" s="1071" customFormat="1">
      <c r="A568" s="7"/>
    </row>
    <row r="569" spans="1:1" s="1071" customFormat="1">
      <c r="A569" s="7"/>
    </row>
    <row r="570" spans="1:1" s="1071" customFormat="1">
      <c r="A570" s="7"/>
    </row>
    <row r="571" spans="1:1" s="1071" customFormat="1">
      <c r="A571" s="7"/>
    </row>
    <row r="572" spans="1:1" s="1071" customFormat="1">
      <c r="A572" s="7"/>
    </row>
    <row r="573" spans="1:1" s="1071" customFormat="1">
      <c r="A573" s="7"/>
    </row>
    <row r="574" spans="1:1" s="1071" customFormat="1">
      <c r="A574" s="7"/>
    </row>
    <row r="575" spans="1:1" s="1071" customFormat="1">
      <c r="A575" s="7"/>
    </row>
    <row r="576" spans="1:1" s="1071" customFormat="1">
      <c r="A576" s="7"/>
    </row>
    <row r="577" spans="1:1" s="1071" customFormat="1">
      <c r="A577" s="7"/>
    </row>
    <row r="578" spans="1:1" s="1071" customFormat="1">
      <c r="A578" s="7"/>
    </row>
    <row r="579" spans="1:1" s="1071" customFormat="1">
      <c r="A579" s="7"/>
    </row>
    <row r="580" spans="1:1" s="1071" customFormat="1">
      <c r="A580" s="7"/>
    </row>
    <row r="581" spans="1:1" s="1071" customFormat="1">
      <c r="A581" s="7"/>
    </row>
    <row r="582" spans="1:1" s="1071" customFormat="1">
      <c r="A582" s="7"/>
    </row>
    <row r="583" spans="1:1" s="1071" customFormat="1">
      <c r="A583" s="7"/>
    </row>
    <row r="584" spans="1:1" s="1071" customFormat="1">
      <c r="A584" s="7"/>
    </row>
    <row r="585" spans="1:1" s="1071" customFormat="1">
      <c r="A585" s="7"/>
    </row>
    <row r="586" spans="1:1" s="1071" customFormat="1">
      <c r="A586" s="7"/>
    </row>
    <row r="587" spans="1:1" s="1071" customFormat="1">
      <c r="A587" s="7"/>
    </row>
    <row r="588" spans="1:1" s="1071" customFormat="1">
      <c r="A588" s="7"/>
    </row>
    <row r="589" spans="1:1" s="1071" customFormat="1">
      <c r="A589" s="7"/>
    </row>
    <row r="590" spans="1:1" s="1071" customFormat="1">
      <c r="A590" s="7"/>
    </row>
    <row r="591" spans="1:1" s="1071" customFormat="1">
      <c r="A591" s="7"/>
    </row>
    <row r="592" spans="1:1" s="1071" customFormat="1">
      <c r="A592" s="7"/>
    </row>
    <row r="593" spans="1:1" s="1071" customFormat="1">
      <c r="A593" s="7"/>
    </row>
    <row r="594" spans="1:1" s="1071" customFormat="1">
      <c r="A594" s="7"/>
    </row>
    <row r="595" spans="1:1" s="1071" customFormat="1">
      <c r="A595" s="7"/>
    </row>
    <row r="596" spans="1:1" s="1071" customFormat="1">
      <c r="A596" s="7"/>
    </row>
    <row r="597" spans="1:1" s="1071" customFormat="1">
      <c r="A597" s="7"/>
    </row>
    <row r="598" spans="1:1" s="1071" customFormat="1">
      <c r="A598" s="7"/>
    </row>
    <row r="599" spans="1:1" s="1071" customFormat="1">
      <c r="A599" s="7"/>
    </row>
    <row r="600" spans="1:1" s="1071" customFormat="1">
      <c r="A600" s="7"/>
    </row>
    <row r="601" spans="1:1" s="1071" customFormat="1">
      <c r="A601" s="7"/>
    </row>
    <row r="602" spans="1:1" s="1071" customFormat="1">
      <c r="A602" s="7"/>
    </row>
    <row r="603" spans="1:1" s="1071" customFormat="1">
      <c r="A603" s="7"/>
    </row>
    <row r="604" spans="1:1" s="1071" customFormat="1">
      <c r="A604" s="7"/>
    </row>
    <row r="605" spans="1:1" s="1071" customFormat="1">
      <c r="A605" s="7"/>
    </row>
    <row r="606" spans="1:1" s="1071" customFormat="1">
      <c r="A606" s="7"/>
    </row>
    <row r="607" spans="1:1" s="1071" customFormat="1">
      <c r="A607" s="7"/>
    </row>
    <row r="608" spans="1:1" s="1071" customFormat="1">
      <c r="A608" s="7"/>
    </row>
    <row r="609" spans="1:1" s="1071" customFormat="1">
      <c r="A609" s="7"/>
    </row>
    <row r="610" spans="1:1" s="1071" customFormat="1">
      <c r="A610" s="7"/>
    </row>
    <row r="611" spans="1:1" s="1071" customFormat="1">
      <c r="A611" s="7"/>
    </row>
    <row r="612" spans="1:1" s="1071" customFormat="1">
      <c r="A612" s="7"/>
    </row>
    <row r="613" spans="1:1" s="1071" customFormat="1">
      <c r="A613" s="7"/>
    </row>
    <row r="614" spans="1:1" s="1071" customFormat="1">
      <c r="A614" s="7"/>
    </row>
    <row r="615" spans="1:1" s="1071" customFormat="1">
      <c r="A615" s="7"/>
    </row>
    <row r="616" spans="1:1" s="1071" customFormat="1">
      <c r="A616" s="7"/>
    </row>
    <row r="617" spans="1:1" s="1071" customFormat="1">
      <c r="A617" s="7"/>
    </row>
    <row r="618" spans="1:1" s="1071" customFormat="1">
      <c r="A618" s="7"/>
    </row>
    <row r="619" spans="1:1" s="1071" customFormat="1">
      <c r="A619" s="7"/>
    </row>
    <row r="620" spans="1:1" s="1071" customFormat="1">
      <c r="A620" s="7"/>
    </row>
    <row r="621" spans="1:1" s="1071" customFormat="1">
      <c r="A621" s="7"/>
    </row>
    <row r="622" spans="1:1" s="1071" customFormat="1">
      <c r="A622" s="7"/>
    </row>
    <row r="623" spans="1:1" s="1071" customFormat="1">
      <c r="A623" s="7"/>
    </row>
    <row r="624" spans="1:1" s="1071" customFormat="1">
      <c r="A624" s="7"/>
    </row>
    <row r="625" spans="1:1" s="1071" customFormat="1">
      <c r="A625" s="7"/>
    </row>
    <row r="626" spans="1:1" s="1071" customFormat="1">
      <c r="A626" s="7"/>
    </row>
    <row r="627" spans="1:1" s="1071" customFormat="1">
      <c r="A627" s="7"/>
    </row>
    <row r="628" spans="1:1" s="1071" customFormat="1">
      <c r="A628" s="7"/>
    </row>
    <row r="629" spans="1:1" s="1071" customFormat="1">
      <c r="A629" s="7"/>
    </row>
    <row r="630" spans="1:1" s="1071" customFormat="1">
      <c r="A630" s="7"/>
    </row>
    <row r="631" spans="1:1" s="1071" customFormat="1">
      <c r="A631" s="7"/>
    </row>
    <row r="632" spans="1:1" s="1071" customFormat="1">
      <c r="A632" s="7"/>
    </row>
    <row r="633" spans="1:1" s="1071" customFormat="1">
      <c r="A633" s="7"/>
    </row>
    <row r="634" spans="1:1" s="1071" customFormat="1">
      <c r="A634" s="7"/>
    </row>
    <row r="635" spans="1:1" s="1071" customFormat="1">
      <c r="A635" s="7"/>
    </row>
    <row r="636" spans="1:1" s="1071" customFormat="1">
      <c r="A636" s="7"/>
    </row>
    <row r="637" spans="1:1" s="1071" customFormat="1">
      <c r="A637" s="7"/>
    </row>
    <row r="638" spans="1:1" s="1071" customFormat="1">
      <c r="A638" s="7"/>
    </row>
    <row r="639" spans="1:1" s="1071" customFormat="1">
      <c r="A639" s="7"/>
    </row>
    <row r="640" spans="1:1" s="1071" customFormat="1">
      <c r="A640" s="7"/>
    </row>
    <row r="641" spans="1:1" s="1071" customFormat="1">
      <c r="A641" s="7"/>
    </row>
    <row r="642" spans="1:1" s="1071" customFormat="1">
      <c r="A642" s="7"/>
    </row>
    <row r="643" spans="1:1" s="1071" customFormat="1">
      <c r="A643" s="7"/>
    </row>
    <row r="644" spans="1:1" s="1071" customFormat="1">
      <c r="A644" s="7"/>
    </row>
    <row r="645" spans="1:1" s="1071" customFormat="1">
      <c r="A645" s="7"/>
    </row>
    <row r="646" spans="1:1" s="1071" customFormat="1">
      <c r="A646" s="7"/>
    </row>
    <row r="647" spans="1:1" s="1071" customFormat="1">
      <c r="A647" s="7"/>
    </row>
    <row r="648" spans="1:1" s="1071" customFormat="1">
      <c r="A648" s="7"/>
    </row>
    <row r="649" spans="1:1" s="1071" customFormat="1">
      <c r="A649" s="7"/>
    </row>
    <row r="650" spans="1:1" s="1071" customFormat="1">
      <c r="A650" s="7"/>
    </row>
    <row r="651" spans="1:1" s="1071" customFormat="1">
      <c r="A651" s="7"/>
    </row>
    <row r="652" spans="1:1" s="1071" customFormat="1">
      <c r="A652" s="7"/>
    </row>
    <row r="653" spans="1:1" s="1071" customFormat="1">
      <c r="A653" s="7"/>
    </row>
    <row r="654" spans="1:1" s="1071" customFormat="1">
      <c r="A654" s="7"/>
    </row>
    <row r="655" spans="1:1" s="1071" customFormat="1">
      <c r="A655" s="7"/>
    </row>
    <row r="656" spans="1:1" s="1071" customFormat="1">
      <c r="A656" s="7"/>
    </row>
    <row r="657" spans="1:1" s="1071" customFormat="1">
      <c r="A657" s="7"/>
    </row>
    <row r="658" spans="1:1" s="1071" customFormat="1">
      <c r="A658" s="7"/>
    </row>
    <row r="659" spans="1:1" s="1071" customFormat="1">
      <c r="A659" s="7"/>
    </row>
    <row r="660" spans="1:1" s="1071" customFormat="1">
      <c r="A660" s="7"/>
    </row>
    <row r="661" spans="1:1" s="1071" customFormat="1">
      <c r="A661" s="7"/>
    </row>
    <row r="662" spans="1:1" s="1071" customFormat="1">
      <c r="A662" s="7"/>
    </row>
    <row r="663" spans="1:1" s="1071" customFormat="1">
      <c r="A663" s="7"/>
    </row>
    <row r="664" spans="1:1" s="1071" customFormat="1">
      <c r="A664" s="7"/>
    </row>
    <row r="665" spans="1:1" s="1071" customFormat="1">
      <c r="A665" s="7"/>
    </row>
    <row r="666" spans="1:1" s="1071" customFormat="1">
      <c r="A666" s="7"/>
    </row>
    <row r="667" spans="1:1" s="1071" customFormat="1">
      <c r="A667" s="7"/>
    </row>
    <row r="668" spans="1:1" s="1071" customFormat="1">
      <c r="A668" s="7"/>
    </row>
    <row r="669" spans="1:1" s="1071" customFormat="1">
      <c r="A669" s="7"/>
    </row>
    <row r="670" spans="1:1" s="1071" customFormat="1">
      <c r="A670" s="7"/>
    </row>
    <row r="671" spans="1:1" s="1071" customFormat="1">
      <c r="A671" s="7"/>
    </row>
    <row r="672" spans="1:1" s="1071" customFormat="1">
      <c r="A672" s="7"/>
    </row>
    <row r="673" spans="1:1" s="1071" customFormat="1">
      <c r="A673" s="7"/>
    </row>
    <row r="674" spans="1:1" s="1071" customFormat="1">
      <c r="A674" s="7"/>
    </row>
    <row r="675" spans="1:1" s="1071" customFormat="1">
      <c r="A675" s="7"/>
    </row>
    <row r="676" spans="1:1" s="1071" customFormat="1">
      <c r="A676" s="7"/>
    </row>
    <row r="677" spans="1:1" s="1071" customFormat="1">
      <c r="A677" s="7"/>
    </row>
    <row r="678" spans="1:1" s="1071" customFormat="1">
      <c r="A678" s="7"/>
    </row>
    <row r="679" spans="1:1" s="1071" customFormat="1">
      <c r="A679" s="7"/>
    </row>
    <row r="680" spans="1:1" s="1071" customFormat="1">
      <c r="A680" s="7"/>
    </row>
    <row r="681" spans="1:1" s="1071" customFormat="1">
      <c r="A681" s="7"/>
    </row>
    <row r="682" spans="1:1" s="1071" customFormat="1">
      <c r="A682" s="7"/>
    </row>
    <row r="683" spans="1:1" s="1071" customFormat="1">
      <c r="A683" s="7"/>
    </row>
    <row r="684" spans="1:1" s="1071" customFormat="1">
      <c r="A684" s="7"/>
    </row>
    <row r="685" spans="1:1" s="1071" customFormat="1">
      <c r="A685" s="7"/>
    </row>
    <row r="686" spans="1:1" s="1071" customFormat="1">
      <c r="A686" s="7"/>
    </row>
    <row r="687" spans="1:1" s="1071" customFormat="1">
      <c r="A687" s="7"/>
    </row>
    <row r="688" spans="1:1" s="1071" customFormat="1">
      <c r="A688" s="7"/>
    </row>
    <row r="689" spans="1:1" s="1071" customFormat="1">
      <c r="A689" s="7"/>
    </row>
    <row r="690" spans="1:1" s="1071" customFormat="1">
      <c r="A690" s="7"/>
    </row>
    <row r="691" spans="1:1" s="1071" customFormat="1">
      <c r="A691" s="7"/>
    </row>
    <row r="692" spans="1:1" s="1071" customFormat="1">
      <c r="A692" s="7"/>
    </row>
    <row r="693" spans="1:1" s="1071" customFormat="1">
      <c r="A693" s="7"/>
    </row>
    <row r="694" spans="1:1" s="1071" customFormat="1">
      <c r="A694" s="7"/>
    </row>
    <row r="695" spans="1:1" s="1071" customFormat="1">
      <c r="A695" s="7"/>
    </row>
    <row r="696" spans="1:1" s="1071" customFormat="1">
      <c r="A696" s="7"/>
    </row>
    <row r="697" spans="1:1" s="1071" customFormat="1">
      <c r="A697" s="7"/>
    </row>
    <row r="698" spans="1:1" s="1071" customFormat="1">
      <c r="A698" s="7"/>
    </row>
    <row r="699" spans="1:1" s="1071" customFormat="1">
      <c r="A699" s="7"/>
    </row>
    <row r="700" spans="1:1" s="1071" customFormat="1">
      <c r="A700" s="7"/>
    </row>
    <row r="701" spans="1:1" s="1071" customFormat="1">
      <c r="A701" s="7"/>
    </row>
    <row r="702" spans="1:1" s="1071" customFormat="1">
      <c r="A702" s="7"/>
    </row>
    <row r="703" spans="1:1" s="1071" customFormat="1">
      <c r="A703" s="7"/>
    </row>
    <row r="704" spans="1:1" s="1071" customFormat="1">
      <c r="A704" s="7"/>
    </row>
    <row r="705" spans="1:1" s="1071" customFormat="1">
      <c r="A705" s="7"/>
    </row>
    <row r="706" spans="1:1" s="1071" customFormat="1">
      <c r="A706" s="7"/>
    </row>
    <row r="707" spans="1:1" s="1071" customFormat="1">
      <c r="A707" s="7"/>
    </row>
    <row r="708" spans="1:1" s="1071" customFormat="1">
      <c r="A708" s="7"/>
    </row>
    <row r="709" spans="1:1" s="1071" customFormat="1">
      <c r="A709" s="7"/>
    </row>
    <row r="710" spans="1:1" s="1071" customFormat="1">
      <c r="A710" s="7"/>
    </row>
    <row r="711" spans="1:1" s="1071" customFormat="1">
      <c r="A711" s="7"/>
    </row>
    <row r="712" spans="1:1" s="1071" customFormat="1">
      <c r="A712" s="7"/>
    </row>
    <row r="713" spans="1:1" s="1071" customFormat="1">
      <c r="A713" s="7"/>
    </row>
    <row r="714" spans="1:1" s="1071" customFormat="1">
      <c r="A714" s="7"/>
    </row>
    <row r="715" spans="1:1" s="1071" customFormat="1">
      <c r="A715" s="7"/>
    </row>
    <row r="716" spans="1:1" s="1071" customFormat="1">
      <c r="A716" s="7"/>
    </row>
    <row r="717" spans="1:1" s="1071" customFormat="1">
      <c r="A717" s="7"/>
    </row>
    <row r="718" spans="1:1" s="1071" customFormat="1">
      <c r="A718" s="7"/>
    </row>
    <row r="719" spans="1:1" s="1071" customFormat="1">
      <c r="A719" s="7"/>
    </row>
    <row r="720" spans="1:1" s="1071" customFormat="1">
      <c r="A720" s="7"/>
    </row>
    <row r="721" spans="1:1" s="1071" customFormat="1">
      <c r="A721" s="7"/>
    </row>
    <row r="722" spans="1:1" s="1071" customFormat="1">
      <c r="A722" s="7"/>
    </row>
    <row r="723" spans="1:1" s="1071" customFormat="1">
      <c r="A723" s="7"/>
    </row>
    <row r="724" spans="1:1" s="1071" customFormat="1">
      <c r="A724" s="7"/>
    </row>
    <row r="725" spans="1:1" s="1071" customFormat="1">
      <c r="A725" s="7"/>
    </row>
    <row r="726" spans="1:1" s="1071" customFormat="1">
      <c r="A726" s="7"/>
    </row>
    <row r="727" spans="1:1" s="1071" customFormat="1">
      <c r="A727" s="7"/>
    </row>
    <row r="728" spans="1:1" s="1071" customFormat="1">
      <c r="A728" s="7"/>
    </row>
    <row r="729" spans="1:1" s="1071" customFormat="1">
      <c r="A729" s="7"/>
    </row>
    <row r="730" spans="1:1" s="1071" customFormat="1">
      <c r="A730" s="7"/>
    </row>
    <row r="731" spans="1:1" s="1071" customFormat="1">
      <c r="A731" s="7"/>
    </row>
    <row r="732" spans="1:1" s="1071" customFormat="1">
      <c r="A732" s="7"/>
    </row>
    <row r="733" spans="1:1" s="1071" customFormat="1">
      <c r="A733" s="7"/>
    </row>
    <row r="734" spans="1:1" s="1071" customFormat="1">
      <c r="A734" s="7"/>
    </row>
    <row r="735" spans="1:1" s="1071" customFormat="1">
      <c r="A735" s="7"/>
    </row>
    <row r="736" spans="1:1" s="1071" customFormat="1">
      <c r="A736" s="7"/>
    </row>
    <row r="737" spans="1:1" s="1071" customFormat="1">
      <c r="A737" s="7"/>
    </row>
    <row r="738" spans="1:1" s="1071" customFormat="1">
      <c r="A738" s="7"/>
    </row>
    <row r="739" spans="1:1" s="1071" customFormat="1">
      <c r="A739" s="7"/>
    </row>
    <row r="740" spans="1:1" s="1071" customFormat="1">
      <c r="A740" s="7"/>
    </row>
    <row r="741" spans="1:1" s="1071" customFormat="1">
      <c r="A741" s="7"/>
    </row>
    <row r="742" spans="1:1" s="1071" customFormat="1">
      <c r="A742" s="7"/>
    </row>
    <row r="743" spans="1:1" s="1071" customFormat="1">
      <c r="A743" s="7"/>
    </row>
    <row r="744" spans="1:1" s="1071" customFormat="1">
      <c r="A744" s="7"/>
    </row>
    <row r="745" spans="1:1" s="1071" customFormat="1">
      <c r="A745" s="7"/>
    </row>
    <row r="746" spans="1:1" s="1071" customFormat="1">
      <c r="A746" s="7"/>
    </row>
    <row r="747" spans="1:1" s="1071" customFormat="1">
      <c r="A747" s="7"/>
    </row>
    <row r="748" spans="1:1" s="1071" customFormat="1">
      <c r="A748" s="7"/>
    </row>
    <row r="749" spans="1:1" s="1071" customFormat="1">
      <c r="A749" s="7"/>
    </row>
    <row r="750" spans="1:1" s="1071" customFormat="1">
      <c r="A750" s="7"/>
    </row>
    <row r="751" spans="1:1" s="1071" customFormat="1">
      <c r="A751" s="7"/>
    </row>
    <row r="752" spans="1:1" s="1071" customFormat="1">
      <c r="A752" s="7"/>
    </row>
    <row r="753" spans="1:1" s="1071" customFormat="1">
      <c r="A753" s="7"/>
    </row>
    <row r="754" spans="1:1" s="1071" customFormat="1">
      <c r="A754" s="7"/>
    </row>
    <row r="755" spans="1:1" s="1071" customFormat="1">
      <c r="A755" s="7"/>
    </row>
    <row r="756" spans="1:1" s="1071" customFormat="1">
      <c r="A756" s="7"/>
    </row>
    <row r="757" spans="1:1" s="1071" customFormat="1">
      <c r="A757" s="7"/>
    </row>
    <row r="758" spans="1:1" s="1071" customFormat="1">
      <c r="A758" s="7"/>
    </row>
    <row r="759" spans="1:1" s="1071" customFormat="1">
      <c r="A759" s="7"/>
    </row>
    <row r="760" spans="1:1" s="1071" customFormat="1">
      <c r="A760" s="7"/>
    </row>
    <row r="761" spans="1:1" s="1071" customFormat="1">
      <c r="A761" s="7"/>
    </row>
    <row r="762" spans="1:1" s="1071" customFormat="1">
      <c r="A762" s="7"/>
    </row>
    <row r="763" spans="1:1" s="1071" customFormat="1">
      <c r="A763" s="7"/>
    </row>
    <row r="764" spans="1:1" s="1071" customFormat="1">
      <c r="A764" s="7"/>
    </row>
    <row r="765" spans="1:1" s="1071" customFormat="1">
      <c r="A765" s="7"/>
    </row>
    <row r="766" spans="1:1" s="1071" customFormat="1">
      <c r="A766" s="7"/>
    </row>
    <row r="767" spans="1:1" s="1071" customFormat="1">
      <c r="A767" s="7"/>
    </row>
    <row r="768" spans="1:1" s="1071" customFormat="1">
      <c r="A768" s="7"/>
    </row>
    <row r="769" spans="1:1" s="1071" customFormat="1">
      <c r="A769" s="7"/>
    </row>
    <row r="770" spans="1:1" s="1071" customFormat="1">
      <c r="A770" s="7"/>
    </row>
    <row r="771" spans="1:1" s="1071" customFormat="1">
      <c r="A771" s="7"/>
    </row>
    <row r="772" spans="1:1" s="1071" customFormat="1">
      <c r="A772" s="7"/>
    </row>
    <row r="773" spans="1:1" s="1071" customFormat="1">
      <c r="A773" s="7"/>
    </row>
    <row r="774" spans="1:1" s="1071" customFormat="1">
      <c r="A774" s="7"/>
    </row>
    <row r="775" spans="1:1" s="1071" customFormat="1">
      <c r="A775" s="7"/>
    </row>
    <row r="776" spans="1:1" s="1071" customFormat="1">
      <c r="A776" s="7"/>
    </row>
    <row r="777" spans="1:1" s="1071" customFormat="1">
      <c r="A777" s="7"/>
    </row>
    <row r="778" spans="1:1" s="1071" customFormat="1">
      <c r="A778" s="7"/>
    </row>
    <row r="779" spans="1:1" s="1071" customFormat="1">
      <c r="A779" s="7"/>
    </row>
    <row r="780" spans="1:1" s="1071" customFormat="1">
      <c r="A780" s="7"/>
    </row>
    <row r="781" spans="1:1" s="1071" customFormat="1">
      <c r="A781" s="7"/>
    </row>
    <row r="782" spans="1:1" s="1071" customFormat="1">
      <c r="A782" s="7"/>
    </row>
    <row r="783" spans="1:1" s="1071" customFormat="1">
      <c r="A783" s="7"/>
    </row>
    <row r="784" spans="1:1" s="1071" customFormat="1">
      <c r="A784" s="7"/>
    </row>
    <row r="785" spans="1:1" s="1071" customFormat="1">
      <c r="A785" s="7"/>
    </row>
    <row r="786" spans="1:1" s="1071" customFormat="1">
      <c r="A786" s="7"/>
    </row>
    <row r="787" spans="1:1" s="1071" customFormat="1">
      <c r="A787" s="7"/>
    </row>
    <row r="788" spans="1:1" s="1071" customFormat="1">
      <c r="A788" s="7"/>
    </row>
    <row r="789" spans="1:1" s="1071" customFormat="1">
      <c r="A789" s="7"/>
    </row>
    <row r="790" spans="1:1" s="1071" customFormat="1">
      <c r="A790" s="7"/>
    </row>
    <row r="791" spans="1:1" s="1071" customFormat="1">
      <c r="A791" s="7"/>
    </row>
    <row r="792" spans="1:1" s="1071" customFormat="1">
      <c r="A792" s="7"/>
    </row>
    <row r="793" spans="1:1" s="1071" customFormat="1">
      <c r="A793" s="7"/>
    </row>
    <row r="794" spans="1:1" s="1071" customFormat="1">
      <c r="A794" s="7"/>
    </row>
    <row r="795" spans="1:1" s="1071" customFormat="1">
      <c r="A795" s="7"/>
    </row>
    <row r="796" spans="1:1" s="1071" customFormat="1">
      <c r="A796" s="7"/>
    </row>
    <row r="797" spans="1:1" s="1071" customFormat="1">
      <c r="A797" s="7"/>
    </row>
    <row r="798" spans="1:1" s="1071" customFormat="1">
      <c r="A798" s="7"/>
    </row>
    <row r="799" spans="1:1" s="1071" customFormat="1">
      <c r="A799" s="7"/>
    </row>
    <row r="800" spans="1:1" s="1071" customFormat="1">
      <c r="A800" s="7"/>
    </row>
    <row r="801" spans="1:1" s="1071" customFormat="1">
      <c r="A801" s="7"/>
    </row>
    <row r="802" spans="1:1" s="1071" customFormat="1">
      <c r="A802" s="7"/>
    </row>
    <row r="803" spans="1:1" s="1071" customFormat="1">
      <c r="A803" s="7"/>
    </row>
    <row r="804" spans="1:1" s="1071" customFormat="1">
      <c r="A804" s="7"/>
    </row>
    <row r="805" spans="1:1" s="1071" customFormat="1">
      <c r="A805" s="7"/>
    </row>
    <row r="806" spans="1:1" s="1071" customFormat="1">
      <c r="A806" s="7"/>
    </row>
    <row r="807" spans="1:1" s="1071" customFormat="1">
      <c r="A807" s="7"/>
    </row>
    <row r="808" spans="1:1" s="1071" customFormat="1">
      <c r="A808" s="7"/>
    </row>
    <row r="809" spans="1:1" s="1071" customFormat="1">
      <c r="A809" s="7"/>
    </row>
    <row r="810" spans="1:1" s="1071" customFormat="1">
      <c r="A810" s="7"/>
    </row>
    <row r="811" spans="1:1" s="1071" customFormat="1">
      <c r="A811" s="7"/>
    </row>
    <row r="812" spans="1:1" s="1071" customFormat="1">
      <c r="A812" s="7"/>
    </row>
    <row r="813" spans="1:1" s="1071" customFormat="1">
      <c r="A813" s="7"/>
    </row>
    <row r="814" spans="1:1" s="1071" customFormat="1">
      <c r="A814" s="7"/>
    </row>
    <row r="815" spans="1:1" s="1071" customFormat="1">
      <c r="A815" s="7"/>
    </row>
    <row r="816" spans="1:1" s="1071" customFormat="1">
      <c r="A816" s="7"/>
    </row>
    <row r="817" spans="1:1" s="1071" customFormat="1">
      <c r="A817" s="7"/>
    </row>
    <row r="818" spans="1:1" s="1071" customFormat="1">
      <c r="A818" s="7"/>
    </row>
    <row r="819" spans="1:1" s="1071" customFormat="1">
      <c r="A819" s="7"/>
    </row>
    <row r="820" spans="1:1" s="1071" customFormat="1">
      <c r="A820" s="7"/>
    </row>
    <row r="821" spans="1:1" s="1071" customFormat="1">
      <c r="A821" s="7"/>
    </row>
    <row r="822" spans="1:1" s="1071" customFormat="1">
      <c r="A822" s="7"/>
    </row>
    <row r="823" spans="1:1" s="1071" customFormat="1">
      <c r="A823" s="7"/>
    </row>
    <row r="824" spans="1:1" s="1071" customFormat="1">
      <c r="A824" s="7"/>
    </row>
    <row r="825" spans="1:1" s="1071" customFormat="1">
      <c r="A825" s="7"/>
    </row>
    <row r="826" spans="1:1" s="1071" customFormat="1">
      <c r="A826" s="7"/>
    </row>
    <row r="827" spans="1:1" s="1071" customFormat="1">
      <c r="A827" s="7"/>
    </row>
    <row r="828" spans="1:1" s="1071" customFormat="1">
      <c r="A828" s="7"/>
    </row>
    <row r="829" spans="1:1" s="1071" customFormat="1">
      <c r="A829" s="7"/>
    </row>
    <row r="830" spans="1:1" s="1071" customFormat="1">
      <c r="A830" s="7"/>
    </row>
    <row r="831" spans="1:1" s="1071" customFormat="1">
      <c r="A831" s="7"/>
    </row>
    <row r="832" spans="1:1" s="1071" customFormat="1">
      <c r="A832" s="7"/>
    </row>
    <row r="833" spans="1:1" s="1071" customFormat="1">
      <c r="A833" s="7"/>
    </row>
    <row r="834" spans="1:1" s="1071" customFormat="1">
      <c r="A834" s="7"/>
    </row>
    <row r="835" spans="1:1" s="1071" customFormat="1">
      <c r="A835" s="7"/>
    </row>
    <row r="836" spans="1:1" s="1071" customFormat="1">
      <c r="A836" s="7"/>
    </row>
    <row r="837" spans="1:1" s="1071" customFormat="1">
      <c r="A837" s="7"/>
    </row>
    <row r="838" spans="1:1" s="1071" customFormat="1">
      <c r="A838" s="7"/>
    </row>
    <row r="839" spans="1:1" s="1071" customFormat="1">
      <c r="A839" s="7"/>
    </row>
    <row r="840" spans="1:1" s="1071" customFormat="1">
      <c r="A840" s="7"/>
    </row>
    <row r="841" spans="1:1" s="1071" customFormat="1">
      <c r="A841" s="7"/>
    </row>
    <row r="842" spans="1:1" s="1071" customFormat="1">
      <c r="A842" s="7"/>
    </row>
    <row r="843" spans="1:1" s="1071" customFormat="1">
      <c r="A843" s="7"/>
    </row>
    <row r="844" spans="1:1" s="1071" customFormat="1">
      <c r="A844" s="7"/>
    </row>
    <row r="845" spans="1:1" s="1071" customFormat="1">
      <c r="A845" s="7"/>
    </row>
    <row r="846" spans="1:1" s="1071" customFormat="1">
      <c r="A846" s="7"/>
    </row>
    <row r="847" spans="1:1" s="1071" customFormat="1">
      <c r="A847" s="7"/>
    </row>
    <row r="848" spans="1:1" s="1071" customFormat="1">
      <c r="A848" s="7"/>
    </row>
    <row r="849" spans="1:1" s="1071" customFormat="1">
      <c r="A849" s="7"/>
    </row>
    <row r="850" spans="1:1" s="1071" customFormat="1">
      <c r="A850" s="7"/>
    </row>
    <row r="851" spans="1:1" s="1071" customFormat="1">
      <c r="A851" s="7"/>
    </row>
    <row r="852" spans="1:1" s="1071" customFormat="1">
      <c r="A852" s="7"/>
    </row>
    <row r="853" spans="1:1" s="1071" customFormat="1">
      <c r="A853" s="7"/>
    </row>
    <row r="854" spans="1:1" s="1071" customFormat="1">
      <c r="A854" s="7"/>
    </row>
    <row r="855" spans="1:1" s="1071" customFormat="1">
      <c r="A855" s="7"/>
    </row>
    <row r="856" spans="1:1" s="1071" customFormat="1">
      <c r="A856" s="7"/>
    </row>
    <row r="857" spans="1:1" s="1071" customFormat="1">
      <c r="A857" s="7"/>
    </row>
    <row r="858" spans="1:1" s="1071" customFormat="1">
      <c r="A858" s="7"/>
    </row>
    <row r="859" spans="1:1" s="1071" customFormat="1">
      <c r="A859" s="7"/>
    </row>
    <row r="860" spans="1:1" s="1071" customFormat="1">
      <c r="A860" s="7"/>
    </row>
    <row r="861" spans="1:1" s="1071" customFormat="1">
      <c r="A861" s="7"/>
    </row>
    <row r="862" spans="1:1" s="1071" customFormat="1">
      <c r="A862" s="7"/>
    </row>
    <row r="863" spans="1:1" s="1071" customFormat="1">
      <c r="A863" s="7"/>
    </row>
    <row r="864" spans="1:1" s="1071" customFormat="1">
      <c r="A864" s="7"/>
    </row>
    <row r="865" spans="1:1" s="1071" customFormat="1">
      <c r="A865" s="7"/>
    </row>
    <row r="866" spans="1:1" s="1071" customFormat="1">
      <c r="A866" s="7"/>
    </row>
    <row r="867" spans="1:1" s="1071" customFormat="1">
      <c r="A867" s="7"/>
    </row>
    <row r="868" spans="1:1" s="1071" customFormat="1">
      <c r="A868" s="7"/>
    </row>
    <row r="869" spans="1:1" s="1071" customFormat="1">
      <c r="A869" s="7"/>
    </row>
    <row r="870" spans="1:1" s="1071" customFormat="1">
      <c r="A870" s="7"/>
    </row>
    <row r="871" spans="1:1" s="1071" customFormat="1">
      <c r="A871" s="7"/>
    </row>
    <row r="872" spans="1:1" s="1071" customFormat="1">
      <c r="A872" s="7"/>
    </row>
    <row r="873" spans="1:1" s="1071" customFormat="1">
      <c r="A873" s="7"/>
    </row>
    <row r="874" spans="1:1" s="1071" customFormat="1">
      <c r="A874" s="7"/>
    </row>
    <row r="875" spans="1:1" s="1071" customFormat="1">
      <c r="A875" s="7"/>
    </row>
    <row r="876" spans="1:1" s="1071" customFormat="1">
      <c r="A876" s="7"/>
    </row>
    <row r="877" spans="1:1" s="1071" customFormat="1">
      <c r="A877" s="7"/>
    </row>
    <row r="878" spans="1:1" s="1071" customFormat="1">
      <c r="A878" s="7"/>
    </row>
    <row r="879" spans="1:1" s="1071" customFormat="1">
      <c r="A879" s="7"/>
    </row>
    <row r="880" spans="1:1" s="1071" customFormat="1">
      <c r="A880" s="7"/>
    </row>
    <row r="881" spans="1:1" s="1071" customFormat="1">
      <c r="A881" s="7"/>
    </row>
    <row r="882" spans="1:1" s="1071" customFormat="1">
      <c r="A882" s="7"/>
    </row>
    <row r="883" spans="1:1" s="1071" customFormat="1">
      <c r="A883" s="7"/>
    </row>
    <row r="884" spans="1:1" s="1071" customFormat="1">
      <c r="A884" s="7"/>
    </row>
    <row r="885" spans="1:1" s="1071" customFormat="1">
      <c r="A885" s="7"/>
    </row>
    <row r="886" spans="1:1" s="1071" customFormat="1">
      <c r="A886" s="7"/>
    </row>
    <row r="887" spans="1:1" s="1071" customFormat="1">
      <c r="A887" s="7"/>
    </row>
    <row r="888" spans="1:1" s="1071" customFormat="1">
      <c r="A888" s="7"/>
    </row>
    <row r="889" spans="1:1" s="1071" customFormat="1">
      <c r="A889" s="7"/>
    </row>
    <row r="890" spans="1:1" s="1071" customFormat="1">
      <c r="A890" s="7"/>
    </row>
    <row r="891" spans="1:1" s="1071" customFormat="1">
      <c r="A891" s="7"/>
    </row>
    <row r="892" spans="1:1" s="1071" customFormat="1">
      <c r="A892" s="7"/>
    </row>
    <row r="893" spans="1:1" s="1071" customFormat="1">
      <c r="A893" s="7"/>
    </row>
    <row r="894" spans="1:1" s="1071" customFormat="1">
      <c r="A894" s="7"/>
    </row>
    <row r="895" spans="1:1" s="1071" customFormat="1">
      <c r="A895" s="7"/>
    </row>
    <row r="896" spans="1:1" s="1071" customFormat="1">
      <c r="A896" s="7"/>
    </row>
    <row r="897" spans="1:1" s="1071" customFormat="1">
      <c r="A897" s="7"/>
    </row>
    <row r="898" spans="1:1" s="1071" customFormat="1">
      <c r="A898" s="7"/>
    </row>
    <row r="899" spans="1:1" s="1071" customFormat="1">
      <c r="A899" s="7"/>
    </row>
    <row r="900" spans="1:1" s="1071" customFormat="1">
      <c r="A900" s="7"/>
    </row>
    <row r="901" spans="1:1" s="1071" customFormat="1">
      <c r="A901" s="7"/>
    </row>
    <row r="902" spans="1:1" s="1071" customFormat="1">
      <c r="A902" s="7"/>
    </row>
    <row r="903" spans="1:1" s="1071" customFormat="1">
      <c r="A903" s="7"/>
    </row>
    <row r="904" spans="1:1" s="1071" customFormat="1">
      <c r="A904" s="7"/>
    </row>
    <row r="905" spans="1:1" s="1071" customFormat="1">
      <c r="A905" s="7"/>
    </row>
    <row r="906" spans="1:1" s="1071" customFormat="1">
      <c r="A906" s="7"/>
    </row>
    <row r="907" spans="1:1" s="1071" customFormat="1">
      <c r="A907" s="7"/>
    </row>
    <row r="908" spans="1:1" s="1071" customFormat="1">
      <c r="A908" s="7"/>
    </row>
    <row r="909" spans="1:1" s="1071" customFormat="1">
      <c r="A909" s="7"/>
    </row>
    <row r="910" spans="1:1" s="1071" customFormat="1">
      <c r="A910" s="7"/>
    </row>
    <row r="911" spans="1:1" s="1071" customFormat="1">
      <c r="A911" s="7"/>
    </row>
    <row r="912" spans="1:1" s="1071" customFormat="1">
      <c r="A912" s="7"/>
    </row>
    <row r="913" spans="1:1" s="1071" customFormat="1">
      <c r="A913" s="7"/>
    </row>
    <row r="914" spans="1:1" s="1071" customFormat="1">
      <c r="A914" s="7"/>
    </row>
    <row r="915" spans="1:1" s="1071" customFormat="1">
      <c r="A915" s="7"/>
    </row>
    <row r="916" spans="1:1" s="1071" customFormat="1">
      <c r="A916" s="7"/>
    </row>
    <row r="917" spans="1:1" s="1071" customFormat="1">
      <c r="A917" s="7"/>
    </row>
    <row r="918" spans="1:1" s="1071" customFormat="1">
      <c r="A918" s="7"/>
    </row>
    <row r="919" spans="1:1" s="1071" customFormat="1">
      <c r="A919" s="7"/>
    </row>
    <row r="920" spans="1:1" s="1071" customFormat="1">
      <c r="A920" s="7"/>
    </row>
    <row r="921" spans="1:1" s="1071" customFormat="1">
      <c r="A921" s="7"/>
    </row>
    <row r="922" spans="1:1" s="1071" customFormat="1">
      <c r="A922" s="7"/>
    </row>
    <row r="923" spans="1:1" s="1071" customFormat="1">
      <c r="A923" s="7"/>
    </row>
    <row r="924" spans="1:1" s="1071" customFormat="1">
      <c r="A924" s="7"/>
    </row>
    <row r="925" spans="1:1" s="1071" customFormat="1">
      <c r="A925" s="7"/>
    </row>
    <row r="926" spans="1:1" s="1071" customFormat="1">
      <c r="A926" s="7"/>
    </row>
    <row r="927" spans="1:1" s="1071" customFormat="1">
      <c r="A927" s="7"/>
    </row>
    <row r="928" spans="1:1" s="1071" customFormat="1">
      <c r="A928" s="7"/>
    </row>
    <row r="929" spans="1:1" s="1071" customFormat="1">
      <c r="A929" s="7"/>
    </row>
    <row r="930" spans="1:1" s="1071" customFormat="1">
      <c r="A930" s="7"/>
    </row>
    <row r="931" spans="1:1" s="1071" customFormat="1">
      <c r="A931" s="7"/>
    </row>
    <row r="932" spans="1:1" s="1071" customFormat="1">
      <c r="A932" s="7"/>
    </row>
    <row r="933" spans="1:1" s="1071" customFormat="1">
      <c r="A933" s="7"/>
    </row>
    <row r="934" spans="1:1" s="1071" customFormat="1">
      <c r="A934" s="7"/>
    </row>
    <row r="935" spans="1:1" s="1071" customFormat="1">
      <c r="A935" s="7"/>
    </row>
    <row r="936" spans="1:1" s="1071" customFormat="1">
      <c r="A936" s="7"/>
    </row>
    <row r="937" spans="1:1" s="1071" customFormat="1">
      <c r="A937" s="7"/>
    </row>
    <row r="938" spans="1:1" s="1071" customFormat="1">
      <c r="A938" s="7"/>
    </row>
    <row r="939" spans="1:1" s="1071" customFormat="1">
      <c r="A939" s="7"/>
    </row>
    <row r="940" spans="1:1" s="1071" customFormat="1">
      <c r="A940" s="7"/>
    </row>
    <row r="941" spans="1:1" s="1071" customFormat="1">
      <c r="A941" s="7"/>
    </row>
    <row r="942" spans="1:1" s="1071" customFormat="1">
      <c r="A942" s="7"/>
    </row>
    <row r="943" spans="1:1" s="1071" customFormat="1">
      <c r="A943" s="7"/>
    </row>
    <row r="944" spans="1:1" s="1071" customFormat="1">
      <c r="A944" s="7"/>
    </row>
    <row r="945" spans="1:1" s="1071" customFormat="1">
      <c r="A945" s="7"/>
    </row>
    <row r="946" spans="1:1" s="1071" customFormat="1">
      <c r="A946" s="7"/>
    </row>
    <row r="947" spans="1:1" s="1071" customFormat="1">
      <c r="A947" s="7"/>
    </row>
    <row r="948" spans="1:1" s="1071" customFormat="1">
      <c r="A948" s="7"/>
    </row>
    <row r="949" spans="1:1" s="1071" customFormat="1">
      <c r="A949" s="7"/>
    </row>
    <row r="950" spans="1:1" s="1071" customFormat="1">
      <c r="A950" s="7"/>
    </row>
    <row r="951" spans="1:1" s="1071" customFormat="1">
      <c r="A951" s="7"/>
    </row>
    <row r="952" spans="1:1" s="1071" customFormat="1">
      <c r="A952" s="7"/>
    </row>
    <row r="953" spans="1:1" s="1071" customFormat="1">
      <c r="A953" s="7"/>
    </row>
    <row r="954" spans="1:1" s="1071" customFormat="1">
      <c r="A954" s="7"/>
    </row>
    <row r="955" spans="1:1" s="1071" customFormat="1">
      <c r="A955" s="7"/>
    </row>
    <row r="956" spans="1:1" s="1071" customFormat="1">
      <c r="A956" s="7"/>
    </row>
    <row r="957" spans="1:1" s="1071" customFormat="1">
      <c r="A957" s="7"/>
    </row>
    <row r="958" spans="1:1" s="1071" customFormat="1">
      <c r="A958" s="7"/>
    </row>
    <row r="959" spans="1:1" s="1071" customFormat="1">
      <c r="A959" s="7"/>
    </row>
    <row r="960" spans="1:1" s="1071" customFormat="1">
      <c r="A960" s="7"/>
    </row>
    <row r="961" spans="1:1" s="1071" customFormat="1">
      <c r="A961" s="7"/>
    </row>
    <row r="962" spans="1:1" s="1071" customFormat="1">
      <c r="A962" s="7"/>
    </row>
    <row r="963" spans="1:1" s="1071" customFormat="1">
      <c r="A963" s="7"/>
    </row>
    <row r="964" spans="1:1" s="1071" customFormat="1">
      <c r="A964" s="7"/>
    </row>
    <row r="965" spans="1:1" s="1071" customFormat="1">
      <c r="A965" s="7"/>
    </row>
    <row r="966" spans="1:1" s="1071" customFormat="1">
      <c r="A966" s="7"/>
    </row>
    <row r="967" spans="1:1" s="1071" customFormat="1">
      <c r="A967" s="7"/>
    </row>
    <row r="968" spans="1:1" s="1071" customFormat="1">
      <c r="A968" s="7"/>
    </row>
    <row r="969" spans="1:1" s="1071" customFormat="1">
      <c r="A969" s="7"/>
    </row>
    <row r="970" spans="1:1" s="1071" customFormat="1">
      <c r="A970" s="7"/>
    </row>
    <row r="971" spans="1:1" s="1071" customFormat="1">
      <c r="A971" s="7"/>
    </row>
    <row r="972" spans="1:1" s="1071" customFormat="1">
      <c r="A972" s="7"/>
    </row>
    <row r="973" spans="1:1" s="1071" customFormat="1">
      <c r="A973" s="7"/>
    </row>
    <row r="974" spans="1:1" s="1071" customFormat="1">
      <c r="A974" s="7"/>
    </row>
    <row r="975" spans="1:1" s="1071" customFormat="1">
      <c r="A975" s="7"/>
    </row>
    <row r="976" spans="1:1" s="1071" customFormat="1">
      <c r="A976" s="7"/>
    </row>
    <row r="977" spans="1:1" s="1071" customFormat="1">
      <c r="A977" s="7"/>
    </row>
    <row r="978" spans="1:1" s="1071" customFormat="1">
      <c r="A978" s="7"/>
    </row>
    <row r="979" spans="1:1" s="1071" customFormat="1">
      <c r="A979" s="7"/>
    </row>
    <row r="980" spans="1:1" s="1071" customFormat="1">
      <c r="A980" s="7"/>
    </row>
    <row r="981" spans="1:1" s="1071" customFormat="1">
      <c r="A981" s="7"/>
    </row>
    <row r="982" spans="1:1" s="1071" customFormat="1">
      <c r="A982" s="7"/>
    </row>
    <row r="983" spans="1:1" s="1071" customFormat="1">
      <c r="A983" s="7"/>
    </row>
    <row r="984" spans="1:1" s="1071" customFormat="1">
      <c r="A984" s="7"/>
    </row>
  </sheetData>
  <sheetProtection algorithmName="SHA-512" hashValue="QsRXlDf6I3gSUJcyuDMHytst/Qymlm7ZsK7cjRQ7HFaKjw3uehlymOxgWOJP4WPO3HjytyyFe5JxOo2g9lPi6w==" saltValue="btGhzqHTHvJdDsebO543uQ==" spinCount="100000" sheet="1" objects="1" scenarios="1"/>
  <mergeCells count="18">
    <mergeCell ref="F45:K45"/>
    <mergeCell ref="C47:L47"/>
    <mergeCell ref="F32:K32"/>
    <mergeCell ref="F34:K34"/>
    <mergeCell ref="F36:K36"/>
    <mergeCell ref="F38:K38"/>
    <mergeCell ref="C43:L43"/>
    <mergeCell ref="F20:K20"/>
    <mergeCell ref="F22:K22"/>
    <mergeCell ref="F24:K24"/>
    <mergeCell ref="F26:K26"/>
    <mergeCell ref="F28:K28"/>
    <mergeCell ref="F18:K18"/>
    <mergeCell ref="C6:L6"/>
    <mergeCell ref="F8:K8"/>
    <mergeCell ref="F12:K12"/>
    <mergeCell ref="F14:K14"/>
    <mergeCell ref="F16:K16"/>
  </mergeCells>
  <dataValidations count="2">
    <dataValidation allowBlank="1" showInputMessage="1" showErrorMessage="1" prompt="Ce numéro vous a été transmis dans l'accusé de réception de la déclaration d’intention." sqref="C8" xr:uid="{6F690D88-ECDC-46CE-A59C-0C33285FBA46}"/>
    <dataValidation allowBlank="1" showInputMessage="1" showErrorMessage="1" prompt="Les travaux doivent être complétés pour déposer le présent formulaire chez Énergir." sqref="C45:D45" xr:uid="{52C5C3E4-653E-4232-B074-94B0913AC97E}"/>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104775</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28575</xdr:colOff>
                    <xdr:row>70</xdr:row>
                    <xdr:rowOff>76200</xdr:rowOff>
                  </from>
                  <to>
                    <xdr:col>10</xdr:col>
                    <xdr:colOff>66675</xdr:colOff>
                    <xdr:row>71</xdr:row>
                    <xdr:rowOff>142875</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104775</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123825</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28575</xdr:colOff>
                    <xdr:row>84</xdr:row>
                    <xdr:rowOff>0</xdr:rowOff>
                  </from>
                  <to>
                    <xdr:col>10</xdr:col>
                    <xdr:colOff>66675</xdr:colOff>
                    <xdr:row>85</xdr:row>
                    <xdr:rowOff>104775</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142875</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28575</xdr:colOff>
                    <xdr:row>79</xdr:row>
                    <xdr:rowOff>0</xdr:rowOff>
                  </from>
                  <to>
                    <xdr:col>10</xdr:col>
                    <xdr:colOff>66675</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923925</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28575</xdr:colOff>
                    <xdr:row>85</xdr:row>
                    <xdr:rowOff>0</xdr:rowOff>
                  </from>
                  <to>
                    <xdr:col>10</xdr:col>
                    <xdr:colOff>66675</xdr:colOff>
                    <xdr:row>85</xdr:row>
                    <xdr:rowOff>0</xdr:rowOff>
                  </to>
                </anchor>
              </controlPr>
            </control>
          </mc:Choice>
        </mc:AlternateContent>
        <mc:AlternateContent xmlns:mc="http://schemas.openxmlformats.org/markup-compatibility/2006">
          <mc:Choice Requires="x14">
            <control shapeId="235776" r:id="rId257" name="Check Box 256">
              <controlPr defaultSize="0" autoFill="0" autoLine="0" autoPict="0">
                <anchor moveWithCells="1">
                  <from>
                    <xdr:col>11</xdr:col>
                    <xdr:colOff>1952625</xdr:colOff>
                    <xdr:row>45</xdr:row>
                    <xdr:rowOff>76200</xdr:rowOff>
                  </from>
                  <to>
                    <xdr:col>16</xdr:col>
                    <xdr:colOff>219075</xdr:colOff>
                    <xdr:row>47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70F2ACC8-9D94-4D19-87E7-873A4806D33D}">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topLeftCell="A39" workbookViewId="0">
      <selection activeCell="U38" sqref="U38"/>
    </sheetView>
  </sheetViews>
  <sheetFormatPr baseColWidth="10" defaultColWidth="11.42578125" defaultRowHeight="12.75"/>
  <cols>
    <col min="1" max="1" width="22.5703125" style="27" customWidth="1"/>
    <col min="2" max="2" width="11.42578125" style="27"/>
    <col min="3" max="3" width="29.425781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5703125" style="27" customWidth="1"/>
    <col min="16" max="16" width="12.140625" style="27" customWidth="1"/>
    <col min="17" max="18" width="10.5703125" style="27" customWidth="1"/>
    <col min="19" max="19" width="11.5703125" style="27" customWidth="1"/>
    <col min="20" max="22" width="10.5703125" style="27" customWidth="1"/>
    <col min="23" max="16384" width="11.42578125" style="27"/>
  </cols>
  <sheetData>
    <row r="2" spans="1:24">
      <c r="E2" s="28" t="s">
        <v>164</v>
      </c>
      <c r="F2" s="29" t="s">
        <v>19</v>
      </c>
      <c r="G2" s="30">
        <f>1-(G4/(G5+ABS(L27)))</f>
        <v>0.83747950019628004</v>
      </c>
    </row>
    <row r="4" spans="1:24">
      <c r="E4" s="31" t="s">
        <v>165</v>
      </c>
      <c r="F4" s="31" t="s">
        <v>166</v>
      </c>
      <c r="G4" s="373">
        <f>V27</f>
        <v>142744.78646146072</v>
      </c>
      <c r="H4" s="33"/>
    </row>
    <row r="5" spans="1:24">
      <c r="A5" s="34" t="s">
        <v>167</v>
      </c>
      <c r="E5" s="31" t="s">
        <v>168</v>
      </c>
      <c r="F5" s="31" t="s">
        <v>166</v>
      </c>
      <c r="G5" s="373">
        <f>P27+S27</f>
        <v>-4679.9930678642395</v>
      </c>
      <c r="J5" s="2351" t="s">
        <v>509</v>
      </c>
      <c r="K5" s="2352"/>
      <c r="L5" s="2352"/>
      <c r="M5" s="2353"/>
      <c r="N5" s="2344" t="s">
        <v>169</v>
      </c>
      <c r="O5" s="2345"/>
      <c r="P5" s="2345"/>
      <c r="Q5" s="2345"/>
      <c r="R5" s="2345"/>
      <c r="S5" s="2345"/>
      <c r="T5" s="2345"/>
      <c r="U5" s="2345"/>
      <c r="V5" s="2346"/>
    </row>
    <row r="6" spans="1:24">
      <c r="A6" s="418" t="s">
        <v>508</v>
      </c>
      <c r="J6" s="2354" t="s">
        <v>507</v>
      </c>
      <c r="K6" s="2355"/>
      <c r="L6" s="2355"/>
      <c r="M6" s="2356"/>
      <c r="N6" s="2366" t="s">
        <v>506</v>
      </c>
      <c r="O6" s="2367"/>
      <c r="P6" s="2368"/>
      <c r="Q6" s="2366" t="s">
        <v>170</v>
      </c>
      <c r="R6" s="2367"/>
      <c r="S6" s="2368"/>
      <c r="T6" s="2366" t="s">
        <v>223</v>
      </c>
      <c r="U6" s="2367"/>
      <c r="V6" s="2368"/>
    </row>
    <row r="7" spans="1:24" ht="14.25" customHeight="1">
      <c r="C7" s="2373" t="s">
        <v>505</v>
      </c>
      <c r="D7" s="2341" t="s">
        <v>504</v>
      </c>
      <c r="E7" s="2343"/>
      <c r="F7" s="2341" t="s">
        <v>503</v>
      </c>
      <c r="G7" s="2342"/>
      <c r="H7" s="2342"/>
      <c r="I7" s="2342"/>
      <c r="J7" s="36" t="s">
        <v>171</v>
      </c>
      <c r="K7" s="37" t="s">
        <v>172</v>
      </c>
      <c r="L7" s="37" t="s">
        <v>502</v>
      </c>
      <c r="M7" s="2357" t="s">
        <v>501</v>
      </c>
      <c r="N7" s="38" t="s">
        <v>173</v>
      </c>
      <c r="O7" s="39">
        <f>'3c. Calculateur MEÉ 2-3-4'!G40</f>
        <v>0</v>
      </c>
      <c r="P7" s="40"/>
      <c r="Q7" s="41" t="s">
        <v>173</v>
      </c>
      <c r="R7" s="42">
        <f>'3c. Calculateur MEÉ 2-3-4'!G39</f>
        <v>0</v>
      </c>
      <c r="S7" s="40"/>
      <c r="T7" s="41" t="s">
        <v>173</v>
      </c>
      <c r="U7" s="42">
        <f>Hypothèses!$D$53</f>
        <v>185</v>
      </c>
      <c r="V7" s="40"/>
    </row>
    <row r="8" spans="1:24" ht="39.75">
      <c r="C8" s="2374"/>
      <c r="D8" s="432" t="s">
        <v>500</v>
      </c>
      <c r="E8" s="433" t="s">
        <v>499</v>
      </c>
      <c r="F8" s="2349" t="s">
        <v>174</v>
      </c>
      <c r="G8" s="2350"/>
      <c r="H8" s="2350"/>
      <c r="I8" s="2350"/>
      <c r="J8" s="43" t="s">
        <v>175</v>
      </c>
      <c r="K8" s="45" t="s">
        <v>175</v>
      </c>
      <c r="L8" s="45"/>
      <c r="M8" s="2358"/>
      <c r="N8" s="45" t="s">
        <v>176</v>
      </c>
      <c r="O8" s="45" t="s">
        <v>177</v>
      </c>
      <c r="P8" s="44" t="s">
        <v>178</v>
      </c>
      <c r="Q8" s="43" t="s">
        <v>176</v>
      </c>
      <c r="R8" s="45" t="s">
        <v>177</v>
      </c>
      <c r="S8" s="44" t="s">
        <v>178</v>
      </c>
      <c r="T8" s="43" t="s">
        <v>176</v>
      </c>
      <c r="U8" s="45" t="s">
        <v>177</v>
      </c>
      <c r="V8" s="44" t="s">
        <v>178</v>
      </c>
    </row>
    <row r="9" spans="1:24" ht="22.5">
      <c r="B9" s="27" t="s">
        <v>44</v>
      </c>
      <c r="C9" s="365" t="s">
        <v>498</v>
      </c>
      <c r="D9" s="2362" t="s">
        <v>498</v>
      </c>
      <c r="E9" s="2363"/>
      <c r="F9" s="2370" t="s">
        <v>211</v>
      </c>
      <c r="G9" s="2371"/>
      <c r="H9" s="2371"/>
      <c r="I9" s="2372"/>
      <c r="J9" s="43"/>
      <c r="K9" s="45"/>
      <c r="L9" s="45"/>
      <c r="M9" s="415" t="s">
        <v>497</v>
      </c>
      <c r="N9" s="45"/>
      <c r="O9" s="45"/>
      <c r="P9" s="44"/>
      <c r="Q9" s="45"/>
      <c r="R9" s="45"/>
      <c r="S9" s="44"/>
      <c r="T9" s="45"/>
      <c r="U9" s="45"/>
      <c r="V9" s="44"/>
    </row>
    <row r="10" spans="1:24" ht="33.75">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75">
      <c r="A11" s="52" t="s">
        <v>188</v>
      </c>
      <c r="B11" s="53" t="s">
        <v>189</v>
      </c>
      <c r="C11" s="408">
        <v>31.998799999999999</v>
      </c>
      <c r="D11" s="427">
        <v>0</v>
      </c>
      <c r="E11" s="428">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Combustion_Chaud1!C53/100</f>
        <v>0</v>
      </c>
      <c r="O11" s="58">
        <f t="shared" ref="O11:O26" si="4">AVERAGE($F11+$G11/100*O$7+$H11/100000*O$7^2+$I11/1000000000*O$7^3,$F11+$G11/100*$B$28+$H11/100000*$B$28^2+$I11/1000000000*$B$28^3)</f>
        <v>29.189302368703927</v>
      </c>
      <c r="P11" s="60">
        <f>N11*O11*(O$7-$B$28)</f>
        <v>0</v>
      </c>
      <c r="Q11" s="59">
        <f>Combustion_Chaud1!G88</f>
        <v>1.9809999999999999</v>
      </c>
      <c r="R11" s="58">
        <f t="shared" ref="R11:R26" si="5">AVERAGE($F11+$G11/100*R$7+$H11/100000*R$7^2+$I11/1000000000*R$7^3,$F11+$G11/100*$B$28+$H11/100000*$B$28^2+$I11/1000000000*$B$28^3)</f>
        <v>29.189302368703927</v>
      </c>
      <c r="S11" s="400">
        <f>Q11*R11*(R$7-$B$28)</f>
        <v>-899.16332428185854</v>
      </c>
      <c r="T11" s="59">
        <f>Combustion_Chaud1!L79</f>
        <v>0</v>
      </c>
      <c r="U11" s="58">
        <f t="shared" ref="U11:U26" si="6">AVERAGE($F11+$G11/100*U$7+$H11/100000*U$7^2+$I11/1000000000*U$7^3,$F11+$G11/100*$B$28+$H11/100000*$B$28^2+$I11/1000000000*$B$28^3)</f>
        <v>30.160627198891426</v>
      </c>
      <c r="V11" s="400">
        <f>T11*U11*(U$7-$B$28)</f>
        <v>0</v>
      </c>
    </row>
    <row r="12" spans="1:24">
      <c r="A12" s="61" t="s">
        <v>469</v>
      </c>
      <c r="B12" s="27" t="s">
        <v>190</v>
      </c>
      <c r="C12" s="402">
        <v>28.010100000000001</v>
      </c>
      <c r="D12" s="427">
        <v>0</v>
      </c>
      <c r="E12" s="428">
        <v>-282910</v>
      </c>
      <c r="F12" s="59">
        <v>28.95</v>
      </c>
      <c r="G12" s="58">
        <v>0.41099999999999998</v>
      </c>
      <c r="H12" s="58">
        <v>0.3548</v>
      </c>
      <c r="I12" s="58">
        <v>-2.2200000000000002</v>
      </c>
      <c r="J12" s="57">
        <f t="shared" si="0"/>
        <v>0</v>
      </c>
      <c r="K12" s="58">
        <f t="shared" si="1"/>
        <v>0</v>
      </c>
      <c r="L12" s="373">
        <f t="shared" si="2"/>
        <v>0</v>
      </c>
      <c r="M12" s="397">
        <f t="shared" si="3"/>
        <v>0</v>
      </c>
      <c r="N12" s="59">
        <f>Combustion_Chaud1!C54/100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75">
      <c r="A13" s="61" t="s">
        <v>454</v>
      </c>
      <c r="B13" s="27" t="s">
        <v>191</v>
      </c>
      <c r="C13" s="402">
        <v>44.009500000000003</v>
      </c>
      <c r="D13" s="427">
        <v>0</v>
      </c>
      <c r="E13" s="428">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Combustion_Chaud1!C55/100</f>
        <v>6.4000000000000003E-3</v>
      </c>
      <c r="O13" s="58">
        <f t="shared" si="4"/>
        <v>36.435639363340258</v>
      </c>
      <c r="P13" s="60">
        <f>N13*O13*(O$7-$B$28)</f>
        <v>-3.6260748294396228</v>
      </c>
      <c r="Q13" s="403"/>
      <c r="R13" s="58">
        <f t="shared" si="5"/>
        <v>36.435639363340258</v>
      </c>
      <c r="S13" s="400">
        <f>Q13*R13*(R$7-$B$28)</f>
        <v>0</v>
      </c>
      <c r="T13" s="59">
        <f>Combustion_Chaud1!L78</f>
        <v>1.0020999999999998</v>
      </c>
      <c r="U13" s="58">
        <f t="shared" si="6"/>
        <v>39.88075611284026</v>
      </c>
      <c r="V13" s="400">
        <f>T13*U13*(U$7-$B$28)</f>
        <v>6771.9854909797532</v>
      </c>
    </row>
    <row r="14" spans="1:24" ht="15.75">
      <c r="A14" s="61" t="s">
        <v>192</v>
      </c>
      <c r="B14" s="27" t="s">
        <v>193</v>
      </c>
      <c r="C14" s="402">
        <v>2.0158800000000001</v>
      </c>
      <c r="D14" s="427">
        <v>2</v>
      </c>
      <c r="E14" s="428">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Combustion_Chaud1!C56/100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75">
      <c r="A15" s="61" t="s">
        <v>194</v>
      </c>
      <c r="B15" s="27" t="s">
        <v>468</v>
      </c>
      <c r="C15" s="402">
        <v>18.015280000000001</v>
      </c>
      <c r="D15" s="427">
        <v>2</v>
      </c>
      <c r="E15" s="428">
        <v>0</v>
      </c>
      <c r="F15" s="59">
        <v>33.46</v>
      </c>
      <c r="G15" s="58">
        <v>0.68799999999999994</v>
      </c>
      <c r="H15" s="58">
        <v>0.76039999999999996</v>
      </c>
      <c r="I15" s="58">
        <v>-3.593</v>
      </c>
      <c r="J15" s="57">
        <f t="shared" si="0"/>
        <v>0</v>
      </c>
      <c r="K15" s="58">
        <f t="shared" si="1"/>
        <v>0</v>
      </c>
      <c r="L15" s="373">
        <f t="shared" si="2"/>
        <v>0</v>
      </c>
      <c r="M15" s="397">
        <f t="shared" si="3"/>
        <v>0</v>
      </c>
      <c r="N15" s="59">
        <f>Combustion_Chaud1!C57/100</f>
        <v>0</v>
      </c>
      <c r="O15" s="58">
        <f t="shared" si="4"/>
        <v>33.514404578213124</v>
      </c>
      <c r="P15" s="60">
        <f>N15*(W15+O15*(O$7-$B$28))</f>
        <v>0</v>
      </c>
      <c r="Q15" s="59">
        <f>Combustion_Chaud1!G89</f>
        <v>2.8419786239875467E-3</v>
      </c>
      <c r="R15" s="58">
        <f t="shared" si="5"/>
        <v>33.514404578213124</v>
      </c>
      <c r="S15" s="400">
        <f>Q15*(W15+R15*(R$7-$B$28))</f>
        <v>124.72549244116087</v>
      </c>
      <c r="T15" s="59">
        <f>Combustion_Chaud1!L81-T16</f>
        <v>1.9734419786239874</v>
      </c>
      <c r="U15" s="58">
        <f t="shared" si="6"/>
        <v>34.269553263900619</v>
      </c>
      <c r="V15" s="428">
        <f>((T15-G89)*$W$15)+(T15*U15*(U$7-$B$28))</f>
        <v>98970.134613694434</v>
      </c>
      <c r="W15" s="375">
        <v>44408</v>
      </c>
      <c r="X15" s="27" t="s">
        <v>195</v>
      </c>
    </row>
    <row r="16" spans="1:24" ht="15.75">
      <c r="A16" s="61" t="s">
        <v>196</v>
      </c>
      <c r="B16" s="27" t="s">
        <v>494</v>
      </c>
      <c r="C16" s="402">
        <f>C15</f>
        <v>18.015280000000001</v>
      </c>
      <c r="D16" s="427">
        <v>2</v>
      </c>
      <c r="E16" s="428">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Combustion_Chaud1!L92</f>
        <v>0</v>
      </c>
      <c r="U16" s="58">
        <f t="shared" si="6"/>
        <v>75.400000000000006</v>
      </c>
      <c r="V16" s="428">
        <f t="shared" ref="V16:V26" si="9">T16*U16*(U$7-$B$28)</f>
        <v>0</v>
      </c>
    </row>
    <row r="17" spans="1:22" ht="15.75">
      <c r="A17" s="61" t="s">
        <v>197</v>
      </c>
      <c r="B17" s="27" t="s">
        <v>198</v>
      </c>
      <c r="C17" s="402">
        <v>16.042459999999998</v>
      </c>
      <c r="D17" s="427">
        <v>4</v>
      </c>
      <c r="E17" s="428">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Combustion_Chaud1!C58/100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75">
      <c r="A18" s="61" t="s">
        <v>199</v>
      </c>
      <c r="B18" s="27" t="s">
        <v>467</v>
      </c>
      <c r="C18" s="402">
        <v>30.09562</v>
      </c>
      <c r="D18" s="427">
        <v>6</v>
      </c>
      <c r="E18" s="428">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Combustion_Chaud1!C59/100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75">
      <c r="A19" s="61" t="s">
        <v>200</v>
      </c>
      <c r="B19" s="27" t="s">
        <v>466</v>
      </c>
      <c r="C19" s="402">
        <v>44.095619999999997</v>
      </c>
      <c r="D19" s="427">
        <v>8</v>
      </c>
      <c r="E19" s="428">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Combustion_Chaud1!C60/100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75">
      <c r="A20" s="61" t="s">
        <v>493</v>
      </c>
      <c r="B20" s="27" t="s">
        <v>492</v>
      </c>
      <c r="C20" s="402">
        <v>58.122199999999999</v>
      </c>
      <c r="D20" s="427">
        <v>10</v>
      </c>
      <c r="E20" s="428">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Combustion_Chaud1!C61/100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75">
      <c r="A21" s="61" t="s">
        <v>201</v>
      </c>
      <c r="B21" s="27" t="s">
        <v>491</v>
      </c>
      <c r="C21" s="402">
        <f>C20</f>
        <v>58.122199999999999</v>
      </c>
      <c r="D21" s="427">
        <v>10</v>
      </c>
      <c r="E21" s="429">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Combustion_Chaud1!C62/100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75">
      <c r="A22" s="61" t="s">
        <v>490</v>
      </c>
      <c r="B22" s="27" t="s">
        <v>462</v>
      </c>
      <c r="C22" s="402">
        <v>72.148780000000002</v>
      </c>
      <c r="D22" s="427">
        <v>12</v>
      </c>
      <c r="E22" s="428">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Combustion_Chaud1!C63/100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75">
      <c r="A23" s="61" t="s">
        <v>461</v>
      </c>
      <c r="B23" s="27" t="s">
        <v>460</v>
      </c>
      <c r="C23" s="402">
        <f>C22</f>
        <v>72.148780000000002</v>
      </c>
      <c r="D23" s="427">
        <v>12</v>
      </c>
      <c r="E23" s="428">
        <v>-3538450</v>
      </c>
      <c r="F23" s="59">
        <v>114.8</v>
      </c>
      <c r="G23" s="58">
        <v>34.090000000000003</v>
      </c>
      <c r="H23" s="58">
        <v>-18.989999999999998</v>
      </c>
      <c r="I23" s="58">
        <v>42.26</v>
      </c>
      <c r="J23" s="57">
        <f t="shared" si="0"/>
        <v>0</v>
      </c>
      <c r="K23" s="58">
        <f t="shared" si="1"/>
        <v>0</v>
      </c>
      <c r="L23" s="373">
        <f t="shared" si="2"/>
        <v>0</v>
      </c>
      <c r="M23" s="397">
        <f t="shared" si="3"/>
        <v>0</v>
      </c>
      <c r="N23" s="59">
        <f>Combustion_Chaud1!C64/100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75">
      <c r="A24" s="61" t="s">
        <v>459</v>
      </c>
      <c r="B24" s="27" t="s">
        <v>458</v>
      </c>
      <c r="C24" s="402">
        <v>86.175359999999998</v>
      </c>
      <c r="D24" s="427">
        <v>14</v>
      </c>
      <c r="E24" s="428">
        <v>-4198060</v>
      </c>
      <c r="F24" s="59">
        <v>137.44</v>
      </c>
      <c r="G24" s="58">
        <v>40.85</v>
      </c>
      <c r="H24" s="58">
        <v>-23.92</v>
      </c>
      <c r="I24" s="58">
        <v>57.66</v>
      </c>
      <c r="J24" s="57">
        <f t="shared" si="0"/>
        <v>0</v>
      </c>
      <c r="K24" s="58">
        <f t="shared" si="1"/>
        <v>0</v>
      </c>
      <c r="L24" s="373">
        <f t="shared" si="2"/>
        <v>0</v>
      </c>
      <c r="M24" s="397">
        <f t="shared" si="3"/>
        <v>0</v>
      </c>
      <c r="N24" s="59">
        <f>Combustion_Chaud1!C65/100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75">
      <c r="A25" s="61" t="s">
        <v>202</v>
      </c>
      <c r="B25" s="27" t="s">
        <v>203</v>
      </c>
      <c r="C25" s="402">
        <v>28.013400000000001</v>
      </c>
      <c r="D25" s="427">
        <v>0</v>
      </c>
      <c r="E25" s="428">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Combustion_Chaud1!C66/100</f>
        <v>1.84E-2</v>
      </c>
      <c r="O25" s="58">
        <f t="shared" si="4"/>
        <v>29.017783745332302</v>
      </c>
      <c r="P25" s="60">
        <f t="shared" si="7"/>
        <v>-8.3025682852144786</v>
      </c>
      <c r="Q25" s="59">
        <f>Combustion_Chaud1!G87</f>
        <v>7.4501097253831423</v>
      </c>
      <c r="R25" s="58">
        <f t="shared" si="5"/>
        <v>29.017783745332302</v>
      </c>
      <c r="S25" s="400">
        <f t="shared" si="8"/>
        <v>-3361.6872134420669</v>
      </c>
      <c r="T25" s="59">
        <f>Combustion_Chaud1!L77</f>
        <v>7.4501097253831423</v>
      </c>
      <c r="U25" s="58">
        <f t="shared" si="6"/>
        <v>29.310037035144802</v>
      </c>
      <c r="V25" s="400">
        <f t="shared" si="9"/>
        <v>37001.608988786524</v>
      </c>
    </row>
    <row r="26" spans="1:22">
      <c r="A26" s="63" t="s">
        <v>204</v>
      </c>
      <c r="B26" s="64" t="s">
        <v>205</v>
      </c>
      <c r="C26" s="399">
        <v>4.0026020000000004</v>
      </c>
      <c r="D26" s="430">
        <v>0</v>
      </c>
      <c r="E26" s="431">
        <v>0</v>
      </c>
      <c r="F26" s="67">
        <v>20.8</v>
      </c>
      <c r="G26" s="68">
        <v>0</v>
      </c>
      <c r="H26" s="68">
        <v>0</v>
      </c>
      <c r="I26" s="68">
        <v>0</v>
      </c>
      <c r="J26" s="69">
        <f t="shared" si="0"/>
        <v>1.2007806E-3</v>
      </c>
      <c r="K26" s="68">
        <f t="shared" si="1"/>
        <v>5.0804673571654341E-5</v>
      </c>
      <c r="L26" s="370">
        <f t="shared" si="2"/>
        <v>0</v>
      </c>
      <c r="M26" s="397">
        <f t="shared" si="3"/>
        <v>0</v>
      </c>
      <c r="N26" s="67">
        <f>Combustion_Chaud1!C67/100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359" t="s">
        <v>485</v>
      </c>
      <c r="K29" s="2360"/>
      <c r="L29" s="2361"/>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4.25">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4.25">
      <c r="A35" s="372" t="s">
        <v>478</v>
      </c>
      <c r="F35" s="32"/>
      <c r="I35" s="32"/>
      <c r="J35" s="374">
        <f>(J33*1000)/1.055056*0.02831685</f>
        <v>903.32326488654292</v>
      </c>
      <c r="K35" s="373">
        <f>(K33*1000)/1.055056*0.02831685</f>
        <v>1002.696430297802</v>
      </c>
      <c r="L35" s="75" t="s">
        <v>477</v>
      </c>
      <c r="M35" s="27" t="s">
        <v>473</v>
      </c>
    </row>
    <row r="36" spans="1:13" ht="15.75">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5" thickBot="1">
      <c r="B45" s="31"/>
      <c r="G45" s="76"/>
      <c r="H45" s="84"/>
    </row>
    <row r="46" spans="1:13">
      <c r="A46" s="2347" t="s">
        <v>472</v>
      </c>
      <c r="B46" s="2348"/>
      <c r="C46" s="2348"/>
      <c r="D46" s="2348"/>
      <c r="E46" s="2348"/>
      <c r="F46" s="2348"/>
      <c r="G46" s="2348"/>
      <c r="H46" s="2348"/>
      <c r="I46" s="2348"/>
      <c r="J46" s="368"/>
    </row>
    <row r="47" spans="1:13">
      <c r="A47" s="85"/>
      <c r="B47" s="45"/>
      <c r="C47" s="45"/>
      <c r="D47" s="45"/>
      <c r="E47" s="45"/>
      <c r="J47" s="434"/>
    </row>
    <row r="48" spans="1:13">
      <c r="A48" s="87"/>
      <c r="B48" s="32"/>
      <c r="C48" s="35" t="s">
        <v>215</v>
      </c>
      <c r="D48" s="2341" t="s">
        <v>471</v>
      </c>
      <c r="E48" s="2342"/>
      <c r="F48" s="2342"/>
      <c r="G48" s="2342"/>
      <c r="H48" s="2343"/>
      <c r="I48" s="367" t="s">
        <v>457</v>
      </c>
      <c r="J48" s="434"/>
    </row>
    <row r="49" spans="1:9" ht="14.25">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188</v>
      </c>
      <c r="B53" s="27" t="s">
        <v>189</v>
      </c>
      <c r="C53" s="425">
        <v>0</v>
      </c>
      <c r="D53" s="98"/>
      <c r="E53" s="98"/>
      <c r="F53" s="98"/>
      <c r="G53" s="98"/>
      <c r="H53" s="58">
        <f t="shared" ref="H53:H67" si="11">SUM(D53:G53)</f>
        <v>0</v>
      </c>
      <c r="I53" s="99">
        <f>-C53/100</f>
        <v>0</v>
      </c>
    </row>
    <row r="54" spans="1:9">
      <c r="A54" s="87" t="s">
        <v>469</v>
      </c>
      <c r="B54" s="27" t="s">
        <v>190</v>
      </c>
      <c r="C54" s="425">
        <v>0</v>
      </c>
      <c r="D54" s="98">
        <f>C54/100</f>
        <v>0</v>
      </c>
      <c r="E54" s="98"/>
      <c r="F54" s="98"/>
      <c r="G54" s="98"/>
      <c r="H54" s="58">
        <f t="shared" si="11"/>
        <v>0</v>
      </c>
      <c r="I54" s="364">
        <f>D54+E54/2</f>
        <v>0</v>
      </c>
    </row>
    <row r="55" spans="1:9" ht="15.75">
      <c r="A55" s="87" t="s">
        <v>454</v>
      </c>
      <c r="B55" s="27" t="s">
        <v>191</v>
      </c>
      <c r="C55" s="425">
        <v>0.64</v>
      </c>
      <c r="D55" s="98">
        <f>C55/100</f>
        <v>6.4000000000000003E-3</v>
      </c>
      <c r="E55" s="98"/>
      <c r="F55" s="98"/>
      <c r="G55" s="98"/>
      <c r="H55" s="58">
        <f t="shared" si="11"/>
        <v>6.4000000000000003E-3</v>
      </c>
      <c r="I55" s="99">
        <v>0</v>
      </c>
    </row>
    <row r="56" spans="1:9" ht="15.75">
      <c r="A56" s="87" t="s">
        <v>192</v>
      </c>
      <c r="B56" s="27" t="s">
        <v>193</v>
      </c>
      <c r="C56" s="425">
        <v>0</v>
      </c>
      <c r="D56" s="98"/>
      <c r="E56" s="98">
        <f>C56/100</f>
        <v>0</v>
      </c>
      <c r="F56" s="98"/>
      <c r="G56" s="98"/>
      <c r="H56" s="58">
        <f t="shared" si="11"/>
        <v>0</v>
      </c>
      <c r="I56" s="99">
        <f>D56+E56/2</f>
        <v>0</v>
      </c>
    </row>
    <row r="57" spans="1:9" ht="15.75">
      <c r="A57" s="87" t="s">
        <v>194</v>
      </c>
      <c r="B57" s="27" t="s">
        <v>468</v>
      </c>
      <c r="C57" s="425">
        <v>0</v>
      </c>
      <c r="D57" s="98"/>
      <c r="E57" s="98">
        <f>C57/100</f>
        <v>0</v>
      </c>
      <c r="F57" s="98"/>
      <c r="G57" s="98"/>
      <c r="H57" s="58">
        <f t="shared" si="11"/>
        <v>0</v>
      </c>
      <c r="I57" s="364">
        <v>0</v>
      </c>
    </row>
    <row r="58" spans="1:9" ht="15.75">
      <c r="A58" s="87" t="s">
        <v>197</v>
      </c>
      <c r="B58" s="27" t="s">
        <v>198</v>
      </c>
      <c r="C58" s="425">
        <v>95.67</v>
      </c>
      <c r="D58" s="98">
        <f>C58/100</f>
        <v>0.95669999999999999</v>
      </c>
      <c r="E58" s="98">
        <f>C58/100*2</f>
        <v>1.9134</v>
      </c>
      <c r="F58" s="98"/>
      <c r="G58" s="98"/>
      <c r="H58" s="58">
        <f t="shared" si="11"/>
        <v>2.8700999999999999</v>
      </c>
      <c r="I58" s="99">
        <f t="shared" ref="I58:I65" si="12">D58+E58/2</f>
        <v>1.9134</v>
      </c>
    </row>
    <row r="59" spans="1:9" ht="15.75">
      <c r="A59" s="87" t="s">
        <v>199</v>
      </c>
      <c r="B59" s="27" t="s">
        <v>467</v>
      </c>
      <c r="C59" s="425">
        <v>1.62</v>
      </c>
      <c r="D59" s="98">
        <f>C59*2/100</f>
        <v>3.2400000000000005E-2</v>
      </c>
      <c r="E59" s="98">
        <f>C59/100*3</f>
        <v>4.8600000000000004E-2</v>
      </c>
      <c r="F59" s="98"/>
      <c r="G59" s="98"/>
      <c r="H59" s="58">
        <f t="shared" si="11"/>
        <v>8.1000000000000016E-2</v>
      </c>
      <c r="I59" s="99">
        <f t="shared" si="12"/>
        <v>5.6700000000000007E-2</v>
      </c>
    </row>
    <row r="60" spans="1:9" ht="15.75">
      <c r="A60" s="87" t="s">
        <v>200</v>
      </c>
      <c r="B60" s="27" t="s">
        <v>466</v>
      </c>
      <c r="C60" s="425">
        <v>0.14000000000000001</v>
      </c>
      <c r="D60" s="98">
        <f>C60*3/100</f>
        <v>4.2000000000000006E-3</v>
      </c>
      <c r="E60" s="98">
        <f>C60/100*4</f>
        <v>5.6000000000000008E-3</v>
      </c>
      <c r="F60" s="98"/>
      <c r="G60" s="98"/>
      <c r="H60" s="58">
        <f t="shared" si="11"/>
        <v>9.8000000000000014E-3</v>
      </c>
      <c r="I60" s="99">
        <f t="shared" si="12"/>
        <v>7.000000000000001E-3</v>
      </c>
    </row>
    <row r="61" spans="1:9" ht="15.75">
      <c r="A61" s="87" t="s">
        <v>465</v>
      </c>
      <c r="B61" s="27" t="s">
        <v>464</v>
      </c>
      <c r="C61" s="425">
        <v>0.04</v>
      </c>
      <c r="D61" s="98">
        <f>C61*4/100</f>
        <v>1.6000000000000001E-3</v>
      </c>
      <c r="E61" s="98">
        <f>C61/100*5</f>
        <v>2E-3</v>
      </c>
      <c r="F61" s="98"/>
      <c r="G61" s="98"/>
      <c r="H61" s="58">
        <f t="shared" si="11"/>
        <v>3.5999999999999999E-3</v>
      </c>
      <c r="I61" s="99">
        <f t="shared" si="12"/>
        <v>2.5999999999999999E-3</v>
      </c>
    </row>
    <row r="62" spans="1:9" ht="15.75">
      <c r="A62" s="87" t="s">
        <v>201</v>
      </c>
      <c r="B62" s="27" t="s">
        <v>464</v>
      </c>
      <c r="C62" s="425">
        <v>0.02</v>
      </c>
      <c r="D62" s="98">
        <f>C62*4/100</f>
        <v>8.0000000000000004E-4</v>
      </c>
      <c r="E62" s="98">
        <f>C62/100*5</f>
        <v>1E-3</v>
      </c>
      <c r="F62" s="98"/>
      <c r="G62" s="98"/>
      <c r="H62" s="58">
        <f t="shared" si="11"/>
        <v>1.8E-3</v>
      </c>
      <c r="I62" s="99">
        <f t="shared" si="12"/>
        <v>1.2999999999999999E-3</v>
      </c>
    </row>
    <row r="63" spans="1:9" ht="15.75">
      <c r="A63" s="61" t="s">
        <v>463</v>
      </c>
      <c r="B63" s="27" t="s">
        <v>462</v>
      </c>
      <c r="C63" s="425">
        <v>0</v>
      </c>
      <c r="D63" s="98">
        <f>C63*5/100</f>
        <v>0</v>
      </c>
      <c r="E63" s="98">
        <f>C63/100*6</f>
        <v>0</v>
      </c>
      <c r="F63" s="98"/>
      <c r="G63" s="98"/>
      <c r="H63" s="58">
        <f t="shared" si="11"/>
        <v>0</v>
      </c>
      <c r="I63" s="99">
        <f t="shared" si="12"/>
        <v>0</v>
      </c>
    </row>
    <row r="64" spans="1:9" ht="15.75">
      <c r="A64" s="61" t="s">
        <v>461</v>
      </c>
      <c r="B64" s="27" t="s">
        <v>460</v>
      </c>
      <c r="C64" s="425">
        <v>0</v>
      </c>
      <c r="D64" s="98">
        <f>C64*5/100</f>
        <v>0</v>
      </c>
      <c r="E64" s="98">
        <f>C64/100*6</f>
        <v>0</v>
      </c>
      <c r="F64" s="98"/>
      <c r="G64" s="98"/>
      <c r="H64" s="58">
        <f t="shared" si="11"/>
        <v>0</v>
      </c>
      <c r="I64" s="99">
        <f t="shared" si="12"/>
        <v>0</v>
      </c>
    </row>
    <row r="65" spans="1:14" ht="15.75">
      <c r="A65" s="61" t="s">
        <v>459</v>
      </c>
      <c r="B65" s="27" t="s">
        <v>458</v>
      </c>
      <c r="C65" s="425">
        <v>0</v>
      </c>
      <c r="D65" s="98">
        <f>C65*6/100</f>
        <v>0</v>
      </c>
      <c r="E65" s="98">
        <f>C65/100*7</f>
        <v>0</v>
      </c>
      <c r="F65" s="98"/>
      <c r="G65" s="98"/>
      <c r="H65" s="58">
        <f t="shared" si="11"/>
        <v>0</v>
      </c>
      <c r="I65" s="99">
        <f t="shared" si="12"/>
        <v>0</v>
      </c>
    </row>
    <row r="66" spans="1:14" ht="15.75">
      <c r="A66" s="87" t="s">
        <v>202</v>
      </c>
      <c r="B66" s="27" t="s">
        <v>203</v>
      </c>
      <c r="C66" s="425">
        <v>1.84</v>
      </c>
      <c r="D66" s="98"/>
      <c r="E66" s="98"/>
      <c r="G66" s="98">
        <f>C66/100</f>
        <v>1.84E-2</v>
      </c>
      <c r="H66" s="58">
        <f t="shared" si="11"/>
        <v>1.84E-2</v>
      </c>
      <c r="I66" s="99">
        <v>0</v>
      </c>
    </row>
    <row r="67" spans="1:14" ht="13.5" thickBot="1">
      <c r="A67" s="100" t="s">
        <v>204</v>
      </c>
      <c r="B67" s="101" t="s">
        <v>205</v>
      </c>
      <c r="C67" s="426">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347" t="s">
        <v>222</v>
      </c>
      <c r="B70" s="2348"/>
      <c r="C70" s="2348"/>
      <c r="D70" s="2348"/>
      <c r="E70" s="2348"/>
      <c r="F70" s="2348"/>
      <c r="G70" s="2369"/>
      <c r="H70" s="106"/>
      <c r="I70" s="2347" t="s">
        <v>223</v>
      </c>
      <c r="J70" s="2348"/>
      <c r="K70" s="2348"/>
      <c r="L70" s="2348"/>
      <c r="M70" s="2348"/>
      <c r="N70" s="2369"/>
    </row>
    <row r="71" spans="1:14">
      <c r="A71" s="107"/>
      <c r="C71" s="45"/>
      <c r="D71" s="2341" t="s">
        <v>224</v>
      </c>
      <c r="E71" s="2342"/>
      <c r="F71" s="2342"/>
      <c r="G71" s="2365"/>
      <c r="H71" s="106"/>
      <c r="I71" s="87"/>
      <c r="K71" s="45"/>
      <c r="L71" s="2349" t="s">
        <v>224</v>
      </c>
      <c r="M71" s="2350"/>
      <c r="N71" s="2364"/>
    </row>
    <row r="72" spans="1:14" ht="14.25">
      <c r="A72" s="107"/>
      <c r="C72" s="31"/>
      <c r="D72" s="43" t="s">
        <v>225</v>
      </c>
      <c r="E72" s="45" t="s">
        <v>226</v>
      </c>
      <c r="F72" s="45" t="s">
        <v>227</v>
      </c>
      <c r="G72" s="108" t="s">
        <v>228</v>
      </c>
      <c r="H72" s="98"/>
      <c r="I72" s="87"/>
      <c r="K72" s="45"/>
      <c r="L72" s="61"/>
      <c r="M72" s="2350" t="s">
        <v>229</v>
      </c>
      <c r="N72" s="2364"/>
    </row>
    <row r="73" spans="1:14" ht="25.5">
      <c r="A73" s="87"/>
      <c r="C73" s="31"/>
      <c r="D73" s="63"/>
      <c r="E73" s="424" t="b">
        <v>1</v>
      </c>
      <c r="F73" s="64"/>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2-3-4'!G36</f>
        <v>0</v>
      </c>
      <c r="F75" s="362" t="e">
        <f>F82/F79</f>
        <v>#DIV/0!</v>
      </c>
      <c r="G75" s="356">
        <f>INDEX(D75:F75,G$74)</f>
        <v>0</v>
      </c>
      <c r="H75" s="362"/>
      <c r="I75" s="89" t="s">
        <v>219</v>
      </c>
      <c r="K75" s="357" t="s">
        <v>456</v>
      </c>
      <c r="L75" s="113">
        <f>SUM(L77:L81)</f>
        <v>10.425951704007129</v>
      </c>
      <c r="M75" s="361">
        <f>SUM(M77:M81)</f>
        <v>1</v>
      </c>
      <c r="N75" s="360">
        <f>SUM(N77:N81)</f>
        <v>1</v>
      </c>
    </row>
    <row r="76" spans="1:14" ht="15">
      <c r="A76" s="87" t="s">
        <v>233</v>
      </c>
      <c r="C76" s="31"/>
      <c r="D76" s="438"/>
      <c r="E76" s="340">
        <f>E82/(E79*($F$41/$F$42)+H51-E51+E82/$F$42)</f>
        <v>0</v>
      </c>
      <c r="F76" s="359" t="e">
        <f>F82/(F79*($F$41/$F$42)+H51-E51+F82/$F$42)</f>
        <v>#DIV/0!</v>
      </c>
      <c r="G76" s="358">
        <f>INDEX(D76:F76,G$74)</f>
        <v>0</v>
      </c>
      <c r="H76" s="114"/>
      <c r="I76" s="85"/>
      <c r="K76" s="357"/>
      <c r="L76" s="45"/>
      <c r="N76" s="86"/>
    </row>
    <row r="77" spans="1:14" ht="15">
      <c r="A77" s="87" t="s">
        <v>455</v>
      </c>
      <c r="C77" s="31"/>
      <c r="D77" s="340">
        <f>$N$78</f>
        <v>0.11855650363709885</v>
      </c>
      <c r="E77" s="340">
        <f>N78</f>
        <v>0.11855650363709885</v>
      </c>
      <c r="F77" s="439"/>
      <c r="G77" s="356">
        <f>INDEX(D77:F77,G$74)</f>
        <v>0.11855650363709885</v>
      </c>
      <c r="H77" s="340"/>
      <c r="I77" s="87" t="s">
        <v>202</v>
      </c>
      <c r="K77" s="355" t="s">
        <v>446</v>
      </c>
      <c r="L77" s="58">
        <f>G87</f>
        <v>7.4501097253831423</v>
      </c>
      <c r="M77" s="340">
        <f t="shared" ref="M77:M82" si="13">L77/$L$75</f>
        <v>0.71457358876118271</v>
      </c>
      <c r="N77" s="354">
        <f>L77/($L$75-$L$81)</f>
        <v>0.88140800394588581</v>
      </c>
    </row>
    <row r="78" spans="1:14" ht="15">
      <c r="A78" s="87"/>
      <c r="C78" s="31"/>
      <c r="F78" s="45"/>
      <c r="G78" s="115"/>
      <c r="H78" s="114"/>
      <c r="I78" s="87" t="s">
        <v>454</v>
      </c>
      <c r="K78" s="355" t="s">
        <v>446</v>
      </c>
      <c r="L78" s="58">
        <f>D51</f>
        <v>1.0020999999999998</v>
      </c>
      <c r="M78" s="340">
        <f t="shared" si="13"/>
        <v>9.6115925763865837E-2</v>
      </c>
      <c r="N78" s="354">
        <f>L78/($L$75-$L$81)</f>
        <v>0.11855650363709885</v>
      </c>
    </row>
    <row r="79" spans="1:14"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row>
    <row r="81" spans="1:15" ht="15">
      <c r="A81" s="87"/>
      <c r="C81" s="31"/>
      <c r="D81" s="58"/>
      <c r="E81" s="116"/>
      <c r="F81" s="113"/>
      <c r="G81" s="117"/>
      <c r="H81" s="58"/>
      <c r="I81" s="87" t="s">
        <v>235</v>
      </c>
      <c r="K81" s="355" t="s">
        <v>446</v>
      </c>
      <c r="L81" s="58">
        <f>G89+E51</f>
        <v>1.9734419786239874</v>
      </c>
      <c r="M81" s="340">
        <f t="shared" si="13"/>
        <v>0.18928171112336067</v>
      </c>
      <c r="N81" s="354">
        <v>0</v>
      </c>
    </row>
    <row r="82" spans="1:15"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row>
    <row r="83" spans="1:15"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row>
    <row r="84" spans="1:15">
      <c r="A84" s="87"/>
      <c r="C84" s="31"/>
      <c r="F84" s="45"/>
      <c r="G84" s="117"/>
      <c r="I84" s="87"/>
      <c r="N84" s="86"/>
    </row>
    <row r="85" spans="1: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row>
    <row r="86" spans="1:15">
      <c r="A86" s="87"/>
      <c r="G86" s="122"/>
      <c r="I86" s="87" t="s">
        <v>241</v>
      </c>
      <c r="K86" s="31" t="s">
        <v>242</v>
      </c>
      <c r="L86" s="58">
        <f>E51+G89</f>
        <v>1.9734419786239874</v>
      </c>
      <c r="N86" s="86"/>
    </row>
    <row r="87" spans="1:15"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185</v>
      </c>
      <c r="M87" s="32"/>
      <c r="N87" s="86"/>
    </row>
    <row r="88" spans="1:15"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Combustion_Chaud1!C136</f>
        <v>59.118389658623499</v>
      </c>
      <c r="N88" s="86"/>
    </row>
    <row r="89" spans="1:15" ht="14.25">
      <c r="A89" s="343" t="s">
        <v>245</v>
      </c>
      <c r="C89" s="346" t="s">
        <v>446</v>
      </c>
      <c r="D89" s="345">
        <f>Combustion_Chaud1!$C$115*(Combustion_Chaud1!D80+Combustion_Chaud1!D83)</f>
        <v>2.8419786239875467E-3</v>
      </c>
      <c r="E89" s="345">
        <f>Combustion_Chaud1!$C$115*Combustion_Chaud1!E80</f>
        <v>2.8419786239875467E-3</v>
      </c>
      <c r="F89" s="345">
        <f>Combustion_Chaud1!$C$115*Combustion_Chaud1!F80</f>
        <v>2.8419786239875467E-3</v>
      </c>
      <c r="G89" s="344">
        <f>INDEX(D89:F89,G$74)</f>
        <v>2.8419786239875467E-3</v>
      </c>
      <c r="H89" s="58"/>
      <c r="I89" s="87" t="s">
        <v>450</v>
      </c>
      <c r="K89" s="31" t="s">
        <v>449</v>
      </c>
      <c r="L89" s="58">
        <f>($E$29*(M83/1000))/($B$32*(L87+273.15))</f>
        <v>0.7373243289209187</v>
      </c>
      <c r="N89" s="126"/>
    </row>
    <row r="90" spans="1:15" ht="15.75">
      <c r="A90" s="343"/>
      <c r="C90" s="31"/>
      <c r="D90" s="58"/>
      <c r="F90" s="45"/>
      <c r="G90" s="127"/>
      <c r="H90" s="58"/>
      <c r="I90" s="87" t="s">
        <v>448</v>
      </c>
      <c r="K90" s="31" t="s">
        <v>242</v>
      </c>
      <c r="L90" s="342">
        <f>Combustion_Chaud1!C129</f>
        <v>0.23347408553671128</v>
      </c>
      <c r="M90" s="27" t="s">
        <v>246</v>
      </c>
      <c r="N90" s="126"/>
    </row>
    <row r="91" spans="1:15">
      <c r="A91" s="89" t="s">
        <v>247</v>
      </c>
      <c r="C91" s="31"/>
      <c r="D91" s="58"/>
      <c r="F91" s="45"/>
      <c r="G91" s="127"/>
      <c r="H91" s="58"/>
      <c r="I91" s="87" t="s">
        <v>248</v>
      </c>
      <c r="K91" s="31" t="s">
        <v>242</v>
      </c>
      <c r="L91" s="342">
        <f>Combustion_Chaud1!C140</f>
        <v>0</v>
      </c>
      <c r="M91" s="27" t="s">
        <v>447</v>
      </c>
      <c r="N91" s="126"/>
    </row>
    <row r="92" spans="1:15" ht="15.75" thickBot="1">
      <c r="A92" s="87" t="s">
        <v>249</v>
      </c>
      <c r="C92" s="31"/>
      <c r="D92" s="341">
        <f>Hypothèses!D27</f>
        <v>0.05</v>
      </c>
      <c r="E92" s="340"/>
      <c r="F92" s="340"/>
      <c r="G92" s="127"/>
      <c r="H92" s="340"/>
      <c r="I92" s="100"/>
      <c r="J92" s="101"/>
      <c r="K92" s="339" t="s">
        <v>446</v>
      </c>
      <c r="L92" s="338">
        <f>Combustion_Chaud1!C141</f>
        <v>0</v>
      </c>
      <c r="M92" s="101"/>
      <c r="N92" s="102"/>
    </row>
    <row r="93" spans="1:15" ht="15.75" thickBot="1">
      <c r="A93" s="100" t="s">
        <v>244</v>
      </c>
      <c r="B93" s="101"/>
      <c r="C93" s="128" t="s">
        <v>434</v>
      </c>
      <c r="D93" s="337" t="e">
        <f>IF(D92&lt;&gt;0,Combustion_Chaud1!$C$119,"-")</f>
        <v>#N/A</v>
      </c>
      <c r="E93" s="336"/>
      <c r="F93" s="336"/>
      <c r="G93" s="129"/>
      <c r="H93" s="98"/>
    </row>
    <row r="94" spans="1:15" ht="15">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4.25">
      <c r="A104" s="27" t="s">
        <v>252</v>
      </c>
      <c r="B104" s="31" t="s">
        <v>443</v>
      </c>
      <c r="C104" s="440">
        <v>0</v>
      </c>
      <c r="D104" s="435" t="s">
        <v>442</v>
      </c>
      <c r="E104" s="31"/>
      <c r="F104" s="45" t="s">
        <v>253</v>
      </c>
      <c r="G104" s="45" t="s">
        <v>254</v>
      </c>
      <c r="H104" s="45" t="s">
        <v>253</v>
      </c>
    </row>
    <row r="105" spans="1:8">
      <c r="A105" s="27" t="s">
        <v>441</v>
      </c>
      <c r="B105" s="31" t="s">
        <v>255</v>
      </c>
      <c r="C105" s="441">
        <v>101325</v>
      </c>
      <c r="D105" s="437"/>
      <c r="E105" s="31"/>
      <c r="F105" s="31">
        <v>0</v>
      </c>
      <c r="G105" s="32">
        <v>610.48326959999986</v>
      </c>
      <c r="H105" s="31">
        <f t="shared" ref="H105:H136" si="14">F105</f>
        <v>0</v>
      </c>
    </row>
    <row r="106" spans="1:8">
      <c r="A106" s="27" t="s">
        <v>440</v>
      </c>
      <c r="B106" s="31" t="s">
        <v>255</v>
      </c>
      <c r="C106" s="436">
        <f>C105*EXP(-Combustion_Chaud1!C94/1000*9.80665/Combustion_Chaud1!B32/Combustion_Chaud1!B29*C104)</f>
        <v>101325</v>
      </c>
      <c r="D106" s="436"/>
      <c r="E106" s="331"/>
      <c r="F106" s="31">
        <v>2</v>
      </c>
      <c r="G106" s="32">
        <v>705.80878559999985</v>
      </c>
      <c r="H106" s="31">
        <f t="shared" si="14"/>
        <v>2</v>
      </c>
    </row>
    <row r="107" spans="1:8">
      <c r="B107" s="31"/>
      <c r="C107" s="437"/>
      <c r="D107" s="436"/>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4.25">
      <c r="A109" s="27" t="s">
        <v>256</v>
      </c>
      <c r="B109" s="124" t="s">
        <v>434</v>
      </c>
      <c r="C109" s="330">
        <f>R7</f>
        <v>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C115*Combustion_Chaud1!$C$15/Combustion_Chaud1!$C$94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Combustion_Chaud1!L75</f>
        <v>10.425951704007129</v>
      </c>
      <c r="D124" s="31"/>
      <c r="E124" s="31"/>
      <c r="F124" s="31">
        <v>38</v>
      </c>
      <c r="G124" s="32">
        <v>6625.0567007999998</v>
      </c>
      <c r="H124" s="31">
        <f t="shared" si="14"/>
        <v>38</v>
      </c>
    </row>
    <row r="125" spans="1:8" ht="15.75">
      <c r="A125" s="27" t="s">
        <v>439</v>
      </c>
      <c r="B125" s="31" t="s">
        <v>186</v>
      </c>
      <c r="C125" s="420">
        <f>Combustion_Chaud1!L86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C129*Combustion_Chaud1!$C$15/D130</f>
        <v>0.17346345372842753</v>
      </c>
      <c r="D130" s="133">
        <f>(Combustion_Chaud1!M77*Combustion_Chaud1!$C$25+Combustion_Chaud1!M78*Combustion_Chaud1!$C$13+Combustion_Chaud1!M79*Combustion_Chaud1!$C$11+Combustion_Chaud1!M80*Combustion_Chaud1!$C$26)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4.25">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1122700</v>
      </c>
      <c r="D138" s="31"/>
      <c r="E138" s="31"/>
      <c r="F138" s="31">
        <v>90</v>
      </c>
      <c r="G138" s="32">
        <v>70095.585023999985</v>
      </c>
      <c r="H138" s="31">
        <f t="shared" si="15"/>
        <v>90</v>
      </c>
    </row>
    <row r="139" spans="1:8">
      <c r="A139" s="31" t="s">
        <v>267</v>
      </c>
      <c r="B139" s="31" t="s">
        <v>433</v>
      </c>
      <c r="C139" s="58" t="str">
        <f>IF(C135,C138/C106,"-")</f>
        <v>-</v>
      </c>
      <c r="D139" s="31"/>
      <c r="E139" s="31"/>
      <c r="F139" s="31">
        <v>91</v>
      </c>
      <c r="G139" s="32">
        <v>72800.696519999983</v>
      </c>
      <c r="H139" s="31">
        <f t="shared" si="15"/>
        <v>91</v>
      </c>
    </row>
    <row r="140" spans="1:8">
      <c r="A140" s="31" t="s">
        <v>248</v>
      </c>
      <c r="B140" s="31" t="s">
        <v>433</v>
      </c>
      <c r="C140" s="58">
        <f>IF(C135,C132-C139,0)</f>
        <v>0</v>
      </c>
      <c r="D140" s="31"/>
      <c r="E140" s="31"/>
      <c r="F140" s="31">
        <v>92</v>
      </c>
      <c r="G140" s="32">
        <v>75592.467575999995</v>
      </c>
      <c r="H140" s="31">
        <f t="shared" si="15"/>
        <v>92</v>
      </c>
    </row>
    <row r="141" spans="1:8">
      <c r="A141" s="31" t="s">
        <v>248</v>
      </c>
      <c r="B141" s="31" t="s">
        <v>186</v>
      </c>
      <c r="C141" s="58">
        <f>IF(C135,C140*C124,0)</f>
        <v>0</v>
      </c>
      <c r="D141" s="31"/>
      <c r="E141" s="31"/>
      <c r="F141" s="31">
        <v>93</v>
      </c>
      <c r="G141" s="32">
        <v>78473.564639999997</v>
      </c>
      <c r="H141" s="31">
        <f t="shared" si="15"/>
        <v>93</v>
      </c>
    </row>
    <row r="142" spans="1:8">
      <c r="A142" s="31" t="s">
        <v>248</v>
      </c>
      <c r="B142" s="31" t="s">
        <v>268</v>
      </c>
      <c r="C142" s="76">
        <f>IF(C135,C141*Combustion_Chaud1!$C$15,0)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432</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41" t="s">
        <v>269</v>
      </c>
      <c r="G194" s="2342"/>
      <c r="H194" s="2343"/>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41" t="s">
        <v>272</v>
      </c>
      <c r="G200" s="2342"/>
      <c r="H200" s="2343"/>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41" t="s">
        <v>431</v>
      </c>
      <c r="G206" s="2342"/>
      <c r="H206" s="2343"/>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41" t="s">
        <v>273</v>
      </c>
      <c r="G212" s="2342"/>
      <c r="H212" s="2343"/>
    </row>
    <row r="213" spans="2:8">
      <c r="B213" s="31"/>
      <c r="C213" s="31"/>
      <c r="D213" s="31"/>
      <c r="E213" s="31"/>
      <c r="F213" s="43" t="s">
        <v>270</v>
      </c>
      <c r="G213" s="45" t="s">
        <v>271</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D71:G71"/>
    <mergeCell ref="L71:N71"/>
    <mergeCell ref="T6:V6"/>
    <mergeCell ref="N6:P6"/>
    <mergeCell ref="Q6:S6"/>
    <mergeCell ref="A70:G70"/>
    <mergeCell ref="F9:I9"/>
    <mergeCell ref="I70:N70"/>
    <mergeCell ref="C7:C8"/>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1">
    <tabColor rgb="FFFFC000"/>
  </sheetPr>
  <dimension ref="A2:X355"/>
  <sheetViews>
    <sheetView workbookViewId="0">
      <selection activeCell="U38" sqref="U38"/>
    </sheetView>
  </sheetViews>
  <sheetFormatPr baseColWidth="10" defaultColWidth="11.42578125" defaultRowHeight="12.75"/>
  <cols>
    <col min="1" max="1" width="22.5703125" style="27" customWidth="1"/>
    <col min="2" max="2" width="11.42578125" style="27"/>
    <col min="3" max="3" width="29.425781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5703125" style="27" customWidth="1"/>
    <col min="16" max="16" width="12.140625" style="27" customWidth="1"/>
    <col min="17" max="18" width="10.5703125" style="27" customWidth="1"/>
    <col min="19" max="19" width="11.5703125" style="27" customWidth="1"/>
    <col min="20" max="22" width="10.5703125" style="27" customWidth="1"/>
    <col min="23" max="16384" width="11.42578125" style="27"/>
  </cols>
  <sheetData>
    <row r="2" spans="1:24">
      <c r="E2" s="28" t="s">
        <v>164</v>
      </c>
      <c r="F2" s="29" t="s">
        <v>19</v>
      </c>
      <c r="G2" s="30">
        <f>1-(G4/(G5+ABS(L27)))</f>
        <v>0.83747950019628004</v>
      </c>
    </row>
    <row r="4" spans="1:24">
      <c r="E4" s="31" t="s">
        <v>165</v>
      </c>
      <c r="F4" s="31" t="s">
        <v>166</v>
      </c>
      <c r="G4" s="373">
        <f>V27</f>
        <v>142744.78646146072</v>
      </c>
      <c r="H4" s="33"/>
    </row>
    <row r="5" spans="1:24">
      <c r="A5" s="34" t="s">
        <v>167</v>
      </c>
      <c r="E5" s="31" t="s">
        <v>168</v>
      </c>
      <c r="F5" s="31" t="s">
        <v>166</v>
      </c>
      <c r="G5" s="373">
        <f>P27+S27</f>
        <v>-4679.9930678642395</v>
      </c>
      <c r="J5" s="2351" t="s">
        <v>509</v>
      </c>
      <c r="K5" s="2352"/>
      <c r="L5" s="2352"/>
      <c r="M5" s="2353"/>
      <c r="N5" s="2344" t="s">
        <v>169</v>
      </c>
      <c r="O5" s="2345"/>
      <c r="P5" s="2345"/>
      <c r="Q5" s="2345"/>
      <c r="R5" s="2345"/>
      <c r="S5" s="2345"/>
      <c r="T5" s="2345"/>
      <c r="U5" s="2345"/>
      <c r="V5" s="2346"/>
    </row>
    <row r="6" spans="1:24">
      <c r="A6" s="418" t="s">
        <v>508</v>
      </c>
      <c r="J6" s="2354" t="s">
        <v>507</v>
      </c>
      <c r="K6" s="2355"/>
      <c r="L6" s="2355"/>
      <c r="M6" s="2356"/>
      <c r="N6" s="2366" t="s">
        <v>506</v>
      </c>
      <c r="O6" s="2367"/>
      <c r="P6" s="2368"/>
      <c r="Q6" s="2366" t="s">
        <v>170</v>
      </c>
      <c r="R6" s="2367"/>
      <c r="S6" s="2368"/>
      <c r="T6" s="2366" t="s">
        <v>223</v>
      </c>
      <c r="U6" s="2367"/>
      <c r="V6" s="2368"/>
    </row>
    <row r="7" spans="1:24" ht="14.25" customHeight="1">
      <c r="C7" s="2373" t="s">
        <v>505</v>
      </c>
      <c r="D7" s="2341" t="s">
        <v>504</v>
      </c>
      <c r="E7" s="2343"/>
      <c r="F7" s="2341" t="s">
        <v>503</v>
      </c>
      <c r="G7" s="2342"/>
      <c r="H7" s="2342"/>
      <c r="I7" s="2342"/>
      <c r="J7" s="36" t="s">
        <v>171</v>
      </c>
      <c r="K7" s="37" t="s">
        <v>172</v>
      </c>
      <c r="L7" s="37" t="s">
        <v>502</v>
      </c>
      <c r="M7" s="2357" t="s">
        <v>501</v>
      </c>
      <c r="N7" s="38" t="s">
        <v>173</v>
      </c>
      <c r="O7" s="39">
        <f>'3c. Calculateur MEÉ 2-3-4'!I40</f>
        <v>0</v>
      </c>
      <c r="P7" s="40"/>
      <c r="Q7" s="41" t="s">
        <v>173</v>
      </c>
      <c r="R7" s="42">
        <f>'3c. Calculateur MEÉ 2-3-4'!I39</f>
        <v>0</v>
      </c>
      <c r="S7" s="40"/>
      <c r="T7" s="41" t="s">
        <v>173</v>
      </c>
      <c r="U7" s="42">
        <f>Hypothèses!$E$53</f>
        <v>185</v>
      </c>
      <c r="V7" s="40"/>
    </row>
    <row r="8" spans="1:24" ht="39.75">
      <c r="C8" s="2374"/>
      <c r="D8" s="417" t="s">
        <v>500</v>
      </c>
      <c r="E8" s="416" t="s">
        <v>499</v>
      </c>
      <c r="F8" s="2349" t="s">
        <v>174</v>
      </c>
      <c r="G8" s="2350"/>
      <c r="H8" s="2350"/>
      <c r="I8" s="2350"/>
      <c r="J8" s="43" t="s">
        <v>175</v>
      </c>
      <c r="K8" s="45" t="s">
        <v>175</v>
      </c>
      <c r="L8" s="45"/>
      <c r="M8" s="2358"/>
      <c r="N8" s="45" t="s">
        <v>176</v>
      </c>
      <c r="O8" s="45" t="s">
        <v>177</v>
      </c>
      <c r="P8" s="44" t="s">
        <v>178</v>
      </c>
      <c r="Q8" s="43" t="s">
        <v>176</v>
      </c>
      <c r="R8" s="45" t="s">
        <v>177</v>
      </c>
      <c r="S8" s="44" t="s">
        <v>178</v>
      </c>
      <c r="T8" s="43" t="s">
        <v>176</v>
      </c>
      <c r="U8" s="45" t="s">
        <v>177</v>
      </c>
      <c r="V8" s="44" t="s">
        <v>178</v>
      </c>
    </row>
    <row r="9" spans="1:24" ht="22.5">
      <c r="B9" s="27" t="s">
        <v>44</v>
      </c>
      <c r="C9" s="365" t="s">
        <v>498</v>
      </c>
      <c r="D9" s="2375" t="s">
        <v>498</v>
      </c>
      <c r="E9" s="2376"/>
      <c r="F9" s="2370" t="s">
        <v>211</v>
      </c>
      <c r="G9" s="2371"/>
      <c r="H9" s="2371"/>
      <c r="I9" s="2372"/>
      <c r="J9" s="43"/>
      <c r="K9" s="45"/>
      <c r="L9" s="45"/>
      <c r="M9" s="415" t="s">
        <v>497</v>
      </c>
      <c r="N9" s="45"/>
      <c r="O9" s="45"/>
      <c r="P9" s="44"/>
      <c r="Q9" s="45"/>
      <c r="R9" s="45"/>
      <c r="S9" s="44"/>
      <c r="T9" s="45"/>
      <c r="U9" s="45"/>
      <c r="V9" s="44"/>
    </row>
    <row r="10" spans="1:24" ht="33.75">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Combustion_Chaud2!C53/100</f>
        <v>0</v>
      </c>
      <c r="O11" s="58">
        <f t="shared" ref="O11:O26" si="3">AVERAGE($F11+$G11/100*O$7+$H11/100000*O$7^2+$I11/1000000000*O$7^3,$F11+$G11/100*$B$28+$H11/100000*$B$28^2+$I11/1000000000*$B$28^3)</f>
        <v>29.189302368703927</v>
      </c>
      <c r="P11" s="60">
        <f>N11*O11*(O$7-$B$28)</f>
        <v>0</v>
      </c>
      <c r="Q11" s="59">
        <f>Combustion_Chaud2!G88</f>
        <v>1.9809999999999999</v>
      </c>
      <c r="R11" s="58">
        <f t="shared" ref="R11:R26" si="4">AVERAGE($F11+$G11/100*R$7+$H11/100000*R$7^2+$I11/1000000000*R$7^3,$F11+$G11/100*$B$28+$H11/100000*$B$28^2+$I11/1000000000*$B$28^3)</f>
        <v>29.189302368703927</v>
      </c>
      <c r="S11" s="400">
        <f>Q11*R11*(R$7-$B$28)</f>
        <v>-899.16332428185854</v>
      </c>
      <c r="T11" s="59">
        <f>Combustion_Chaud2!L79</f>
        <v>0</v>
      </c>
      <c r="U11" s="58">
        <f t="shared" ref="U11:U26" si="5">AVERAGE($F11+$G11/100*U$7+$H11/100000*U$7^2+$I11/1000000000*U$7^3,$F11+$G11/100*$B$28+$H11/100000*$B$28^2+$I11/1000000000*$B$28^3)</f>
        <v>30.160627198891426</v>
      </c>
      <c r="V11" s="400">
        <f>T11*U11*(U$7-$B$28)</f>
        <v>0</v>
      </c>
    </row>
    <row r="12" spans="1:24">
      <c r="A12" s="61" t="s">
        <v>469</v>
      </c>
      <c r="B12" s="27" t="s">
        <v>190</v>
      </c>
      <c r="C12" s="402">
        <v>28.010100000000001</v>
      </c>
      <c r="D12" s="401">
        <v>0</v>
      </c>
      <c r="E12" s="400">
        <v>-282910</v>
      </c>
      <c r="F12" s="59">
        <v>28.95</v>
      </c>
      <c r="G12" s="58">
        <v>0.41099999999999998</v>
      </c>
      <c r="H12" s="58">
        <v>0.3548</v>
      </c>
      <c r="I12" s="58">
        <v>-2.2200000000000002</v>
      </c>
      <c r="J12" s="57">
        <f t="shared" ref="J12:J26" si="6">N12*C12</f>
        <v>0</v>
      </c>
      <c r="K12" s="58">
        <f t="shared" si="0"/>
        <v>0</v>
      </c>
      <c r="L12" s="373">
        <f t="shared" si="1"/>
        <v>0</v>
      </c>
      <c r="M12" s="397">
        <f t="shared" si="2"/>
        <v>0</v>
      </c>
      <c r="N12" s="59">
        <f>Combustion_Chaud2!C54/100</f>
        <v>0</v>
      </c>
      <c r="O12" s="58">
        <f t="shared" si="3"/>
        <v>28.982380034002947</v>
      </c>
      <c r="P12" s="60">
        <f>N12*O12*(O$7-$B$28)</f>
        <v>0</v>
      </c>
      <c r="Q12" s="403"/>
      <c r="R12" s="58">
        <f t="shared" si="4"/>
        <v>28.982380034002947</v>
      </c>
      <c r="S12" s="400">
        <f>Q12*R12*(R$7-$B$28)</f>
        <v>0</v>
      </c>
      <c r="T12" s="403"/>
      <c r="U12" s="58">
        <f t="shared" si="5"/>
        <v>29.416242080252946</v>
      </c>
      <c r="V12" s="400">
        <f>T12*U12*(U$7-$B$28)</f>
        <v>0</v>
      </c>
    </row>
    <row r="13" spans="1:24" ht="15.75">
      <c r="A13" s="61" t="s">
        <v>454</v>
      </c>
      <c r="B13" s="27" t="s">
        <v>191</v>
      </c>
      <c r="C13" s="402">
        <v>44.009500000000003</v>
      </c>
      <c r="D13" s="401">
        <v>0</v>
      </c>
      <c r="E13" s="400">
        <v>0</v>
      </c>
      <c r="F13" s="59">
        <v>36.11</v>
      </c>
      <c r="G13" s="58">
        <v>4.2329999999999997</v>
      </c>
      <c r="H13" s="58">
        <v>-2.887</v>
      </c>
      <c r="I13" s="58">
        <v>7.4640000000000004</v>
      </c>
      <c r="J13" s="57">
        <f t="shared" si="6"/>
        <v>0.28166080000000004</v>
      </c>
      <c r="K13" s="58">
        <f t="shared" si="0"/>
        <v>1.1916985502539782E-2</v>
      </c>
      <c r="L13" s="373">
        <f t="shared" si="1"/>
        <v>0</v>
      </c>
      <c r="M13" s="397">
        <f t="shared" si="2"/>
        <v>0</v>
      </c>
      <c r="N13" s="59">
        <f>Combustion_Chaud2!C55/100</f>
        <v>6.4000000000000003E-3</v>
      </c>
      <c r="O13" s="58">
        <f t="shared" si="3"/>
        <v>36.435639363340258</v>
      </c>
      <c r="P13" s="60">
        <f>N13*O13*(O$7-$B$28)</f>
        <v>-3.6260748294396228</v>
      </c>
      <c r="Q13" s="403"/>
      <c r="R13" s="58">
        <f t="shared" si="4"/>
        <v>36.435639363340258</v>
      </c>
      <c r="S13" s="400">
        <f>Q13*R13*(R$7-$B$28)</f>
        <v>0</v>
      </c>
      <c r="T13" s="59">
        <f>Combustion_Chaud2!L78</f>
        <v>1.0020999999999998</v>
      </c>
      <c r="U13" s="58">
        <f t="shared" si="5"/>
        <v>39.88075611284026</v>
      </c>
      <c r="V13" s="400">
        <f>T13*U13*(U$7-$B$28)</f>
        <v>6771.9854909797532</v>
      </c>
    </row>
    <row r="14" spans="1:24" ht="15.75">
      <c r="A14" s="61" t="s">
        <v>192</v>
      </c>
      <c r="B14" s="27" t="s">
        <v>193</v>
      </c>
      <c r="C14" s="402">
        <v>2.0158800000000001</v>
      </c>
      <c r="D14" s="401">
        <v>2</v>
      </c>
      <c r="E14" s="400">
        <v>-286130</v>
      </c>
      <c r="F14" s="59">
        <v>28.84</v>
      </c>
      <c r="G14" s="58">
        <v>7.6499999999999997E-3</v>
      </c>
      <c r="H14" s="58">
        <v>0.32879999999999998</v>
      </c>
      <c r="I14" s="58">
        <v>-0.86980000000000002</v>
      </c>
      <c r="J14" s="57">
        <f t="shared" si="6"/>
        <v>0</v>
      </c>
      <c r="K14" s="58">
        <f t="shared" si="0"/>
        <v>0</v>
      </c>
      <c r="L14" s="373">
        <f t="shared" si="1"/>
        <v>0</v>
      </c>
      <c r="M14" s="397">
        <f t="shared" si="2"/>
        <v>0</v>
      </c>
      <c r="N14" s="59">
        <f>Combustion_Chaud2!C56/100</f>
        <v>0</v>
      </c>
      <c r="O14" s="58">
        <f t="shared" si="3"/>
        <v>28.840990675573444</v>
      </c>
      <c r="P14" s="60">
        <f>N14*O14*(O$7-$B$28)</f>
        <v>0</v>
      </c>
      <c r="Q14" s="403"/>
      <c r="R14" s="58">
        <f t="shared" si="4"/>
        <v>28.840990675573444</v>
      </c>
      <c r="S14" s="400">
        <f>Q14*R14*(R$7-$B$28)</f>
        <v>0</v>
      </c>
      <c r="T14" s="403"/>
      <c r="U14" s="58">
        <f t="shared" si="5"/>
        <v>28.90157920186094</v>
      </c>
      <c r="V14" s="400">
        <f>T14*U14*(U$7-$B$28)</f>
        <v>0</v>
      </c>
    </row>
    <row r="15" spans="1:24" ht="15.75">
      <c r="A15" s="61" t="s">
        <v>194</v>
      </c>
      <c r="B15" s="27" t="s">
        <v>468</v>
      </c>
      <c r="C15" s="402">
        <v>18.015280000000001</v>
      </c>
      <c r="D15" s="401">
        <v>2</v>
      </c>
      <c r="E15" s="400">
        <v>0</v>
      </c>
      <c r="F15" s="59">
        <v>33.46</v>
      </c>
      <c r="G15" s="58">
        <v>0.68799999999999994</v>
      </c>
      <c r="H15" s="58">
        <v>0.76039999999999996</v>
      </c>
      <c r="I15" s="58">
        <v>-3.593</v>
      </c>
      <c r="J15" s="57">
        <f t="shared" si="6"/>
        <v>0</v>
      </c>
      <c r="K15" s="58">
        <f t="shared" si="0"/>
        <v>0</v>
      </c>
      <c r="L15" s="373">
        <f t="shared" si="1"/>
        <v>0</v>
      </c>
      <c r="M15" s="397">
        <f t="shared" si="2"/>
        <v>0</v>
      </c>
      <c r="N15" s="59">
        <f>Combustion_Chaud2!C57/100</f>
        <v>0</v>
      </c>
      <c r="O15" s="58">
        <f t="shared" si="3"/>
        <v>33.514404578213124</v>
      </c>
      <c r="P15" s="60">
        <f>N15*(W15+O15*(O$7-$B$28))</f>
        <v>0</v>
      </c>
      <c r="Q15" s="59">
        <f>Combustion_Chaud2!G89</f>
        <v>2.8419786239875467E-3</v>
      </c>
      <c r="R15" s="58">
        <f t="shared" si="4"/>
        <v>33.514404578213124</v>
      </c>
      <c r="S15" s="400">
        <f>Q15*(W15+R15*(R$7-$B$28))</f>
        <v>124.72549244116087</v>
      </c>
      <c r="T15" s="59">
        <f>Combustion_Chaud2!L81-T16</f>
        <v>1.9734419786239874</v>
      </c>
      <c r="U15" s="58">
        <f t="shared" si="5"/>
        <v>34.269553263900619</v>
      </c>
      <c r="V15" s="404">
        <f>((T15-G89)*$W$15)+(T15*U15*(U$7-$B$28))</f>
        <v>98970.134613694434</v>
      </c>
      <c r="W15" s="375">
        <v>44408</v>
      </c>
      <c r="X15" s="27" t="s">
        <v>195</v>
      </c>
    </row>
    <row r="16" spans="1:24" ht="15.75">
      <c r="A16" s="61" t="s">
        <v>196</v>
      </c>
      <c r="B16" s="27" t="s">
        <v>494</v>
      </c>
      <c r="C16" s="402">
        <f>C15</f>
        <v>18.015280000000001</v>
      </c>
      <c r="D16" s="401">
        <v>2</v>
      </c>
      <c r="E16" s="400">
        <v>0</v>
      </c>
      <c r="F16" s="59">
        <v>75.400000000000006</v>
      </c>
      <c r="G16" s="58">
        <v>0</v>
      </c>
      <c r="H16" s="58">
        <v>0</v>
      </c>
      <c r="I16" s="58">
        <v>0</v>
      </c>
      <c r="J16" s="57">
        <f t="shared" si="6"/>
        <v>0</v>
      </c>
      <c r="K16" s="58">
        <f t="shared" si="0"/>
        <v>0</v>
      </c>
      <c r="L16" s="373">
        <f t="shared" si="1"/>
        <v>0</v>
      </c>
      <c r="M16" s="397">
        <f t="shared" si="2"/>
        <v>0</v>
      </c>
      <c r="N16" s="59">
        <v>0</v>
      </c>
      <c r="O16" s="58">
        <f t="shared" si="3"/>
        <v>75.400000000000006</v>
      </c>
      <c r="P16" s="60">
        <f t="shared" ref="P16:P26" si="7">N16*O16*(O$7-$B$28)</f>
        <v>0</v>
      </c>
      <c r="Q16" s="403"/>
      <c r="R16" s="58">
        <f t="shared" si="4"/>
        <v>75.400000000000006</v>
      </c>
      <c r="S16" s="400">
        <f t="shared" ref="S16:S26" si="8">Q16*R16*(R$7-$B$28)</f>
        <v>0</v>
      </c>
      <c r="T16" s="59">
        <f>Combustion_Chaud2!L92</f>
        <v>0</v>
      </c>
      <c r="U16" s="58">
        <f t="shared" si="5"/>
        <v>75.400000000000006</v>
      </c>
      <c r="V16" s="404">
        <f t="shared" ref="V16:V26" si="9">T16*U16*(U$7-$B$28)</f>
        <v>0</v>
      </c>
    </row>
    <row r="17" spans="1:22" ht="15.75">
      <c r="A17" s="61" t="s">
        <v>197</v>
      </c>
      <c r="B17" s="27" t="s">
        <v>198</v>
      </c>
      <c r="C17" s="402">
        <v>16.042459999999998</v>
      </c>
      <c r="D17" s="401">
        <v>4</v>
      </c>
      <c r="E17" s="400">
        <v>-891460</v>
      </c>
      <c r="F17" s="59">
        <v>34.31</v>
      </c>
      <c r="G17" s="58">
        <v>5.4690000000000003</v>
      </c>
      <c r="H17" s="58">
        <v>0.36609999999999998</v>
      </c>
      <c r="I17" s="58">
        <v>-11</v>
      </c>
      <c r="J17" s="57">
        <f t="shared" si="6"/>
        <v>15.347821481999999</v>
      </c>
      <c r="K17" s="58">
        <f t="shared" si="0"/>
        <v>0.6493618071686319</v>
      </c>
      <c r="L17" s="373">
        <f t="shared" si="1"/>
        <v>-852859.78200000001</v>
      </c>
      <c r="M17" s="397">
        <f t="shared" si="2"/>
        <v>84970.267200000002</v>
      </c>
      <c r="N17" s="59">
        <f>Combustion_Chaud2!C58/100</f>
        <v>0.95669999999999999</v>
      </c>
      <c r="O17" s="58">
        <f t="shared" si="3"/>
        <v>34.735636689317438</v>
      </c>
      <c r="P17" s="60">
        <f t="shared" si="7"/>
        <v>-516.75112530141848</v>
      </c>
      <c r="Q17" s="403"/>
      <c r="R17" s="58">
        <f t="shared" si="4"/>
        <v>34.735636689317438</v>
      </c>
      <c r="S17" s="400">
        <f t="shared" si="8"/>
        <v>0</v>
      </c>
      <c r="T17" s="403"/>
      <c r="U17" s="58">
        <f t="shared" si="5"/>
        <v>39.822286614317434</v>
      </c>
      <c r="V17" s="400">
        <f t="shared" si="9"/>
        <v>0</v>
      </c>
    </row>
    <row r="18" spans="1:22" ht="15.75">
      <c r="A18" s="61" t="s">
        <v>199</v>
      </c>
      <c r="B18" s="27" t="s">
        <v>467</v>
      </c>
      <c r="C18" s="402">
        <v>30.09562</v>
      </c>
      <c r="D18" s="401">
        <v>6</v>
      </c>
      <c r="E18" s="400">
        <v>-1562060</v>
      </c>
      <c r="F18" s="59">
        <v>49.37</v>
      </c>
      <c r="G18" s="58">
        <v>13.92</v>
      </c>
      <c r="H18" s="58">
        <v>-5.8159999999999998</v>
      </c>
      <c r="I18" s="58">
        <v>7.28</v>
      </c>
      <c r="J18" s="57">
        <f t="shared" si="6"/>
        <v>0.4875490440000001</v>
      </c>
      <c r="K18" s="58">
        <f t="shared" si="0"/>
        <v>2.0628056474756629E-2</v>
      </c>
      <c r="L18" s="373">
        <f t="shared" si="1"/>
        <v>-25305.372000000003</v>
      </c>
      <c r="M18" s="397">
        <f t="shared" si="2"/>
        <v>2158.2288000000003</v>
      </c>
      <c r="N18" s="59">
        <f>Combustion_Chaud2!C59/100</f>
        <v>1.6200000000000003E-2</v>
      </c>
      <c r="O18" s="58">
        <f t="shared" si="3"/>
        <v>50.445262069805104</v>
      </c>
      <c r="P18" s="60">
        <f t="shared" si="7"/>
        <v>-12.707665968004607</v>
      </c>
      <c r="Q18" s="403"/>
      <c r="R18" s="58">
        <f t="shared" si="4"/>
        <v>50.445262069805104</v>
      </c>
      <c r="S18" s="400">
        <f t="shared" si="8"/>
        <v>0</v>
      </c>
      <c r="T18" s="403"/>
      <c r="U18" s="58">
        <f t="shared" si="5"/>
        <v>62.349046184805104</v>
      </c>
      <c r="V18" s="400">
        <f t="shared" si="9"/>
        <v>0</v>
      </c>
    </row>
    <row r="19" spans="1:22" ht="15.75">
      <c r="A19" s="61" t="s">
        <v>200</v>
      </c>
      <c r="B19" s="27" t="s">
        <v>466</v>
      </c>
      <c r="C19" s="402">
        <v>44.095619999999997</v>
      </c>
      <c r="D19" s="401">
        <v>8</v>
      </c>
      <c r="E19" s="400">
        <v>-2220990</v>
      </c>
      <c r="F19" s="59">
        <v>68.031999999999996</v>
      </c>
      <c r="G19" s="58">
        <v>22.59</v>
      </c>
      <c r="H19" s="58">
        <v>-13.11</v>
      </c>
      <c r="I19" s="58">
        <v>31.71</v>
      </c>
      <c r="J19" s="57">
        <f t="shared" si="6"/>
        <v>6.1733868000000004E-2</v>
      </c>
      <c r="K19" s="58">
        <f t="shared" si="0"/>
        <v>2.611941775254862E-3</v>
      </c>
      <c r="L19" s="373">
        <f t="shared" si="1"/>
        <v>-3109.3860000000004</v>
      </c>
      <c r="M19" s="397">
        <f t="shared" si="2"/>
        <v>248.68480000000002</v>
      </c>
      <c r="N19" s="59">
        <f>Combustion_Chaud2!C60/100</f>
        <v>1.4000000000000002E-3</v>
      </c>
      <c r="O19" s="58">
        <f t="shared" si="3"/>
        <v>69.772581961382798</v>
      </c>
      <c r="P19" s="60">
        <f t="shared" si="7"/>
        <v>-1.5189491092993039</v>
      </c>
      <c r="Q19" s="403"/>
      <c r="R19" s="58">
        <f t="shared" si="4"/>
        <v>69.772581961382798</v>
      </c>
      <c r="S19" s="400">
        <f t="shared" si="8"/>
        <v>0</v>
      </c>
      <c r="T19" s="403"/>
      <c r="U19" s="58">
        <f t="shared" si="5"/>
        <v>88.525271125757797</v>
      </c>
      <c r="V19" s="400">
        <f t="shared" si="9"/>
        <v>0</v>
      </c>
    </row>
    <row r="20" spans="1:22" ht="15.75">
      <c r="A20" s="61" t="s">
        <v>493</v>
      </c>
      <c r="B20" s="27" t="s">
        <v>492</v>
      </c>
      <c r="C20" s="402">
        <v>58.122199999999999</v>
      </c>
      <c r="D20" s="401">
        <v>10</v>
      </c>
      <c r="E20" s="404">
        <v>-2870450</v>
      </c>
      <c r="F20" s="59">
        <v>89.46</v>
      </c>
      <c r="G20" s="58">
        <v>30.13</v>
      </c>
      <c r="H20" s="58">
        <v>-18.91</v>
      </c>
      <c r="I20" s="58">
        <v>49.87</v>
      </c>
      <c r="J20" s="57">
        <f t="shared" si="6"/>
        <v>2.324888E-2</v>
      </c>
      <c r="K20" s="58">
        <f t="shared" si="0"/>
        <v>9.8365326630573758E-4</v>
      </c>
      <c r="L20" s="373">
        <f t="shared" si="1"/>
        <v>-1148.18</v>
      </c>
      <c r="M20" s="397">
        <f t="shared" si="2"/>
        <v>88.816000000000003</v>
      </c>
      <c r="N20" s="59">
        <f>Combustion_Chaud2!C61/100</f>
        <v>4.0000000000000002E-4</v>
      </c>
      <c r="O20" s="58">
        <f t="shared" si="3"/>
        <v>91.779838829944993</v>
      </c>
      <c r="P20" s="60">
        <f t="shared" si="7"/>
        <v>-0.57087059752225788</v>
      </c>
      <c r="Q20" s="403"/>
      <c r="R20" s="58">
        <f t="shared" si="4"/>
        <v>91.779838829944993</v>
      </c>
      <c r="S20" s="400">
        <f t="shared" si="8"/>
        <v>0</v>
      </c>
      <c r="T20" s="403"/>
      <c r="U20" s="58">
        <f t="shared" si="5"/>
        <v>116.57199414932001</v>
      </c>
      <c r="V20" s="400">
        <f t="shared" si="9"/>
        <v>0</v>
      </c>
    </row>
    <row r="21" spans="1:22" ht="15.75">
      <c r="A21" s="61" t="s">
        <v>201</v>
      </c>
      <c r="B21" s="27" t="s">
        <v>491</v>
      </c>
      <c r="C21" s="402">
        <f>C20</f>
        <v>58.122199999999999</v>
      </c>
      <c r="D21" s="401">
        <v>10</v>
      </c>
      <c r="E21" s="407">
        <v>-2879630</v>
      </c>
      <c r="F21" s="59">
        <v>92.3</v>
      </c>
      <c r="G21" s="58">
        <v>27.88</v>
      </c>
      <c r="H21" s="58">
        <v>-15.47</v>
      </c>
      <c r="I21" s="58">
        <v>34.979999999999997</v>
      </c>
      <c r="J21" s="57">
        <f t="shared" si="6"/>
        <v>1.162444E-2</v>
      </c>
      <c r="K21" s="58">
        <f t="shared" si="0"/>
        <v>4.9182663315286879E-4</v>
      </c>
      <c r="L21" s="373">
        <f t="shared" si="1"/>
        <v>-575.92600000000004</v>
      </c>
      <c r="M21" s="397">
        <f t="shared" si="2"/>
        <v>44.408000000000001</v>
      </c>
      <c r="N21" s="59">
        <f>Combustion_Chaud2!C62/100</f>
        <v>2.0000000000000001E-4</v>
      </c>
      <c r="O21" s="58">
        <f t="shared" si="3"/>
        <v>94.449032339530021</v>
      </c>
      <c r="P21" s="60">
        <f t="shared" si="7"/>
        <v>-0.29373649057593837</v>
      </c>
      <c r="Q21" s="403"/>
      <c r="R21" s="58">
        <f t="shared" si="4"/>
        <v>94.449032339530021</v>
      </c>
      <c r="S21" s="400">
        <f t="shared" si="8"/>
        <v>0</v>
      </c>
      <c r="T21" s="403"/>
      <c r="U21" s="58">
        <f t="shared" si="5"/>
        <v>117.70146871078001</v>
      </c>
      <c r="V21" s="400">
        <f t="shared" si="9"/>
        <v>0</v>
      </c>
    </row>
    <row r="22" spans="1:22"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6"/>
        <v>0</v>
      </c>
      <c r="K22" s="58">
        <f t="shared" si="0"/>
        <v>0</v>
      </c>
      <c r="L22" s="373">
        <f t="shared" si="1"/>
        <v>0</v>
      </c>
      <c r="M22" s="397">
        <f t="shared" si="2"/>
        <v>0</v>
      </c>
      <c r="N22" s="59">
        <f>Combustion_Chaud2!C63/100</f>
        <v>0</v>
      </c>
      <c r="O22" s="58">
        <f t="shared" si="3"/>
        <v>117.42761780203513</v>
      </c>
      <c r="P22" s="60">
        <f t="shared" si="7"/>
        <v>0</v>
      </c>
      <c r="Q22" s="403"/>
      <c r="R22" s="58">
        <f t="shared" si="4"/>
        <v>117.42761780203513</v>
      </c>
      <c r="S22" s="400">
        <f t="shared" si="8"/>
        <v>0</v>
      </c>
      <c r="T22" s="403"/>
      <c r="U22" s="58">
        <f t="shared" si="5"/>
        <v>145.84499128828514</v>
      </c>
      <c r="V22" s="400">
        <f t="shared" si="9"/>
        <v>0</v>
      </c>
    </row>
    <row r="23" spans="1:22" ht="15.75">
      <c r="A23" s="61" t="s">
        <v>461</v>
      </c>
      <c r="B23" s="27" t="s">
        <v>460</v>
      </c>
      <c r="C23" s="402">
        <f>C22</f>
        <v>72.148780000000002</v>
      </c>
      <c r="D23" s="401">
        <v>12</v>
      </c>
      <c r="E23" s="404">
        <v>-3538450</v>
      </c>
      <c r="F23" s="59">
        <v>114.8</v>
      </c>
      <c r="G23" s="58">
        <v>34.090000000000003</v>
      </c>
      <c r="H23" s="58">
        <v>-18.989999999999998</v>
      </c>
      <c r="I23" s="58">
        <v>42.26</v>
      </c>
      <c r="J23" s="57">
        <f t="shared" si="6"/>
        <v>0</v>
      </c>
      <c r="K23" s="58">
        <f t="shared" si="0"/>
        <v>0</v>
      </c>
      <c r="L23" s="373">
        <f t="shared" si="1"/>
        <v>0</v>
      </c>
      <c r="M23" s="397">
        <f t="shared" si="2"/>
        <v>0</v>
      </c>
      <c r="N23" s="59">
        <f>Combustion_Chaud2!C64/100</f>
        <v>0</v>
      </c>
      <c r="O23" s="58">
        <f t="shared" si="3"/>
        <v>117.42761780203513</v>
      </c>
      <c r="P23" s="60">
        <f t="shared" si="7"/>
        <v>0</v>
      </c>
      <c r="Q23" s="403"/>
      <c r="R23" s="58">
        <f t="shared" si="4"/>
        <v>117.42761780203513</v>
      </c>
      <c r="S23" s="400">
        <f t="shared" si="8"/>
        <v>0</v>
      </c>
      <c r="T23" s="403"/>
      <c r="U23" s="58">
        <f t="shared" si="5"/>
        <v>145.84499128828514</v>
      </c>
      <c r="V23" s="400">
        <f t="shared" si="9"/>
        <v>0</v>
      </c>
    </row>
    <row r="24" spans="1:22" ht="15.75">
      <c r="A24" s="61" t="s">
        <v>459</v>
      </c>
      <c r="B24" s="27" t="s">
        <v>458</v>
      </c>
      <c r="C24" s="402">
        <v>86.175359999999998</v>
      </c>
      <c r="D24" s="401">
        <v>14</v>
      </c>
      <c r="E24" s="400">
        <v>-4198060</v>
      </c>
      <c r="F24" s="59">
        <v>137.44</v>
      </c>
      <c r="G24" s="58">
        <v>40.85</v>
      </c>
      <c r="H24" s="58">
        <v>-23.92</v>
      </c>
      <c r="I24" s="58">
        <v>57.66</v>
      </c>
      <c r="J24" s="57">
        <f t="shared" si="6"/>
        <v>0</v>
      </c>
      <c r="K24" s="58">
        <f t="shared" si="0"/>
        <v>0</v>
      </c>
      <c r="L24" s="373">
        <f t="shared" si="1"/>
        <v>0</v>
      </c>
      <c r="M24" s="397">
        <f t="shared" si="2"/>
        <v>0</v>
      </c>
      <c r="N24" s="59">
        <f>Combustion_Chaud2!C65/100</f>
        <v>0</v>
      </c>
      <c r="O24" s="58">
        <f t="shared" si="3"/>
        <v>140.58727632263245</v>
      </c>
      <c r="P24" s="60">
        <f t="shared" si="7"/>
        <v>0</v>
      </c>
      <c r="Q24" s="403"/>
      <c r="R24" s="58">
        <f t="shared" si="4"/>
        <v>140.58727632263245</v>
      </c>
      <c r="S24" s="400">
        <f t="shared" si="8"/>
        <v>0</v>
      </c>
      <c r="T24" s="403"/>
      <c r="U24" s="58">
        <f t="shared" si="5"/>
        <v>174.46275707138244</v>
      </c>
      <c r="V24" s="400">
        <f t="shared" si="9"/>
        <v>0</v>
      </c>
    </row>
    <row r="25" spans="1:22" ht="15.75">
      <c r="A25" s="61" t="s">
        <v>202</v>
      </c>
      <c r="B25" s="27" t="s">
        <v>203</v>
      </c>
      <c r="C25" s="402">
        <v>28.013400000000001</v>
      </c>
      <c r="D25" s="401">
        <v>0</v>
      </c>
      <c r="E25" s="400">
        <v>0</v>
      </c>
      <c r="F25" s="59">
        <v>29</v>
      </c>
      <c r="G25" s="58">
        <v>0.21990000000000001</v>
      </c>
      <c r="H25" s="58">
        <v>0.57230000000000003</v>
      </c>
      <c r="I25" s="58">
        <v>-2.871</v>
      </c>
      <c r="J25" s="57">
        <f t="shared" si="6"/>
        <v>0.51544656</v>
      </c>
      <c r="K25" s="58">
        <f t="shared" si="0"/>
        <v>2.1808392161259224E-2</v>
      </c>
      <c r="L25" s="373">
        <f t="shared" si="1"/>
        <v>0</v>
      </c>
      <c r="M25" s="397">
        <f t="shared" si="2"/>
        <v>0</v>
      </c>
      <c r="N25" s="59">
        <f>Combustion_Chaud2!C66/100</f>
        <v>1.84E-2</v>
      </c>
      <c r="O25" s="58">
        <f t="shared" si="3"/>
        <v>29.017783745332302</v>
      </c>
      <c r="P25" s="60">
        <f t="shared" si="7"/>
        <v>-8.3025682852144786</v>
      </c>
      <c r="Q25" s="59">
        <f>Combustion_Chaud2!G87</f>
        <v>7.4501097253831423</v>
      </c>
      <c r="R25" s="58">
        <f t="shared" si="4"/>
        <v>29.017783745332302</v>
      </c>
      <c r="S25" s="400">
        <f t="shared" si="8"/>
        <v>-3361.6872134420669</v>
      </c>
      <c r="T25" s="59">
        <f>Combustion_Chaud2!L77</f>
        <v>7.4501097253831423</v>
      </c>
      <c r="U25" s="58">
        <f t="shared" si="5"/>
        <v>29.310037035144802</v>
      </c>
      <c r="V25" s="400">
        <f t="shared" si="9"/>
        <v>37001.608988786524</v>
      </c>
    </row>
    <row r="26" spans="1:22">
      <c r="A26" s="63" t="s">
        <v>204</v>
      </c>
      <c r="B26" s="64" t="s">
        <v>205</v>
      </c>
      <c r="C26" s="399">
        <v>4.0026020000000004</v>
      </c>
      <c r="D26" s="398">
        <v>0</v>
      </c>
      <c r="E26" s="393">
        <v>0</v>
      </c>
      <c r="F26" s="67">
        <v>20.8</v>
      </c>
      <c r="G26" s="68">
        <v>0</v>
      </c>
      <c r="H26" s="68">
        <v>0</v>
      </c>
      <c r="I26" s="68">
        <v>0</v>
      </c>
      <c r="J26" s="69">
        <f t="shared" si="6"/>
        <v>1.2007806E-3</v>
      </c>
      <c r="K26" s="68">
        <f t="shared" si="0"/>
        <v>5.0804673571654341E-5</v>
      </c>
      <c r="L26" s="370">
        <f t="shared" si="1"/>
        <v>0</v>
      </c>
      <c r="M26" s="397">
        <f t="shared" si="2"/>
        <v>0</v>
      </c>
      <c r="N26" s="67">
        <f>Combustion_Chaud2!C67/100</f>
        <v>2.9999999999999997E-4</v>
      </c>
      <c r="O26" s="68">
        <f t="shared" si="3"/>
        <v>20.8</v>
      </c>
      <c r="P26" s="396">
        <f t="shared" si="7"/>
        <v>-9.7032000000000007E-2</v>
      </c>
      <c r="Q26" s="395"/>
      <c r="R26" s="68">
        <f t="shared" si="4"/>
        <v>20.8</v>
      </c>
      <c r="S26" s="393">
        <f t="shared" si="8"/>
        <v>0</v>
      </c>
      <c r="T26" s="394">
        <f>L80</f>
        <v>2.9999999999999997E-4</v>
      </c>
      <c r="U26" s="68">
        <f t="shared" si="5"/>
        <v>20.8</v>
      </c>
      <c r="V26" s="393">
        <f t="shared" si="9"/>
        <v>1.0573679999999999</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359" t="s">
        <v>485</v>
      </c>
      <c r="K29" s="2360"/>
      <c r="L29" s="2361"/>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4.25">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4.25">
      <c r="A35" s="372" t="s">
        <v>478</v>
      </c>
      <c r="F35" s="32"/>
      <c r="I35" s="32"/>
      <c r="J35" s="374">
        <f>(J33*1000)/1.055056*0.02831685</f>
        <v>903.32326488654292</v>
      </c>
      <c r="K35" s="373">
        <f>(K33*1000)/1.055056*0.02831685</f>
        <v>1002.696430297802</v>
      </c>
      <c r="L35" s="75" t="s">
        <v>477</v>
      </c>
      <c r="M35" s="27" t="s">
        <v>473</v>
      </c>
    </row>
    <row r="36" spans="1:13" ht="15.75">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5" thickBot="1">
      <c r="B45" s="31"/>
      <c r="G45" s="76"/>
      <c r="H45" s="84"/>
    </row>
    <row r="46" spans="1:13">
      <c r="A46" s="2347" t="s">
        <v>472</v>
      </c>
      <c r="B46" s="2348"/>
      <c r="C46" s="2348"/>
      <c r="D46" s="2348"/>
      <c r="E46" s="2348"/>
      <c r="F46" s="2348"/>
      <c r="G46" s="2348"/>
      <c r="H46" s="2348"/>
      <c r="I46" s="2348"/>
      <c r="J46" s="368"/>
    </row>
    <row r="47" spans="1:13">
      <c r="A47" s="85"/>
      <c r="B47" s="45"/>
      <c r="C47" s="45"/>
      <c r="D47" s="45"/>
      <c r="E47" s="45"/>
      <c r="J47" s="366"/>
    </row>
    <row r="48" spans="1:13">
      <c r="A48" s="87"/>
      <c r="B48" s="32"/>
      <c r="C48" s="35" t="s">
        <v>215</v>
      </c>
      <c r="D48" s="2341" t="s">
        <v>471</v>
      </c>
      <c r="E48" s="2342"/>
      <c r="F48" s="2342"/>
      <c r="G48" s="2342"/>
      <c r="H48" s="2343"/>
      <c r="I48" s="367" t="s">
        <v>457</v>
      </c>
      <c r="J48" s="366"/>
    </row>
    <row r="49" spans="1:9" ht="14.25">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188</v>
      </c>
      <c r="B53" s="27" t="s">
        <v>189</v>
      </c>
      <c r="C53" s="425">
        <v>0</v>
      </c>
      <c r="D53" s="98"/>
      <c r="E53" s="98"/>
      <c r="F53" s="98"/>
      <c r="G53" s="98"/>
      <c r="H53" s="58">
        <f t="shared" ref="H53:H67" si="11">SUM(D53:G53)</f>
        <v>0</v>
      </c>
      <c r="I53" s="99">
        <f>-C53/100</f>
        <v>0</v>
      </c>
    </row>
    <row r="54" spans="1:9">
      <c r="A54" s="87" t="s">
        <v>469</v>
      </c>
      <c r="B54" s="27" t="s">
        <v>190</v>
      </c>
      <c r="C54" s="425">
        <v>0</v>
      </c>
      <c r="D54" s="98">
        <f>C54/100</f>
        <v>0</v>
      </c>
      <c r="E54" s="98"/>
      <c r="F54" s="98"/>
      <c r="G54" s="98"/>
      <c r="H54" s="58">
        <f t="shared" si="11"/>
        <v>0</v>
      </c>
      <c r="I54" s="364">
        <f>D54+E54/2</f>
        <v>0</v>
      </c>
    </row>
    <row r="55" spans="1:9" ht="15.75">
      <c r="A55" s="87" t="s">
        <v>454</v>
      </c>
      <c r="B55" s="27" t="s">
        <v>191</v>
      </c>
      <c r="C55" s="425">
        <v>0.64</v>
      </c>
      <c r="D55" s="98">
        <f>C55/100</f>
        <v>6.4000000000000003E-3</v>
      </c>
      <c r="E55" s="98"/>
      <c r="F55" s="98"/>
      <c r="G55" s="98"/>
      <c r="H55" s="58">
        <f t="shared" si="11"/>
        <v>6.4000000000000003E-3</v>
      </c>
      <c r="I55" s="99">
        <v>0</v>
      </c>
    </row>
    <row r="56" spans="1:9" ht="15.75">
      <c r="A56" s="87" t="s">
        <v>192</v>
      </c>
      <c r="B56" s="27" t="s">
        <v>193</v>
      </c>
      <c r="C56" s="425">
        <v>0</v>
      </c>
      <c r="D56" s="98"/>
      <c r="E56" s="98">
        <f>C56/100</f>
        <v>0</v>
      </c>
      <c r="F56" s="98"/>
      <c r="G56" s="98"/>
      <c r="H56" s="58">
        <f t="shared" si="11"/>
        <v>0</v>
      </c>
      <c r="I56" s="99">
        <f>D56+E56/2</f>
        <v>0</v>
      </c>
    </row>
    <row r="57" spans="1:9" ht="15.75">
      <c r="A57" s="87" t="s">
        <v>194</v>
      </c>
      <c r="B57" s="27" t="s">
        <v>468</v>
      </c>
      <c r="C57" s="425">
        <v>0</v>
      </c>
      <c r="D57" s="98"/>
      <c r="E57" s="98">
        <f>C57/100</f>
        <v>0</v>
      </c>
      <c r="F57" s="98"/>
      <c r="G57" s="98"/>
      <c r="H57" s="58">
        <f t="shared" si="11"/>
        <v>0</v>
      </c>
      <c r="I57" s="364">
        <v>0</v>
      </c>
    </row>
    <row r="58" spans="1:9" ht="15.75">
      <c r="A58" s="87" t="s">
        <v>197</v>
      </c>
      <c r="B58" s="27" t="s">
        <v>198</v>
      </c>
      <c r="C58" s="425">
        <v>95.67</v>
      </c>
      <c r="D58" s="98">
        <f>C58/100</f>
        <v>0.95669999999999999</v>
      </c>
      <c r="E58" s="98">
        <f>C58/100*2</f>
        <v>1.9134</v>
      </c>
      <c r="F58" s="98"/>
      <c r="G58" s="98"/>
      <c r="H58" s="58">
        <f t="shared" si="11"/>
        <v>2.8700999999999999</v>
      </c>
      <c r="I58" s="99">
        <f t="shared" ref="I58:I65" si="12">D58+E58/2</f>
        <v>1.9134</v>
      </c>
    </row>
    <row r="59" spans="1:9" ht="15.75">
      <c r="A59" s="87" t="s">
        <v>199</v>
      </c>
      <c r="B59" s="27" t="s">
        <v>467</v>
      </c>
      <c r="C59" s="425">
        <v>1.62</v>
      </c>
      <c r="D59" s="98">
        <f>C59*2/100</f>
        <v>3.2400000000000005E-2</v>
      </c>
      <c r="E59" s="98">
        <f>C59/100*3</f>
        <v>4.8600000000000004E-2</v>
      </c>
      <c r="F59" s="98"/>
      <c r="G59" s="98"/>
      <c r="H59" s="58">
        <f t="shared" si="11"/>
        <v>8.1000000000000016E-2</v>
      </c>
      <c r="I59" s="99">
        <f t="shared" si="12"/>
        <v>5.6700000000000007E-2</v>
      </c>
    </row>
    <row r="60" spans="1:9" ht="15.75">
      <c r="A60" s="87" t="s">
        <v>200</v>
      </c>
      <c r="B60" s="27" t="s">
        <v>466</v>
      </c>
      <c r="C60" s="425">
        <v>0.14000000000000001</v>
      </c>
      <c r="D60" s="98">
        <f>C60*3/100</f>
        <v>4.2000000000000006E-3</v>
      </c>
      <c r="E60" s="98">
        <f>C60/100*4</f>
        <v>5.6000000000000008E-3</v>
      </c>
      <c r="F60" s="98"/>
      <c r="G60" s="98"/>
      <c r="H60" s="58">
        <f t="shared" si="11"/>
        <v>9.8000000000000014E-3</v>
      </c>
      <c r="I60" s="99">
        <f t="shared" si="12"/>
        <v>7.000000000000001E-3</v>
      </c>
    </row>
    <row r="61" spans="1:9" ht="15.75">
      <c r="A61" s="87" t="s">
        <v>465</v>
      </c>
      <c r="B61" s="27" t="s">
        <v>464</v>
      </c>
      <c r="C61" s="425">
        <v>0.04</v>
      </c>
      <c r="D61" s="98">
        <f>C61*4/100</f>
        <v>1.6000000000000001E-3</v>
      </c>
      <c r="E61" s="98">
        <f>C61/100*5</f>
        <v>2E-3</v>
      </c>
      <c r="F61" s="98"/>
      <c r="G61" s="98"/>
      <c r="H61" s="58">
        <f t="shared" si="11"/>
        <v>3.5999999999999999E-3</v>
      </c>
      <c r="I61" s="99">
        <f t="shared" si="12"/>
        <v>2.5999999999999999E-3</v>
      </c>
    </row>
    <row r="62" spans="1:9" ht="15.75">
      <c r="A62" s="87" t="s">
        <v>201</v>
      </c>
      <c r="B62" s="27" t="s">
        <v>464</v>
      </c>
      <c r="C62" s="425">
        <v>0.02</v>
      </c>
      <c r="D62" s="98">
        <f>C62*4/100</f>
        <v>8.0000000000000004E-4</v>
      </c>
      <c r="E62" s="98">
        <f>C62/100*5</f>
        <v>1E-3</v>
      </c>
      <c r="F62" s="98"/>
      <c r="G62" s="98"/>
      <c r="H62" s="58">
        <f t="shared" si="11"/>
        <v>1.8E-3</v>
      </c>
      <c r="I62" s="99">
        <f t="shared" si="12"/>
        <v>1.2999999999999999E-3</v>
      </c>
    </row>
    <row r="63" spans="1:9" ht="15.75">
      <c r="A63" s="61" t="s">
        <v>463</v>
      </c>
      <c r="B63" s="27" t="s">
        <v>462</v>
      </c>
      <c r="C63" s="425">
        <v>0</v>
      </c>
      <c r="D63" s="98">
        <f>C63*5/100</f>
        <v>0</v>
      </c>
      <c r="E63" s="98">
        <f>C63/100*6</f>
        <v>0</v>
      </c>
      <c r="F63" s="98"/>
      <c r="G63" s="98"/>
      <c r="H63" s="58">
        <f t="shared" si="11"/>
        <v>0</v>
      </c>
      <c r="I63" s="99">
        <f t="shared" si="12"/>
        <v>0</v>
      </c>
    </row>
    <row r="64" spans="1:9" ht="15.75">
      <c r="A64" s="61" t="s">
        <v>461</v>
      </c>
      <c r="B64" s="27" t="s">
        <v>460</v>
      </c>
      <c r="C64" s="425">
        <v>0</v>
      </c>
      <c r="D64" s="98">
        <f>C64*5/100</f>
        <v>0</v>
      </c>
      <c r="E64" s="98">
        <f>C64/100*6</f>
        <v>0</v>
      </c>
      <c r="F64" s="98"/>
      <c r="G64" s="98"/>
      <c r="H64" s="58">
        <f t="shared" si="11"/>
        <v>0</v>
      </c>
      <c r="I64" s="99">
        <f t="shared" si="12"/>
        <v>0</v>
      </c>
    </row>
    <row r="65" spans="1:14" ht="15.75">
      <c r="A65" s="61" t="s">
        <v>459</v>
      </c>
      <c r="B65" s="27" t="s">
        <v>458</v>
      </c>
      <c r="C65" s="425">
        <v>0</v>
      </c>
      <c r="D65" s="98">
        <f>C65*6/100</f>
        <v>0</v>
      </c>
      <c r="E65" s="98">
        <f>C65/100*7</f>
        <v>0</v>
      </c>
      <c r="F65" s="98"/>
      <c r="G65" s="98"/>
      <c r="H65" s="58">
        <f t="shared" si="11"/>
        <v>0</v>
      </c>
      <c r="I65" s="99">
        <f t="shared" si="12"/>
        <v>0</v>
      </c>
    </row>
    <row r="66" spans="1:14" ht="15.75">
      <c r="A66" s="87" t="s">
        <v>202</v>
      </c>
      <c r="B66" s="27" t="s">
        <v>203</v>
      </c>
      <c r="C66" s="425">
        <v>1.84</v>
      </c>
      <c r="D66" s="98"/>
      <c r="E66" s="98"/>
      <c r="G66" s="98">
        <f>C66/100</f>
        <v>1.84E-2</v>
      </c>
      <c r="H66" s="58">
        <f t="shared" si="11"/>
        <v>1.84E-2</v>
      </c>
      <c r="I66" s="99">
        <v>0</v>
      </c>
    </row>
    <row r="67" spans="1:14" ht="13.5" thickBot="1">
      <c r="A67" s="100" t="s">
        <v>204</v>
      </c>
      <c r="B67" s="101" t="s">
        <v>205</v>
      </c>
      <c r="C67" s="426">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347" t="s">
        <v>222</v>
      </c>
      <c r="B70" s="2348"/>
      <c r="C70" s="2348"/>
      <c r="D70" s="2348"/>
      <c r="E70" s="2348"/>
      <c r="F70" s="2348"/>
      <c r="G70" s="2369"/>
      <c r="H70" s="106"/>
      <c r="I70" s="2347" t="s">
        <v>223</v>
      </c>
      <c r="J70" s="2348"/>
      <c r="K70" s="2348"/>
      <c r="L70" s="2348"/>
      <c r="M70" s="2348"/>
      <c r="N70" s="2369"/>
    </row>
    <row r="71" spans="1:14">
      <c r="A71" s="107"/>
      <c r="C71" s="45"/>
      <c r="D71" s="2341" t="s">
        <v>224</v>
      </c>
      <c r="E71" s="2342"/>
      <c r="F71" s="2342"/>
      <c r="G71" s="2365"/>
      <c r="H71" s="106"/>
      <c r="I71" s="87"/>
      <c r="K71" s="45"/>
      <c r="L71" s="2349" t="s">
        <v>224</v>
      </c>
      <c r="M71" s="2350"/>
      <c r="N71" s="2364"/>
    </row>
    <row r="72" spans="1:14" ht="14.25">
      <c r="A72" s="107"/>
      <c r="C72" s="31"/>
      <c r="D72" s="43" t="s">
        <v>225</v>
      </c>
      <c r="E72" s="45" t="s">
        <v>226</v>
      </c>
      <c r="F72" s="45" t="s">
        <v>227</v>
      </c>
      <c r="G72" s="108" t="s">
        <v>228</v>
      </c>
      <c r="H72" s="98"/>
      <c r="I72" s="87"/>
      <c r="K72" s="45"/>
      <c r="L72" s="61"/>
      <c r="M72" s="2350" t="s">
        <v>229</v>
      </c>
      <c r="N72" s="2364"/>
    </row>
    <row r="73" spans="1:14" ht="25.5">
      <c r="A73" s="87"/>
      <c r="C73" s="31"/>
      <c r="D73" s="63"/>
      <c r="E73" s="424" t="b">
        <v>1</v>
      </c>
      <c r="F73" s="64"/>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2-3-4'!I36</f>
        <v>0</v>
      </c>
      <c r="F75" s="362" t="e">
        <f>F82/F79</f>
        <v>#DIV/0!</v>
      </c>
      <c r="G75" s="356">
        <f>INDEX(D75:F75,G$74)</f>
        <v>0</v>
      </c>
      <c r="H75" s="362"/>
      <c r="I75" s="89" t="s">
        <v>219</v>
      </c>
      <c r="K75" s="357" t="s">
        <v>456</v>
      </c>
      <c r="L75" s="113">
        <f>SUM(L77:L81)</f>
        <v>10.425951704007129</v>
      </c>
      <c r="M75" s="361">
        <f>SUM(M77:M81)</f>
        <v>1</v>
      </c>
      <c r="N75" s="360">
        <f>SUM(N77:N81)</f>
        <v>1</v>
      </c>
    </row>
    <row r="76" spans="1:14" ht="15">
      <c r="A76" s="87" t="s">
        <v>233</v>
      </c>
      <c r="C76" s="31"/>
      <c r="D76" s="438"/>
      <c r="E76" s="340">
        <f>E82/(E79*($F$41/$F$42)+H51-E51+E82/$F$42)</f>
        <v>0</v>
      </c>
      <c r="F76" s="359" t="e">
        <f>F82/(F79*($F$41/$F$42)+H51-E51+F82/$F$42)</f>
        <v>#DIV/0!</v>
      </c>
      <c r="G76" s="358">
        <f>INDEX(D76:F76,G$74)</f>
        <v>0</v>
      </c>
      <c r="H76" s="114"/>
      <c r="I76" s="85"/>
      <c r="K76" s="357"/>
      <c r="L76" s="45"/>
      <c r="N76" s="86"/>
    </row>
    <row r="77" spans="1:14" ht="15">
      <c r="A77" s="87" t="s">
        <v>455</v>
      </c>
      <c r="C77" s="31"/>
      <c r="D77" s="340">
        <f>$N$78</f>
        <v>0.11855650363709885</v>
      </c>
      <c r="E77" s="340">
        <f>N78</f>
        <v>0.11855650363709885</v>
      </c>
      <c r="F77" s="439"/>
      <c r="G77" s="356">
        <f>INDEX(D77:F77,G$74)</f>
        <v>0.11855650363709885</v>
      </c>
      <c r="H77" s="340"/>
      <c r="I77" s="87" t="s">
        <v>202</v>
      </c>
      <c r="K77" s="355" t="s">
        <v>446</v>
      </c>
      <c r="L77" s="58">
        <f>G87</f>
        <v>7.4501097253831423</v>
      </c>
      <c r="M77" s="340">
        <f t="shared" ref="M77:M82" si="13">L77/$L$75</f>
        <v>0.71457358876118271</v>
      </c>
      <c r="N77" s="354">
        <f>L77/($L$75-$L$81)</f>
        <v>0.88140800394588581</v>
      </c>
    </row>
    <row r="78" spans="1:14" ht="15">
      <c r="A78" s="87"/>
      <c r="C78" s="31"/>
      <c r="F78" s="45"/>
      <c r="G78" s="115"/>
      <c r="H78" s="114"/>
      <c r="I78" s="87" t="s">
        <v>454</v>
      </c>
      <c r="K78" s="355" t="s">
        <v>446</v>
      </c>
      <c r="L78" s="58">
        <f>D51</f>
        <v>1.0020999999999998</v>
      </c>
      <c r="M78" s="340">
        <f t="shared" si="13"/>
        <v>9.6115925763865837E-2</v>
      </c>
      <c r="N78" s="354">
        <f>L78/($L$75-$L$81)</f>
        <v>0.11855650363709885</v>
      </c>
    </row>
    <row r="79" spans="1:14"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row>
    <row r="81" spans="1:15" ht="15">
      <c r="A81" s="87"/>
      <c r="C81" s="31"/>
      <c r="D81" s="58"/>
      <c r="E81" s="116"/>
      <c r="F81" s="113"/>
      <c r="G81" s="117"/>
      <c r="H81" s="58"/>
      <c r="I81" s="87" t="s">
        <v>235</v>
      </c>
      <c r="K81" s="355" t="s">
        <v>446</v>
      </c>
      <c r="L81" s="58">
        <f>G89+E51</f>
        <v>1.9734419786239874</v>
      </c>
      <c r="M81" s="340">
        <f t="shared" si="13"/>
        <v>0.18928171112336067</v>
      </c>
      <c r="N81" s="354">
        <v>0</v>
      </c>
    </row>
    <row r="82" spans="1:15"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row>
    <row r="83" spans="1:15"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row>
    <row r="84" spans="1:15">
      <c r="A84" s="87"/>
      <c r="C84" s="31"/>
      <c r="F84" s="45"/>
      <c r="G84" s="117"/>
      <c r="I84" s="87"/>
      <c r="N84" s="86"/>
    </row>
    <row r="85" spans="1: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row>
    <row r="86" spans="1:15">
      <c r="A86" s="87"/>
      <c r="G86" s="122"/>
      <c r="I86" s="87" t="s">
        <v>241</v>
      </c>
      <c r="K86" s="31" t="s">
        <v>242</v>
      </c>
      <c r="L86" s="58">
        <f>E51+G89</f>
        <v>1.9734419786239874</v>
      </c>
      <c r="N86" s="86"/>
    </row>
    <row r="87" spans="1:15"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185</v>
      </c>
      <c r="M87" s="32"/>
      <c r="N87" s="86"/>
    </row>
    <row r="88" spans="1:15"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Combustion_Chaud2!C136</f>
        <v>59.118389658623499</v>
      </c>
      <c r="N88" s="86"/>
    </row>
    <row r="89" spans="1:15" ht="14.25">
      <c r="A89" s="343" t="s">
        <v>245</v>
      </c>
      <c r="C89" s="346" t="s">
        <v>446</v>
      </c>
      <c r="D89" s="345">
        <f>Combustion_Chaud2!$C$115*(Combustion_Chaud2!D80+Combustion_Chaud2!D83)</f>
        <v>2.8419786239875467E-3</v>
      </c>
      <c r="E89" s="345">
        <f>Combustion_Chaud2!$C$115*Combustion_Chaud2!E80</f>
        <v>2.8419786239875467E-3</v>
      </c>
      <c r="F89" s="345">
        <f>Combustion_Chaud2!$C$115*Combustion_Chaud2!F80</f>
        <v>2.8419786239875467E-3</v>
      </c>
      <c r="G89" s="344">
        <f>INDEX(D89:F89,G$74)</f>
        <v>2.8419786239875467E-3</v>
      </c>
      <c r="H89" s="58"/>
      <c r="I89" s="87" t="s">
        <v>450</v>
      </c>
      <c r="K89" s="31" t="s">
        <v>449</v>
      </c>
      <c r="L89" s="58">
        <f>($E$29*(M83/1000))/($B$32*(L87+273.15))</f>
        <v>0.7373243289209187</v>
      </c>
      <c r="N89" s="126"/>
    </row>
    <row r="90" spans="1:15" ht="15.75">
      <c r="A90" s="343"/>
      <c r="C90" s="31"/>
      <c r="D90" s="58"/>
      <c r="F90" s="45"/>
      <c r="G90" s="127"/>
      <c r="H90" s="58"/>
      <c r="I90" s="87" t="s">
        <v>448</v>
      </c>
      <c r="K90" s="31" t="s">
        <v>242</v>
      </c>
      <c r="L90" s="342">
        <f>Combustion_Chaud2!C129</f>
        <v>0.23347408553671128</v>
      </c>
      <c r="M90" s="27" t="s">
        <v>246</v>
      </c>
      <c r="N90" s="126"/>
    </row>
    <row r="91" spans="1:15">
      <c r="A91" s="89" t="s">
        <v>247</v>
      </c>
      <c r="C91" s="31"/>
      <c r="D91" s="58"/>
      <c r="F91" s="45"/>
      <c r="G91" s="127"/>
      <c r="H91" s="58"/>
      <c r="I91" s="87" t="s">
        <v>248</v>
      </c>
      <c r="K91" s="31" t="s">
        <v>242</v>
      </c>
      <c r="L91" s="342">
        <f>Combustion_Chaud2!C140</f>
        <v>0</v>
      </c>
      <c r="M91" s="27" t="s">
        <v>447</v>
      </c>
      <c r="N91" s="126"/>
    </row>
    <row r="92" spans="1:15" ht="15.75" thickBot="1">
      <c r="A92" s="87" t="s">
        <v>249</v>
      </c>
      <c r="C92" s="31"/>
      <c r="D92" s="341">
        <f>Hypothèses!D27</f>
        <v>0.05</v>
      </c>
      <c r="E92" s="340"/>
      <c r="F92" s="340"/>
      <c r="G92" s="127"/>
      <c r="H92" s="340"/>
      <c r="I92" s="100"/>
      <c r="J92" s="101"/>
      <c r="K92" s="339" t="s">
        <v>446</v>
      </c>
      <c r="L92" s="338">
        <f>Combustion_Chaud2!C141</f>
        <v>0</v>
      </c>
      <c r="M92" s="101"/>
      <c r="N92" s="102"/>
    </row>
    <row r="93" spans="1:15" ht="15.75" thickBot="1">
      <c r="A93" s="100" t="s">
        <v>244</v>
      </c>
      <c r="B93" s="101"/>
      <c r="C93" s="128" t="s">
        <v>434</v>
      </c>
      <c r="D93" s="337" t="e">
        <f>IF(D92&lt;&gt;0,Combustion_Chaud2!$C$119,"-")</f>
        <v>#N/A</v>
      </c>
      <c r="E93" s="336"/>
      <c r="F93" s="336"/>
      <c r="G93" s="129"/>
      <c r="H93" s="98"/>
    </row>
    <row r="94" spans="1:15" ht="15">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4.25">
      <c r="A104" s="27" t="s">
        <v>252</v>
      </c>
      <c r="B104" s="31" t="s">
        <v>443</v>
      </c>
      <c r="C104" s="440">
        <v>0</v>
      </c>
      <c r="D104" s="332" t="s">
        <v>442</v>
      </c>
      <c r="E104" s="31"/>
      <c r="F104" s="45" t="s">
        <v>253</v>
      </c>
      <c r="G104" s="45" t="s">
        <v>254</v>
      </c>
      <c r="H104" s="45" t="s">
        <v>253</v>
      </c>
    </row>
    <row r="105" spans="1:8">
      <c r="A105" s="27" t="s">
        <v>441</v>
      </c>
      <c r="B105" s="31" t="s">
        <v>255</v>
      </c>
      <c r="C105" s="441">
        <v>101325</v>
      </c>
      <c r="D105" s="31"/>
      <c r="E105" s="31"/>
      <c r="F105" s="31">
        <v>0</v>
      </c>
      <c r="G105" s="32">
        <v>610.48326959999986</v>
      </c>
      <c r="H105" s="31">
        <f t="shared" ref="H105:H136" si="14">F105</f>
        <v>0</v>
      </c>
    </row>
    <row r="106" spans="1:8">
      <c r="A106" s="27" t="s">
        <v>440</v>
      </c>
      <c r="B106" s="31" t="s">
        <v>255</v>
      </c>
      <c r="C106" s="331">
        <f>C105*EXP(-Combustion_Chaud2!C94/1000*9.80665/Combustion_Chaud2!B32/Combustion_Chaud2!B29*C104)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4.25">
      <c r="A109" s="27" t="s">
        <v>256</v>
      </c>
      <c r="B109" s="124" t="s">
        <v>434</v>
      </c>
      <c r="C109" s="330">
        <f>R7</f>
        <v>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C115*Combustion_Chaud2!$C$15/Combustion_Chaud2!$C$94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Combustion_Chaud2!L75</f>
        <v>10.425951704007129</v>
      </c>
      <c r="D124" s="31"/>
      <c r="E124" s="31"/>
      <c r="F124" s="31">
        <v>38</v>
      </c>
      <c r="G124" s="32">
        <v>6625.0567007999998</v>
      </c>
      <c r="H124" s="31">
        <f t="shared" si="14"/>
        <v>38</v>
      </c>
    </row>
    <row r="125" spans="1:8" ht="15.75">
      <c r="A125" s="27" t="s">
        <v>439</v>
      </c>
      <c r="B125" s="31" t="s">
        <v>186</v>
      </c>
      <c r="C125" s="420">
        <f>Combustion_Chaud2!L86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C129*Combustion_Chaud2!$C$15/D130</f>
        <v>0.17346345372842753</v>
      </c>
      <c r="D130" s="133">
        <f>(Combustion_Chaud2!M77*Combustion_Chaud2!$C$25+Combustion_Chaud2!M78*Combustion_Chaud2!$C$13+Combustion_Chaud2!M79*Combustion_Chaud2!$C$11+Combustion_Chaud2!M80*Combustion_Chaud2!$C$26)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4.25">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1122700</v>
      </c>
      <c r="D138" s="31"/>
      <c r="E138" s="31"/>
      <c r="F138" s="31">
        <v>90</v>
      </c>
      <c r="G138" s="32">
        <v>70095.585023999985</v>
      </c>
      <c r="H138" s="31">
        <f t="shared" si="15"/>
        <v>90</v>
      </c>
    </row>
    <row r="139" spans="1:8">
      <c r="A139" s="31" t="s">
        <v>267</v>
      </c>
      <c r="B139" s="31" t="s">
        <v>433</v>
      </c>
      <c r="C139" s="58" t="str">
        <f>IF(C135,C138/C106,"-")</f>
        <v>-</v>
      </c>
      <c r="D139" s="31"/>
      <c r="E139" s="31"/>
      <c r="F139" s="31">
        <v>91</v>
      </c>
      <c r="G139" s="32">
        <v>72800.696519999983</v>
      </c>
      <c r="H139" s="31">
        <f t="shared" si="15"/>
        <v>91</v>
      </c>
    </row>
    <row r="140" spans="1:8">
      <c r="A140" s="31" t="s">
        <v>248</v>
      </c>
      <c r="B140" s="31" t="s">
        <v>433</v>
      </c>
      <c r="C140" s="58">
        <f>IF(C135,C132-C139,0)</f>
        <v>0</v>
      </c>
      <c r="D140" s="31"/>
      <c r="E140" s="31"/>
      <c r="F140" s="31">
        <v>92</v>
      </c>
      <c r="G140" s="32">
        <v>75592.467575999995</v>
      </c>
      <c r="H140" s="31">
        <f t="shared" si="15"/>
        <v>92</v>
      </c>
    </row>
    <row r="141" spans="1:8">
      <c r="A141" s="31" t="s">
        <v>248</v>
      </c>
      <c r="B141" s="31" t="s">
        <v>186</v>
      </c>
      <c r="C141" s="58">
        <f>IF(C135,C140*C124,0)</f>
        <v>0</v>
      </c>
      <c r="D141" s="31"/>
      <c r="E141" s="31"/>
      <c r="F141" s="31">
        <v>93</v>
      </c>
      <c r="G141" s="32">
        <v>78473.564639999997</v>
      </c>
      <c r="H141" s="31">
        <f t="shared" si="15"/>
        <v>93</v>
      </c>
    </row>
    <row r="142" spans="1:8">
      <c r="A142" s="31" t="s">
        <v>248</v>
      </c>
      <c r="B142" s="31" t="s">
        <v>268</v>
      </c>
      <c r="C142" s="76">
        <f>IF(C135,C141*Combustion_Chaud2!$C$15,0)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432</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41" t="s">
        <v>269</v>
      </c>
      <c r="G194" s="2342"/>
      <c r="H194" s="2343"/>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41" t="s">
        <v>272</v>
      </c>
      <c r="G200" s="2342"/>
      <c r="H200" s="2343"/>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41" t="s">
        <v>431</v>
      </c>
      <c r="G206" s="2342"/>
      <c r="H206" s="2343"/>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41" t="s">
        <v>273</v>
      </c>
      <c r="G212" s="2342"/>
      <c r="H212" s="2343"/>
    </row>
    <row r="213" spans="2:8">
      <c r="B213" s="31"/>
      <c r="C213" s="31"/>
      <c r="D213" s="31"/>
      <c r="E213" s="31"/>
      <c r="F213" s="43" t="s">
        <v>270</v>
      </c>
      <c r="G213" s="45" t="s">
        <v>271</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election activeCell="U38" sqref="U38"/>
    </sheetView>
  </sheetViews>
  <sheetFormatPr baseColWidth="10" defaultColWidth="11.42578125" defaultRowHeight="12.75"/>
  <cols>
    <col min="1" max="1" width="22.5703125" style="27" customWidth="1"/>
    <col min="2" max="2" width="11.42578125" style="27"/>
    <col min="3" max="3" width="29.425781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5703125" style="27" customWidth="1"/>
    <col min="16" max="16" width="12.140625" style="27" customWidth="1"/>
    <col min="17" max="18" width="10.5703125" style="27" customWidth="1"/>
    <col min="19" max="19" width="11.5703125" style="27" customWidth="1"/>
    <col min="20" max="22" width="10.5703125" style="27" customWidth="1"/>
    <col min="23" max="16384" width="11.42578125" style="27"/>
  </cols>
  <sheetData>
    <row r="2" spans="1:24">
      <c r="E2" s="28" t="s">
        <v>164</v>
      </c>
      <c r="F2" s="29" t="s">
        <v>19</v>
      </c>
      <c r="G2" s="30">
        <f>1-(G4/(G5+ABS(L27)))</f>
        <v>0.83747950019628004</v>
      </c>
    </row>
    <row r="4" spans="1:24">
      <c r="E4" s="31" t="s">
        <v>165</v>
      </c>
      <c r="F4" s="31" t="s">
        <v>166</v>
      </c>
      <c r="G4" s="373">
        <f>V27</f>
        <v>142744.78646146072</v>
      </c>
      <c r="H4" s="33"/>
    </row>
    <row r="5" spans="1:24">
      <c r="A5" s="34" t="s">
        <v>167</v>
      </c>
      <c r="E5" s="31" t="s">
        <v>168</v>
      </c>
      <c r="F5" s="31" t="s">
        <v>166</v>
      </c>
      <c r="G5" s="373">
        <f>P27+S27</f>
        <v>-4679.9930678642395</v>
      </c>
      <c r="J5" s="2351" t="s">
        <v>509</v>
      </c>
      <c r="K5" s="2352"/>
      <c r="L5" s="2352"/>
      <c r="M5" s="2353"/>
      <c r="N5" s="2344" t="s">
        <v>169</v>
      </c>
      <c r="O5" s="2345"/>
      <c r="P5" s="2345"/>
      <c r="Q5" s="2345"/>
      <c r="R5" s="2345"/>
      <c r="S5" s="2345"/>
      <c r="T5" s="2345"/>
      <c r="U5" s="2345"/>
      <c r="V5" s="2346"/>
    </row>
    <row r="6" spans="1:24">
      <c r="A6" s="418" t="s">
        <v>508</v>
      </c>
      <c r="J6" s="2354" t="s">
        <v>507</v>
      </c>
      <c r="K6" s="2355"/>
      <c r="L6" s="2355"/>
      <c r="M6" s="2356"/>
      <c r="N6" s="2366" t="s">
        <v>506</v>
      </c>
      <c r="O6" s="2367"/>
      <c r="P6" s="2368"/>
      <c r="Q6" s="2366" t="s">
        <v>170</v>
      </c>
      <c r="R6" s="2367"/>
      <c r="S6" s="2368"/>
      <c r="T6" s="2366" t="s">
        <v>223</v>
      </c>
      <c r="U6" s="2367"/>
      <c r="V6" s="2368"/>
    </row>
    <row r="7" spans="1:24" ht="14.25" customHeight="1">
      <c r="C7" s="2373" t="s">
        <v>505</v>
      </c>
      <c r="D7" s="2341" t="s">
        <v>504</v>
      </c>
      <c r="E7" s="2343"/>
      <c r="F7" s="2341" t="s">
        <v>503</v>
      </c>
      <c r="G7" s="2342"/>
      <c r="H7" s="2342"/>
      <c r="I7" s="2342"/>
      <c r="J7" s="36" t="s">
        <v>171</v>
      </c>
      <c r="K7" s="37" t="s">
        <v>172</v>
      </c>
      <c r="L7" s="37" t="s">
        <v>502</v>
      </c>
      <c r="M7" s="2357" t="s">
        <v>501</v>
      </c>
      <c r="N7" s="38" t="s">
        <v>173</v>
      </c>
      <c r="O7" s="39">
        <f>'3c. Calculateur MEÉ 2-3-4'!K40</f>
        <v>0</v>
      </c>
      <c r="P7" s="40"/>
      <c r="Q7" s="41" t="s">
        <v>173</v>
      </c>
      <c r="R7" s="42">
        <f>'3c. Calculateur MEÉ 2-3-4'!K39</f>
        <v>0</v>
      </c>
      <c r="S7" s="40"/>
      <c r="T7" s="41" t="s">
        <v>173</v>
      </c>
      <c r="U7" s="42">
        <f>Hypothèses!$F$53</f>
        <v>185</v>
      </c>
      <c r="V7" s="40"/>
    </row>
    <row r="8" spans="1:24" ht="39.75">
      <c r="C8" s="2374"/>
      <c r="D8" s="417" t="s">
        <v>500</v>
      </c>
      <c r="E8" s="416" t="s">
        <v>499</v>
      </c>
      <c r="F8" s="2349" t="s">
        <v>174</v>
      </c>
      <c r="G8" s="2350"/>
      <c r="H8" s="2350"/>
      <c r="I8" s="2350"/>
      <c r="J8" s="43" t="s">
        <v>175</v>
      </c>
      <c r="K8" s="45" t="s">
        <v>175</v>
      </c>
      <c r="L8" s="45"/>
      <c r="M8" s="2358"/>
      <c r="N8" s="45" t="s">
        <v>176</v>
      </c>
      <c r="O8" s="45" t="s">
        <v>177</v>
      </c>
      <c r="P8" s="44" t="s">
        <v>178</v>
      </c>
      <c r="Q8" s="43" t="s">
        <v>176</v>
      </c>
      <c r="R8" s="45" t="s">
        <v>177</v>
      </c>
      <c r="S8" s="44" t="s">
        <v>178</v>
      </c>
      <c r="T8" s="43" t="s">
        <v>176</v>
      </c>
      <c r="U8" s="45" t="s">
        <v>177</v>
      </c>
      <c r="V8" s="44" t="s">
        <v>178</v>
      </c>
    </row>
    <row r="9" spans="1:24" ht="22.5">
      <c r="B9" s="27" t="s">
        <v>44</v>
      </c>
      <c r="C9" s="365" t="s">
        <v>498</v>
      </c>
      <c r="D9" s="2375" t="s">
        <v>498</v>
      </c>
      <c r="E9" s="2376"/>
      <c r="F9" s="2370" t="s">
        <v>211</v>
      </c>
      <c r="G9" s="2371"/>
      <c r="H9" s="2371"/>
      <c r="I9" s="2372"/>
      <c r="J9" s="43"/>
      <c r="K9" s="45"/>
      <c r="L9" s="45"/>
      <c r="M9" s="415" t="s">
        <v>497</v>
      </c>
      <c r="N9" s="45"/>
      <c r="O9" s="45"/>
      <c r="P9" s="44"/>
      <c r="Q9" s="45"/>
      <c r="R9" s="45"/>
      <c r="S9" s="44"/>
      <c r="T9" s="45"/>
      <c r="U9" s="45"/>
      <c r="V9" s="44"/>
    </row>
    <row r="10" spans="1:24" ht="33.75">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75">
      <c r="A11" s="52" t="s">
        <v>188</v>
      </c>
      <c r="B11" s="53" t="s">
        <v>189</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Combustion_Chaud3!C53/100</f>
        <v>0</v>
      </c>
      <c r="O11" s="58">
        <f t="shared" ref="O11:O26" si="4">AVERAGE($F11+$G11/100*O$7+$H11/100000*O$7^2+$I11/1000000000*O$7^3,$F11+$G11/100*$B$28+$H11/100000*$B$28^2+$I11/1000000000*$B$28^3)</f>
        <v>29.189302368703927</v>
      </c>
      <c r="P11" s="60">
        <f>N11*O11*(O$7-$B$28)</f>
        <v>0</v>
      </c>
      <c r="Q11" s="59">
        <f>Combustion_Chaud3!G88</f>
        <v>1.9809999999999999</v>
      </c>
      <c r="R11" s="58">
        <f t="shared" ref="R11:R26" si="5">AVERAGE($F11+$G11/100*R$7+$H11/100000*R$7^2+$I11/1000000000*R$7^3,$F11+$G11/100*$B$28+$H11/100000*$B$28^2+$I11/1000000000*$B$28^3)</f>
        <v>29.189302368703927</v>
      </c>
      <c r="S11" s="400">
        <f>Q11*R11*(R$7-$B$28)</f>
        <v>-899.16332428185854</v>
      </c>
      <c r="T11" s="59">
        <f>Combustion_Chaud3!L79</f>
        <v>0</v>
      </c>
      <c r="U11" s="58">
        <f t="shared" ref="U11:U26" si="6">AVERAGE($F11+$G11/100*U$7+$H11/100000*U$7^2+$I11/1000000000*U$7^3,$F11+$G11/100*$B$28+$H11/100000*$B$28^2+$I11/1000000000*$B$28^3)</f>
        <v>30.160627198891426</v>
      </c>
      <c r="V11" s="400">
        <f>T11*U11*(U$7-$B$28)</f>
        <v>0</v>
      </c>
    </row>
    <row r="12" spans="1:24">
      <c r="A12" s="61" t="s">
        <v>469</v>
      </c>
      <c r="B12" s="27" t="s">
        <v>190</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Combustion_Chaud3!C54/100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75">
      <c r="A13" s="61" t="s">
        <v>454</v>
      </c>
      <c r="B13" s="27" t="s">
        <v>191</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Combustion_Chaud3!C55/100</f>
        <v>6.4000000000000003E-3</v>
      </c>
      <c r="O13" s="58">
        <f t="shared" si="4"/>
        <v>36.435639363340258</v>
      </c>
      <c r="P13" s="60">
        <f>N13*O13*(O$7-$B$28)</f>
        <v>-3.6260748294396228</v>
      </c>
      <c r="Q13" s="403"/>
      <c r="R13" s="58">
        <f t="shared" si="5"/>
        <v>36.435639363340258</v>
      </c>
      <c r="S13" s="400">
        <f>Q13*R13*(R$7-$B$28)</f>
        <v>0</v>
      </c>
      <c r="T13" s="59">
        <f>Combustion_Chaud3!L78</f>
        <v>1.0020999999999998</v>
      </c>
      <c r="U13" s="58">
        <f t="shared" si="6"/>
        <v>39.88075611284026</v>
      </c>
      <c r="V13" s="400">
        <f>T13*U13*(U$7-$B$28)</f>
        <v>6771.9854909797532</v>
      </c>
    </row>
    <row r="14" spans="1:24" ht="15.75">
      <c r="A14" s="61" t="s">
        <v>192</v>
      </c>
      <c r="B14" s="27" t="s">
        <v>193</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Combustion_Chaud3!C56/100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75">
      <c r="A15" s="61" t="s">
        <v>194</v>
      </c>
      <c r="B15" s="27" t="s">
        <v>468</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Combustion_Chaud3!C57/100</f>
        <v>0</v>
      </c>
      <c r="O15" s="58">
        <f t="shared" si="4"/>
        <v>33.514404578213124</v>
      </c>
      <c r="P15" s="60">
        <f>N15*(W15+O15*(O$7-$B$28))</f>
        <v>0</v>
      </c>
      <c r="Q15" s="59">
        <f>Combustion_Chaud3!G89</f>
        <v>2.8419786239875467E-3</v>
      </c>
      <c r="R15" s="58">
        <f t="shared" si="5"/>
        <v>33.514404578213124</v>
      </c>
      <c r="S15" s="400">
        <f>Q15*(W15+R15*(R$7-$B$28))</f>
        <v>124.72549244116087</v>
      </c>
      <c r="T15" s="59">
        <f>Combustion_Chaud3!L81-T16</f>
        <v>1.9734419786239874</v>
      </c>
      <c r="U15" s="58">
        <f t="shared" si="6"/>
        <v>34.269553263900619</v>
      </c>
      <c r="V15" s="404">
        <f>((T15-G89)*$W$15)+(T15*U15*(U$7-$B$28))</f>
        <v>98970.134613694434</v>
      </c>
      <c r="W15" s="375">
        <v>44408</v>
      </c>
      <c r="X15" s="27" t="s">
        <v>195</v>
      </c>
    </row>
    <row r="16" spans="1:24" ht="15.75">
      <c r="A16" s="61" t="s">
        <v>196</v>
      </c>
      <c r="B16" s="27" t="s">
        <v>494</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Combustion_Chaud3!L92</f>
        <v>0</v>
      </c>
      <c r="U16" s="58">
        <f t="shared" si="6"/>
        <v>75.400000000000006</v>
      </c>
      <c r="V16" s="404">
        <f t="shared" ref="V16:V26" si="9">T16*U16*(U$7-$B$28)</f>
        <v>0</v>
      </c>
    </row>
    <row r="17" spans="1:22" ht="15.75">
      <c r="A17" s="61" t="s">
        <v>197</v>
      </c>
      <c r="B17" s="27" t="s">
        <v>198</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Combustion_Chaud3!C58/100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75">
      <c r="A18" s="61" t="s">
        <v>199</v>
      </c>
      <c r="B18" s="27" t="s">
        <v>467</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Combustion_Chaud3!C59/100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75">
      <c r="A19" s="61" t="s">
        <v>200</v>
      </c>
      <c r="B19" s="27" t="s">
        <v>466</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Combustion_Chaud3!C60/100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75">
      <c r="A20" s="61" t="s">
        <v>493</v>
      </c>
      <c r="B20" s="27" t="s">
        <v>492</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Combustion_Chaud3!C61/100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75">
      <c r="A21" s="61" t="s">
        <v>201</v>
      </c>
      <c r="B21" s="27" t="s">
        <v>491</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Combustion_Chaud3!C62/100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Combustion_Chaud3!C63/100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75">
      <c r="A23" s="61" t="s">
        <v>461</v>
      </c>
      <c r="B23" s="27" t="s">
        <v>460</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Combustion_Chaud3!C64/100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75">
      <c r="A24" s="61" t="s">
        <v>459</v>
      </c>
      <c r="B24" s="27" t="s">
        <v>458</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Combustion_Chaud3!C65/100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75">
      <c r="A25" s="61" t="s">
        <v>202</v>
      </c>
      <c r="B25" s="27" t="s">
        <v>203</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Combustion_Chaud3!C66/100</f>
        <v>1.84E-2</v>
      </c>
      <c r="O25" s="58">
        <f t="shared" si="4"/>
        <v>29.017783745332302</v>
      </c>
      <c r="P25" s="60">
        <f t="shared" si="7"/>
        <v>-8.3025682852144786</v>
      </c>
      <c r="Q25" s="59">
        <f>Combustion_Chaud3!G87</f>
        <v>7.4501097253831423</v>
      </c>
      <c r="R25" s="58">
        <f t="shared" si="5"/>
        <v>29.017783745332302</v>
      </c>
      <c r="S25" s="400">
        <f t="shared" si="8"/>
        <v>-3361.6872134420669</v>
      </c>
      <c r="T25" s="59">
        <f>Combustion_Chaud3!L77</f>
        <v>7.4501097253831423</v>
      </c>
      <c r="U25" s="58">
        <f t="shared" si="6"/>
        <v>29.310037035144802</v>
      </c>
      <c r="V25" s="400">
        <f t="shared" si="9"/>
        <v>37001.608988786524</v>
      </c>
    </row>
    <row r="26" spans="1:22">
      <c r="A26" s="63" t="s">
        <v>204</v>
      </c>
      <c r="B26" s="64" t="s">
        <v>205</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Combustion_Chaud3!C67/100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359" t="s">
        <v>485</v>
      </c>
      <c r="K29" s="2360"/>
      <c r="L29" s="2361"/>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4.25">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4.25">
      <c r="A35" s="372" t="s">
        <v>478</v>
      </c>
      <c r="F35" s="32"/>
      <c r="I35" s="32"/>
      <c r="J35" s="374">
        <f>(J33*1000)/1.055056*0.02831685</f>
        <v>903.32326488654292</v>
      </c>
      <c r="K35" s="373">
        <f>(K33*1000)/1.055056*0.02831685</f>
        <v>1002.696430297802</v>
      </c>
      <c r="L35" s="75" t="s">
        <v>477</v>
      </c>
      <c r="M35" s="27" t="s">
        <v>473</v>
      </c>
    </row>
    <row r="36" spans="1:13" ht="15.75">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5" thickBot="1">
      <c r="B45" s="31"/>
      <c r="G45" s="76"/>
      <c r="H45" s="84"/>
    </row>
    <row r="46" spans="1:13">
      <c r="A46" s="2347" t="s">
        <v>472</v>
      </c>
      <c r="B46" s="2348"/>
      <c r="C46" s="2348"/>
      <c r="D46" s="2348"/>
      <c r="E46" s="2348"/>
      <c r="F46" s="2348"/>
      <c r="G46" s="2348"/>
      <c r="H46" s="2348"/>
      <c r="I46" s="2348"/>
      <c r="J46" s="368"/>
    </row>
    <row r="47" spans="1:13">
      <c r="A47" s="85"/>
      <c r="B47" s="45"/>
      <c r="C47" s="45"/>
      <c r="D47" s="45"/>
      <c r="E47" s="45"/>
      <c r="J47" s="366"/>
    </row>
    <row r="48" spans="1:13">
      <c r="A48" s="87"/>
      <c r="B48" s="32"/>
      <c r="C48" s="35" t="s">
        <v>215</v>
      </c>
      <c r="D48" s="2341" t="s">
        <v>471</v>
      </c>
      <c r="E48" s="2342"/>
      <c r="F48" s="2342"/>
      <c r="G48" s="2342"/>
      <c r="H48" s="2343"/>
      <c r="I48" s="367" t="s">
        <v>457</v>
      </c>
      <c r="J48" s="366"/>
    </row>
    <row r="49" spans="1:9" ht="14.25">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188</v>
      </c>
      <c r="B53" s="27" t="s">
        <v>189</v>
      </c>
      <c r="C53" s="58">
        <v>0</v>
      </c>
      <c r="D53" s="98"/>
      <c r="E53" s="98"/>
      <c r="F53" s="98"/>
      <c r="G53" s="98"/>
      <c r="H53" s="58">
        <f t="shared" ref="H53:H67" si="11">SUM(D53:G53)</f>
        <v>0</v>
      </c>
      <c r="I53" s="99">
        <f>-C53/100</f>
        <v>0</v>
      </c>
    </row>
    <row r="54" spans="1:9">
      <c r="A54" s="87" t="s">
        <v>469</v>
      </c>
      <c r="B54" s="27" t="s">
        <v>190</v>
      </c>
      <c r="C54" s="58">
        <v>0</v>
      </c>
      <c r="D54" s="98">
        <f>C54/100</f>
        <v>0</v>
      </c>
      <c r="E54" s="98"/>
      <c r="F54" s="98"/>
      <c r="G54" s="98"/>
      <c r="H54" s="58">
        <f t="shared" si="11"/>
        <v>0</v>
      </c>
      <c r="I54" s="364">
        <f>D54+E54/2</f>
        <v>0</v>
      </c>
    </row>
    <row r="55" spans="1:9" ht="15.75">
      <c r="A55" s="87" t="s">
        <v>454</v>
      </c>
      <c r="B55" s="27" t="s">
        <v>191</v>
      </c>
      <c r="C55" s="58">
        <v>0.64</v>
      </c>
      <c r="D55" s="98">
        <f>C55/100</f>
        <v>6.4000000000000003E-3</v>
      </c>
      <c r="E55" s="98"/>
      <c r="F55" s="98"/>
      <c r="G55" s="98"/>
      <c r="H55" s="58">
        <f t="shared" si="11"/>
        <v>6.4000000000000003E-3</v>
      </c>
      <c r="I55" s="99">
        <v>0</v>
      </c>
    </row>
    <row r="56" spans="1:9" ht="15.75">
      <c r="A56" s="87" t="s">
        <v>192</v>
      </c>
      <c r="B56" s="27" t="s">
        <v>193</v>
      </c>
      <c r="C56" s="58">
        <v>0</v>
      </c>
      <c r="D56" s="98"/>
      <c r="E56" s="98">
        <f>C56/100</f>
        <v>0</v>
      </c>
      <c r="F56" s="98"/>
      <c r="G56" s="98"/>
      <c r="H56" s="58">
        <f t="shared" si="11"/>
        <v>0</v>
      </c>
      <c r="I56" s="99">
        <f>D56+E56/2</f>
        <v>0</v>
      </c>
    </row>
    <row r="57" spans="1:9" ht="15.75">
      <c r="A57" s="87" t="s">
        <v>194</v>
      </c>
      <c r="B57" s="27" t="s">
        <v>468</v>
      </c>
      <c r="C57" s="58">
        <v>0</v>
      </c>
      <c r="D57" s="98"/>
      <c r="E57" s="98">
        <f>C57/100</f>
        <v>0</v>
      </c>
      <c r="F57" s="98"/>
      <c r="G57" s="98"/>
      <c r="H57" s="58">
        <f t="shared" si="11"/>
        <v>0</v>
      </c>
      <c r="I57" s="364">
        <v>0</v>
      </c>
    </row>
    <row r="58" spans="1:9" ht="15.75">
      <c r="A58" s="87" t="s">
        <v>197</v>
      </c>
      <c r="B58" s="27" t="s">
        <v>198</v>
      </c>
      <c r="C58" s="58">
        <v>95.67</v>
      </c>
      <c r="D58" s="98">
        <f>C58/100</f>
        <v>0.95669999999999999</v>
      </c>
      <c r="E58" s="98">
        <f>C58/100*2</f>
        <v>1.9134</v>
      </c>
      <c r="F58" s="98"/>
      <c r="G58" s="98"/>
      <c r="H58" s="58">
        <f t="shared" si="11"/>
        <v>2.8700999999999999</v>
      </c>
      <c r="I58" s="99">
        <f t="shared" ref="I58:I65" si="12">D58+E58/2</f>
        <v>1.9134</v>
      </c>
    </row>
    <row r="59" spans="1:9" ht="15.75">
      <c r="A59" s="87" t="s">
        <v>199</v>
      </c>
      <c r="B59" s="27" t="s">
        <v>467</v>
      </c>
      <c r="C59" s="58">
        <v>1.62</v>
      </c>
      <c r="D59" s="98">
        <f>C59*2/100</f>
        <v>3.2400000000000005E-2</v>
      </c>
      <c r="E59" s="98">
        <f>C59/100*3</f>
        <v>4.8600000000000004E-2</v>
      </c>
      <c r="F59" s="98"/>
      <c r="G59" s="98"/>
      <c r="H59" s="58">
        <f t="shared" si="11"/>
        <v>8.1000000000000016E-2</v>
      </c>
      <c r="I59" s="99">
        <f t="shared" si="12"/>
        <v>5.6700000000000007E-2</v>
      </c>
    </row>
    <row r="60" spans="1:9" ht="15.75">
      <c r="A60" s="87" t="s">
        <v>200</v>
      </c>
      <c r="B60" s="27" t="s">
        <v>466</v>
      </c>
      <c r="C60" s="58">
        <v>0.14000000000000001</v>
      </c>
      <c r="D60" s="98">
        <f>C60*3/100</f>
        <v>4.2000000000000006E-3</v>
      </c>
      <c r="E60" s="98">
        <f>C60/100*4</f>
        <v>5.6000000000000008E-3</v>
      </c>
      <c r="F60" s="98"/>
      <c r="G60" s="98"/>
      <c r="H60" s="58">
        <f t="shared" si="11"/>
        <v>9.8000000000000014E-3</v>
      </c>
      <c r="I60" s="99">
        <f t="shared" si="12"/>
        <v>7.000000000000001E-3</v>
      </c>
    </row>
    <row r="61" spans="1:9" ht="15.75">
      <c r="A61" s="87" t="s">
        <v>465</v>
      </c>
      <c r="B61" s="27" t="s">
        <v>464</v>
      </c>
      <c r="C61" s="58">
        <v>0.04</v>
      </c>
      <c r="D61" s="98">
        <f>C61*4/100</f>
        <v>1.6000000000000001E-3</v>
      </c>
      <c r="E61" s="98">
        <f>C61/100*5</f>
        <v>2E-3</v>
      </c>
      <c r="F61" s="98"/>
      <c r="G61" s="98"/>
      <c r="H61" s="58">
        <f t="shared" si="11"/>
        <v>3.5999999999999999E-3</v>
      </c>
      <c r="I61" s="99">
        <f t="shared" si="12"/>
        <v>2.5999999999999999E-3</v>
      </c>
    </row>
    <row r="62" spans="1:9" ht="15.75">
      <c r="A62" s="87" t="s">
        <v>201</v>
      </c>
      <c r="B62" s="27" t="s">
        <v>464</v>
      </c>
      <c r="C62" s="58">
        <v>0.02</v>
      </c>
      <c r="D62" s="98">
        <f>C62*4/100</f>
        <v>8.0000000000000004E-4</v>
      </c>
      <c r="E62" s="98">
        <f>C62/100*5</f>
        <v>1E-3</v>
      </c>
      <c r="F62" s="98"/>
      <c r="G62" s="98"/>
      <c r="H62" s="58">
        <f t="shared" si="11"/>
        <v>1.8E-3</v>
      </c>
      <c r="I62" s="99">
        <f t="shared" si="12"/>
        <v>1.2999999999999999E-3</v>
      </c>
    </row>
    <row r="63" spans="1:9" ht="15.75">
      <c r="A63" s="61" t="s">
        <v>463</v>
      </c>
      <c r="B63" s="27" t="s">
        <v>462</v>
      </c>
      <c r="C63" s="58">
        <v>0</v>
      </c>
      <c r="D63" s="98">
        <f>C63*5/100</f>
        <v>0</v>
      </c>
      <c r="E63" s="98">
        <f>C63/100*6</f>
        <v>0</v>
      </c>
      <c r="F63" s="98"/>
      <c r="G63" s="98"/>
      <c r="H63" s="58">
        <f t="shared" si="11"/>
        <v>0</v>
      </c>
      <c r="I63" s="99">
        <f t="shared" si="12"/>
        <v>0</v>
      </c>
    </row>
    <row r="64" spans="1:9" ht="15.75">
      <c r="A64" s="61" t="s">
        <v>461</v>
      </c>
      <c r="B64" s="27" t="s">
        <v>460</v>
      </c>
      <c r="C64" s="58">
        <v>0</v>
      </c>
      <c r="D64" s="98">
        <f>C64*5/100</f>
        <v>0</v>
      </c>
      <c r="E64" s="98">
        <f>C64/100*6</f>
        <v>0</v>
      </c>
      <c r="F64" s="98"/>
      <c r="G64" s="98"/>
      <c r="H64" s="58">
        <f t="shared" si="11"/>
        <v>0</v>
      </c>
      <c r="I64" s="99">
        <f t="shared" si="12"/>
        <v>0</v>
      </c>
    </row>
    <row r="65" spans="1:14" ht="15.75">
      <c r="A65" s="61" t="s">
        <v>459</v>
      </c>
      <c r="B65" s="27" t="s">
        <v>458</v>
      </c>
      <c r="C65" s="58">
        <v>0</v>
      </c>
      <c r="D65" s="98">
        <f>C65*6/100</f>
        <v>0</v>
      </c>
      <c r="E65" s="98">
        <f>C65/100*7</f>
        <v>0</v>
      </c>
      <c r="F65" s="98"/>
      <c r="G65" s="98"/>
      <c r="H65" s="58">
        <f t="shared" si="11"/>
        <v>0</v>
      </c>
      <c r="I65" s="99">
        <f t="shared" si="12"/>
        <v>0</v>
      </c>
    </row>
    <row r="66" spans="1:14" ht="15.75">
      <c r="A66" s="87" t="s">
        <v>202</v>
      </c>
      <c r="B66" s="27" t="s">
        <v>203</v>
      </c>
      <c r="C66" s="58">
        <v>1.84</v>
      </c>
      <c r="D66" s="98"/>
      <c r="E66" s="98"/>
      <c r="G66" s="98">
        <f>C66/100</f>
        <v>1.84E-2</v>
      </c>
      <c r="H66" s="58">
        <f t="shared" si="11"/>
        <v>1.84E-2</v>
      </c>
      <c r="I66" s="99">
        <v>0</v>
      </c>
    </row>
    <row r="67" spans="1:14" ht="13.5" thickBot="1">
      <c r="A67" s="100" t="s">
        <v>204</v>
      </c>
      <c r="B67" s="101" t="s">
        <v>205</v>
      </c>
      <c r="C67" s="104">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347" t="s">
        <v>222</v>
      </c>
      <c r="B70" s="2348"/>
      <c r="C70" s="2348"/>
      <c r="D70" s="2348"/>
      <c r="E70" s="2348"/>
      <c r="F70" s="2348"/>
      <c r="G70" s="2369"/>
      <c r="H70" s="106"/>
      <c r="I70" s="2347" t="s">
        <v>223</v>
      </c>
      <c r="J70" s="2348"/>
      <c r="K70" s="2348"/>
      <c r="L70" s="2348"/>
      <c r="M70" s="2348"/>
      <c r="N70" s="2369"/>
    </row>
    <row r="71" spans="1:14">
      <c r="A71" s="107"/>
      <c r="C71" s="45"/>
      <c r="D71" s="2341" t="s">
        <v>224</v>
      </c>
      <c r="E71" s="2342"/>
      <c r="F71" s="2342"/>
      <c r="G71" s="2365"/>
      <c r="H71" s="106"/>
      <c r="I71" s="87"/>
      <c r="K71" s="45"/>
      <c r="L71" s="2349" t="s">
        <v>224</v>
      </c>
      <c r="M71" s="2350"/>
      <c r="N71" s="2364"/>
    </row>
    <row r="72" spans="1:14" ht="14.25">
      <c r="A72" s="107"/>
      <c r="C72" s="31"/>
      <c r="D72" s="43" t="s">
        <v>225</v>
      </c>
      <c r="E72" s="45" t="s">
        <v>226</v>
      </c>
      <c r="F72" s="45" t="s">
        <v>227</v>
      </c>
      <c r="G72" s="108" t="s">
        <v>228</v>
      </c>
      <c r="H72" s="98"/>
      <c r="I72" s="87"/>
      <c r="K72" s="45"/>
      <c r="L72" s="61"/>
      <c r="M72" s="2350" t="s">
        <v>229</v>
      </c>
      <c r="N72" s="2364"/>
    </row>
    <row r="73" spans="1:14" ht="25.5">
      <c r="A73" s="87"/>
      <c r="C73" s="31"/>
      <c r="D73" s="442"/>
      <c r="E73" s="424" t="b">
        <v>1</v>
      </c>
      <c r="F73" s="424"/>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2-3-4'!K36</f>
        <v>0</v>
      </c>
      <c r="F75" s="362" t="e">
        <f>F82/F79</f>
        <v>#DIV/0!</v>
      </c>
      <c r="G75" s="356">
        <f>INDEX(D75:F75,G$74)</f>
        <v>0</v>
      </c>
      <c r="H75" s="362"/>
      <c r="I75" s="89" t="s">
        <v>219</v>
      </c>
      <c r="K75" s="357" t="s">
        <v>456</v>
      </c>
      <c r="L75" s="113">
        <f>SUM(L77:L81)</f>
        <v>10.425951704007129</v>
      </c>
      <c r="M75" s="361">
        <f>SUM(M77:M81)</f>
        <v>1</v>
      </c>
      <c r="N75" s="360">
        <f>SUM(N77:N81)</f>
        <v>1</v>
      </c>
    </row>
    <row r="76" spans="1:14" ht="15">
      <c r="A76" s="87" t="s">
        <v>233</v>
      </c>
      <c r="C76" s="31"/>
      <c r="D76" s="438"/>
      <c r="E76" s="340">
        <f>E82/(E79*($F$41/$F$42)+H51-E51+E82/$F$42)</f>
        <v>0</v>
      </c>
      <c r="F76" s="359" t="e">
        <f>F82/(F79*($F$41/$F$42)+H51-E51+F82/$F$42)</f>
        <v>#DIV/0!</v>
      </c>
      <c r="G76" s="358">
        <f>INDEX(D76:F76,G$74)</f>
        <v>0</v>
      </c>
      <c r="H76" s="114"/>
      <c r="I76" s="85"/>
      <c r="K76" s="357"/>
      <c r="L76" s="45"/>
      <c r="N76" s="86"/>
    </row>
    <row r="77" spans="1:14" ht="15">
      <c r="A77" s="87" t="s">
        <v>455</v>
      </c>
      <c r="C77" s="31"/>
      <c r="D77" s="340">
        <f>$N$78</f>
        <v>0.11855650363709885</v>
      </c>
      <c r="E77" s="340">
        <f>N78</f>
        <v>0.11855650363709885</v>
      </c>
      <c r="F77" s="439"/>
      <c r="G77" s="356">
        <f>INDEX(D77:F77,G$74)</f>
        <v>0.11855650363709885</v>
      </c>
      <c r="H77" s="340"/>
      <c r="I77" s="87" t="s">
        <v>202</v>
      </c>
      <c r="K77" s="355" t="s">
        <v>446</v>
      </c>
      <c r="L77" s="58">
        <f>G87</f>
        <v>7.4501097253831423</v>
      </c>
      <c r="M77" s="340">
        <f t="shared" ref="M77:M82" si="13">L77/$L$75</f>
        <v>0.71457358876118271</v>
      </c>
      <c r="N77" s="354">
        <f>L77/($L$75-$L$81)</f>
        <v>0.88140800394588581</v>
      </c>
    </row>
    <row r="78" spans="1:14" ht="15">
      <c r="A78" s="87"/>
      <c r="C78" s="31"/>
      <c r="F78" s="45"/>
      <c r="G78" s="115"/>
      <c r="H78" s="114"/>
      <c r="I78" s="87" t="s">
        <v>454</v>
      </c>
      <c r="K78" s="355" t="s">
        <v>446</v>
      </c>
      <c r="L78" s="58">
        <f>D51</f>
        <v>1.0020999999999998</v>
      </c>
      <c r="M78" s="340">
        <f t="shared" si="13"/>
        <v>9.6115925763865837E-2</v>
      </c>
      <c r="N78" s="354">
        <f>L78/($L$75-$L$81)</f>
        <v>0.11855650363709885</v>
      </c>
    </row>
    <row r="79" spans="1:14"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row>
    <row r="81" spans="1:15" ht="15">
      <c r="A81" s="87"/>
      <c r="C81" s="31"/>
      <c r="D81" s="58"/>
      <c r="E81" s="116"/>
      <c r="F81" s="113"/>
      <c r="G81" s="117"/>
      <c r="H81" s="58"/>
      <c r="I81" s="87" t="s">
        <v>235</v>
      </c>
      <c r="K81" s="355" t="s">
        <v>446</v>
      </c>
      <c r="L81" s="58">
        <f>G89+E51</f>
        <v>1.9734419786239874</v>
      </c>
      <c r="M81" s="340">
        <f t="shared" si="13"/>
        <v>0.18928171112336067</v>
      </c>
      <c r="N81" s="354">
        <v>0</v>
      </c>
    </row>
    <row r="82" spans="1:15"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row>
    <row r="83" spans="1:15"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row>
    <row r="84" spans="1:15">
      <c r="A84" s="87"/>
      <c r="C84" s="31"/>
      <c r="F84" s="45"/>
      <c r="G84" s="117"/>
      <c r="I84" s="87"/>
      <c r="N84" s="86"/>
    </row>
    <row r="85" spans="1: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row>
    <row r="86" spans="1:15">
      <c r="A86" s="87"/>
      <c r="G86" s="122"/>
      <c r="I86" s="87" t="s">
        <v>241</v>
      </c>
      <c r="K86" s="31" t="s">
        <v>242</v>
      </c>
      <c r="L86" s="58">
        <f>E51+G89</f>
        <v>1.9734419786239874</v>
      </c>
      <c r="N86" s="86"/>
    </row>
    <row r="87" spans="1:15"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185</v>
      </c>
      <c r="M87" s="32"/>
      <c r="N87" s="86"/>
    </row>
    <row r="88" spans="1:15"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Combustion_Chaud3!C136</f>
        <v>59.118389658623499</v>
      </c>
      <c r="N88" s="86"/>
    </row>
    <row r="89" spans="1:15" ht="14.25">
      <c r="A89" s="343" t="s">
        <v>245</v>
      </c>
      <c r="C89" s="346" t="s">
        <v>446</v>
      </c>
      <c r="D89" s="345">
        <f>Combustion_Chaud3!$C$115*(Combustion_Chaud3!D80+Combustion_Chaud3!D83)</f>
        <v>2.8419786239875467E-3</v>
      </c>
      <c r="E89" s="345">
        <f>Combustion_Chaud3!$C$115*Combustion_Chaud3!E80</f>
        <v>2.8419786239875467E-3</v>
      </c>
      <c r="F89" s="345">
        <f>Combustion_Chaud3!$C$115*Combustion_Chaud3!F80</f>
        <v>2.8419786239875467E-3</v>
      </c>
      <c r="G89" s="344">
        <f>INDEX(D89:F89,G$74)</f>
        <v>2.8419786239875467E-3</v>
      </c>
      <c r="H89" s="58"/>
      <c r="I89" s="87" t="s">
        <v>450</v>
      </c>
      <c r="K89" s="31" t="s">
        <v>449</v>
      </c>
      <c r="L89" s="58">
        <f>($E$29*(M83/1000))/($B$32*(L87+273.15))</f>
        <v>0.7373243289209187</v>
      </c>
      <c r="N89" s="126"/>
    </row>
    <row r="90" spans="1:15" ht="15.75">
      <c r="A90" s="343"/>
      <c r="C90" s="31"/>
      <c r="D90" s="58"/>
      <c r="F90" s="45"/>
      <c r="G90" s="127"/>
      <c r="H90" s="58"/>
      <c r="I90" s="87" t="s">
        <v>448</v>
      </c>
      <c r="K90" s="31" t="s">
        <v>242</v>
      </c>
      <c r="L90" s="342">
        <f>Combustion_Chaud3!C129</f>
        <v>0.23347408553671128</v>
      </c>
      <c r="M90" s="27" t="s">
        <v>246</v>
      </c>
      <c r="N90" s="126"/>
    </row>
    <row r="91" spans="1:15">
      <c r="A91" s="89" t="s">
        <v>247</v>
      </c>
      <c r="C91" s="31"/>
      <c r="D91" s="58"/>
      <c r="F91" s="45"/>
      <c r="G91" s="127"/>
      <c r="H91" s="58"/>
      <c r="I91" s="87" t="s">
        <v>248</v>
      </c>
      <c r="K91" s="31" t="s">
        <v>242</v>
      </c>
      <c r="L91" s="342">
        <f>Combustion_Chaud3!C140</f>
        <v>0</v>
      </c>
      <c r="M91" s="27" t="s">
        <v>447</v>
      </c>
      <c r="N91" s="126"/>
    </row>
    <row r="92" spans="1:15" ht="15.75" thickBot="1">
      <c r="A92" s="87" t="s">
        <v>249</v>
      </c>
      <c r="C92" s="31"/>
      <c r="D92" s="341">
        <f>Hypothèses!D27</f>
        <v>0.05</v>
      </c>
      <c r="E92" s="340"/>
      <c r="F92" s="340"/>
      <c r="G92" s="127"/>
      <c r="H92" s="340"/>
      <c r="I92" s="100"/>
      <c r="J92" s="101"/>
      <c r="K92" s="339" t="s">
        <v>446</v>
      </c>
      <c r="L92" s="338">
        <f>Combustion_Chaud3!C141</f>
        <v>0</v>
      </c>
      <c r="M92" s="101"/>
      <c r="N92" s="102"/>
    </row>
    <row r="93" spans="1:15" ht="15.75" thickBot="1">
      <c r="A93" s="100" t="s">
        <v>244</v>
      </c>
      <c r="B93" s="101"/>
      <c r="C93" s="128" t="s">
        <v>434</v>
      </c>
      <c r="D93" s="337" t="e">
        <f>IF(D92&lt;&gt;0,Combustion_Chaud3!$C$119,"-")</f>
        <v>#N/A</v>
      </c>
      <c r="E93" s="336"/>
      <c r="F93" s="336"/>
      <c r="G93" s="129"/>
      <c r="H93" s="98"/>
    </row>
    <row r="94" spans="1:15" ht="15">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4.25">
      <c r="A104" s="27" t="s">
        <v>252</v>
      </c>
      <c r="B104" s="31" t="s">
        <v>443</v>
      </c>
      <c r="C104" s="440">
        <v>0</v>
      </c>
      <c r="D104" s="435" t="s">
        <v>442</v>
      </c>
      <c r="E104" s="31"/>
      <c r="F104" s="45" t="s">
        <v>253</v>
      </c>
      <c r="G104" s="45" t="s">
        <v>254</v>
      </c>
      <c r="H104" s="45" t="s">
        <v>253</v>
      </c>
    </row>
    <row r="105" spans="1:8">
      <c r="A105" s="27" t="s">
        <v>441</v>
      </c>
      <c r="B105" s="31" t="s">
        <v>255</v>
      </c>
      <c r="C105" s="441">
        <v>101325</v>
      </c>
      <c r="D105" s="437"/>
      <c r="E105" s="31"/>
      <c r="F105" s="31">
        <v>0</v>
      </c>
      <c r="G105" s="32">
        <v>610.48326959999986</v>
      </c>
      <c r="H105" s="31">
        <f t="shared" ref="H105:H136" si="14">F105</f>
        <v>0</v>
      </c>
    </row>
    <row r="106" spans="1:8">
      <c r="A106" s="27" t="s">
        <v>440</v>
      </c>
      <c r="B106" s="31" t="s">
        <v>255</v>
      </c>
      <c r="C106" s="331">
        <f>C105*EXP(-Combustion_Chaud3!C94/1000*9.80665/Combustion_Chaud3!B32/Combustion_Chaud3!B29*C104)</f>
        <v>101325</v>
      </c>
      <c r="D106" s="436"/>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4.25">
      <c r="A109" s="27" t="s">
        <v>256</v>
      </c>
      <c r="B109" s="124" t="s">
        <v>434</v>
      </c>
      <c r="C109" s="330">
        <f>R7</f>
        <v>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C115*Combustion_Chaud3!$C$15/Combustion_Chaud3!$C$94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Combustion_Chaud3!L75</f>
        <v>10.425951704007129</v>
      </c>
      <c r="D124" s="31"/>
      <c r="E124" s="31"/>
      <c r="F124" s="31">
        <v>38</v>
      </c>
      <c r="G124" s="32">
        <v>6625.0567007999998</v>
      </c>
      <c r="H124" s="31">
        <f t="shared" si="14"/>
        <v>38</v>
      </c>
    </row>
    <row r="125" spans="1:8" ht="15.75">
      <c r="A125" s="27" t="s">
        <v>439</v>
      </c>
      <c r="B125" s="31" t="s">
        <v>186</v>
      </c>
      <c r="C125" s="420">
        <f>Combustion_Chaud3!L86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C129*Combustion_Chaud3!$C$15/D130</f>
        <v>0.17346345372842753</v>
      </c>
      <c r="D130" s="133">
        <f>(Combustion_Chaud3!M77*Combustion_Chaud3!$C$25+Combustion_Chaud3!M78*Combustion_Chaud3!$C$13+Combustion_Chaud3!M79*Combustion_Chaud3!$C$11+Combustion_Chaud3!M80*Combustion_Chaud3!$C$26)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4.25">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1122700</v>
      </c>
      <c r="D138" s="31"/>
      <c r="E138" s="31"/>
      <c r="F138" s="31">
        <v>90</v>
      </c>
      <c r="G138" s="32">
        <v>70095.585023999985</v>
      </c>
      <c r="H138" s="31">
        <f t="shared" si="15"/>
        <v>90</v>
      </c>
    </row>
    <row r="139" spans="1:8">
      <c r="A139" s="31" t="s">
        <v>267</v>
      </c>
      <c r="B139" s="31" t="s">
        <v>433</v>
      </c>
      <c r="C139" s="58" t="str">
        <f>IF(C135,C138/C106,"-")</f>
        <v>-</v>
      </c>
      <c r="D139" s="31"/>
      <c r="E139" s="31"/>
      <c r="F139" s="31">
        <v>91</v>
      </c>
      <c r="G139" s="32">
        <v>72800.696519999983</v>
      </c>
      <c r="H139" s="31">
        <f t="shared" si="15"/>
        <v>91</v>
      </c>
    </row>
    <row r="140" spans="1:8">
      <c r="A140" s="31" t="s">
        <v>248</v>
      </c>
      <c r="B140" s="31" t="s">
        <v>433</v>
      </c>
      <c r="C140" s="58">
        <f>IF(C135,C132-C139,0)</f>
        <v>0</v>
      </c>
      <c r="D140" s="31"/>
      <c r="E140" s="31"/>
      <c r="F140" s="31">
        <v>92</v>
      </c>
      <c r="G140" s="32">
        <v>75592.467575999995</v>
      </c>
      <c r="H140" s="31">
        <f t="shared" si="15"/>
        <v>92</v>
      </c>
    </row>
    <row r="141" spans="1:8">
      <c r="A141" s="31" t="s">
        <v>248</v>
      </c>
      <c r="B141" s="31" t="s">
        <v>186</v>
      </c>
      <c r="C141" s="58">
        <f>IF(C135,C140*C124,0)</f>
        <v>0</v>
      </c>
      <c r="D141" s="31"/>
      <c r="E141" s="31"/>
      <c r="F141" s="31">
        <v>93</v>
      </c>
      <c r="G141" s="32">
        <v>78473.564639999997</v>
      </c>
      <c r="H141" s="31">
        <f t="shared" si="15"/>
        <v>93</v>
      </c>
    </row>
    <row r="142" spans="1:8">
      <c r="A142" s="31" t="s">
        <v>248</v>
      </c>
      <c r="B142" s="31" t="s">
        <v>268</v>
      </c>
      <c r="C142" s="76">
        <f>IF(C135,C141*Combustion_Chaud3!$C$15,0)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432</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41" t="s">
        <v>269</v>
      </c>
      <c r="G194" s="2342"/>
      <c r="H194" s="2343"/>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41" t="s">
        <v>272</v>
      </c>
      <c r="G200" s="2342"/>
      <c r="H200" s="2343"/>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41" t="s">
        <v>431</v>
      </c>
      <c r="G206" s="2342"/>
      <c r="H206" s="2343"/>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41" t="s">
        <v>273</v>
      </c>
      <c r="G212" s="2342"/>
      <c r="H212" s="2343"/>
    </row>
    <row r="213" spans="2:8">
      <c r="B213" s="31"/>
      <c r="C213" s="31"/>
      <c r="D213" s="31"/>
      <c r="E213" s="31"/>
      <c r="F213" s="43" t="s">
        <v>270</v>
      </c>
      <c r="G213" s="45" t="s">
        <v>271</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election activeCell="U38" sqref="U38"/>
    </sheetView>
  </sheetViews>
  <sheetFormatPr baseColWidth="10" defaultColWidth="11.42578125" defaultRowHeight="12.75"/>
  <cols>
    <col min="1" max="1" width="22.5703125" style="27" customWidth="1"/>
    <col min="2" max="2" width="11.42578125" style="27"/>
    <col min="3" max="3" width="29.425781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5703125" style="27" customWidth="1"/>
    <col min="16" max="16" width="12.140625" style="27" customWidth="1"/>
    <col min="17" max="18" width="10.5703125" style="27" customWidth="1"/>
    <col min="19" max="19" width="11.5703125" style="27" customWidth="1"/>
    <col min="20" max="22" width="10.5703125" style="27" customWidth="1"/>
    <col min="23" max="16384" width="11.42578125" style="27"/>
  </cols>
  <sheetData>
    <row r="2" spans="1:24">
      <c r="E2" s="28" t="s">
        <v>164</v>
      </c>
      <c r="F2" s="29" t="s">
        <v>19</v>
      </c>
      <c r="G2" s="30">
        <f>1-(G4/(G5+ABS(L27)))</f>
        <v>0.83747950019628004</v>
      </c>
    </row>
    <row r="4" spans="1:24">
      <c r="E4" s="31" t="s">
        <v>165</v>
      </c>
      <c r="F4" s="31" t="s">
        <v>166</v>
      </c>
      <c r="G4" s="373">
        <f>V27</f>
        <v>142744.78646146072</v>
      </c>
      <c r="H4" s="33"/>
    </row>
    <row r="5" spans="1:24">
      <c r="A5" s="34" t="s">
        <v>167</v>
      </c>
      <c r="E5" s="31" t="s">
        <v>168</v>
      </c>
      <c r="F5" s="31" t="s">
        <v>166</v>
      </c>
      <c r="G5" s="373">
        <f>P27+S27</f>
        <v>-4679.9930678642395</v>
      </c>
      <c r="J5" s="2351" t="s">
        <v>509</v>
      </c>
      <c r="K5" s="2352"/>
      <c r="L5" s="2352"/>
      <c r="M5" s="2353"/>
      <c r="N5" s="2344" t="s">
        <v>169</v>
      </c>
      <c r="O5" s="2345"/>
      <c r="P5" s="2345"/>
      <c r="Q5" s="2345"/>
      <c r="R5" s="2345"/>
      <c r="S5" s="2345"/>
      <c r="T5" s="2345"/>
      <c r="U5" s="2345"/>
      <c r="V5" s="2346"/>
    </row>
    <row r="6" spans="1:24">
      <c r="A6" s="418" t="s">
        <v>508</v>
      </c>
      <c r="J6" s="2354" t="s">
        <v>507</v>
      </c>
      <c r="K6" s="2355"/>
      <c r="L6" s="2355"/>
      <c r="M6" s="2356"/>
      <c r="N6" s="2366" t="s">
        <v>506</v>
      </c>
      <c r="O6" s="2367"/>
      <c r="P6" s="2368"/>
      <c r="Q6" s="2366" t="s">
        <v>170</v>
      </c>
      <c r="R6" s="2367"/>
      <c r="S6" s="2368"/>
      <c r="T6" s="2366" t="s">
        <v>223</v>
      </c>
      <c r="U6" s="2367"/>
      <c r="V6" s="2368"/>
    </row>
    <row r="7" spans="1:24" ht="14.25" customHeight="1">
      <c r="C7" s="2373" t="s">
        <v>505</v>
      </c>
      <c r="D7" s="2341" t="s">
        <v>504</v>
      </c>
      <c r="E7" s="2343"/>
      <c r="F7" s="2341" t="s">
        <v>503</v>
      </c>
      <c r="G7" s="2342"/>
      <c r="H7" s="2342"/>
      <c r="I7" s="2342"/>
      <c r="J7" s="36" t="s">
        <v>171</v>
      </c>
      <c r="K7" s="37" t="s">
        <v>172</v>
      </c>
      <c r="L7" s="37" t="s">
        <v>502</v>
      </c>
      <c r="M7" s="2357" t="s">
        <v>501</v>
      </c>
      <c r="N7" s="38" t="s">
        <v>173</v>
      </c>
      <c r="O7" s="39">
        <f>'3c. Calculateur MEÉ 2-3-4'!M40</f>
        <v>0</v>
      </c>
      <c r="P7" s="40"/>
      <c r="Q7" s="41" t="s">
        <v>173</v>
      </c>
      <c r="R7" s="42">
        <f>'3c. Calculateur MEÉ 2-3-4'!M39</f>
        <v>0</v>
      </c>
      <c r="S7" s="40"/>
      <c r="T7" s="41" t="s">
        <v>173</v>
      </c>
      <c r="U7" s="42">
        <f>Hypothèses!$G$53</f>
        <v>185</v>
      </c>
      <c r="V7" s="40"/>
    </row>
    <row r="8" spans="1:24" ht="39.75">
      <c r="C8" s="2374"/>
      <c r="D8" s="417" t="s">
        <v>500</v>
      </c>
      <c r="E8" s="416" t="s">
        <v>499</v>
      </c>
      <c r="F8" s="2349" t="s">
        <v>174</v>
      </c>
      <c r="G8" s="2350"/>
      <c r="H8" s="2350"/>
      <c r="I8" s="2350"/>
      <c r="J8" s="43" t="s">
        <v>175</v>
      </c>
      <c r="K8" s="45" t="s">
        <v>175</v>
      </c>
      <c r="L8" s="45"/>
      <c r="M8" s="2358"/>
      <c r="N8" s="45" t="s">
        <v>176</v>
      </c>
      <c r="O8" s="45" t="s">
        <v>177</v>
      </c>
      <c r="P8" s="44" t="s">
        <v>178</v>
      </c>
      <c r="Q8" s="43" t="s">
        <v>176</v>
      </c>
      <c r="R8" s="45" t="s">
        <v>177</v>
      </c>
      <c r="S8" s="44" t="s">
        <v>178</v>
      </c>
      <c r="T8" s="43" t="s">
        <v>176</v>
      </c>
      <c r="U8" s="45" t="s">
        <v>177</v>
      </c>
      <c r="V8" s="44" t="s">
        <v>178</v>
      </c>
    </row>
    <row r="9" spans="1:24" ht="22.5">
      <c r="B9" s="27" t="s">
        <v>44</v>
      </c>
      <c r="C9" s="365" t="s">
        <v>498</v>
      </c>
      <c r="D9" s="2375" t="s">
        <v>498</v>
      </c>
      <c r="E9" s="2376"/>
      <c r="F9" s="2370" t="s">
        <v>211</v>
      </c>
      <c r="G9" s="2371"/>
      <c r="H9" s="2371"/>
      <c r="I9" s="2372"/>
      <c r="J9" s="43"/>
      <c r="K9" s="45"/>
      <c r="L9" s="45"/>
      <c r="M9" s="415" t="s">
        <v>497</v>
      </c>
      <c r="N9" s="45"/>
      <c r="O9" s="45"/>
      <c r="P9" s="44"/>
      <c r="Q9" s="45"/>
      <c r="R9" s="45"/>
      <c r="S9" s="44"/>
      <c r="T9" s="45"/>
      <c r="U9" s="45"/>
      <c r="V9" s="44"/>
    </row>
    <row r="10" spans="1:24" ht="33.75">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row>
    <row r="11" spans="1:24" ht="15.75">
      <c r="A11" s="52" t="s">
        <v>188</v>
      </c>
      <c r="B11" s="53" t="s">
        <v>189</v>
      </c>
      <c r="C11" s="408">
        <v>31.998799999999999</v>
      </c>
      <c r="D11" s="401">
        <v>0</v>
      </c>
      <c r="E11" s="400">
        <v>0</v>
      </c>
      <c r="F11" s="55">
        <v>29.1</v>
      </c>
      <c r="G11" s="56">
        <v>1.1579999999999999</v>
      </c>
      <c r="H11" s="56">
        <v>-0.60760000000000003</v>
      </c>
      <c r="I11" s="56">
        <v>1.3109999999999999</v>
      </c>
      <c r="J11" s="57">
        <f t="shared" ref="J11:J26" si="0">N11*C11</f>
        <v>0</v>
      </c>
      <c r="K11" s="56">
        <f t="shared" ref="K11:K26" si="1">($E$29*(C11/1000))/($B$32*$B$29)*N11</f>
        <v>0</v>
      </c>
      <c r="L11" s="373">
        <f t="shared" ref="L11:L26" si="2">N11*E11</f>
        <v>0</v>
      </c>
      <c r="M11" s="397">
        <f t="shared" ref="M11:M26" si="3">N11*D11/2*$W$15</f>
        <v>0</v>
      </c>
      <c r="N11" s="59">
        <f>Combustion_Chaud4!C53/100</f>
        <v>0</v>
      </c>
      <c r="O11" s="58">
        <f t="shared" ref="O11:O26" si="4">AVERAGE($F11+$G11/100*O$7+$H11/100000*O$7^2+$I11/1000000000*O$7^3,$F11+$G11/100*$B$28+$H11/100000*$B$28^2+$I11/1000000000*$B$28^3)</f>
        <v>29.189302368703927</v>
      </c>
      <c r="P11" s="60">
        <f>N11*O11*(O$7-$B$28)</f>
        <v>0</v>
      </c>
      <c r="Q11" s="59">
        <f>Combustion_Chaud4!G88</f>
        <v>1.9809999999999999</v>
      </c>
      <c r="R11" s="58">
        <f t="shared" ref="R11:R26" si="5">AVERAGE($F11+$G11/100*R$7+$H11/100000*R$7^2+$I11/1000000000*R$7^3,$F11+$G11/100*$B$28+$H11/100000*$B$28^2+$I11/1000000000*$B$28^3)</f>
        <v>29.189302368703927</v>
      </c>
      <c r="S11" s="400">
        <f>Q11*R11*(R$7-$B$28)</f>
        <v>-899.16332428185854</v>
      </c>
      <c r="T11" s="59">
        <f>Combustion_Chaud4!L79</f>
        <v>0</v>
      </c>
      <c r="U11" s="58">
        <f t="shared" ref="U11:U26" si="6">AVERAGE($F11+$G11/100*U$7+$H11/100000*U$7^2+$I11/1000000000*U$7^3,$F11+$G11/100*$B$28+$H11/100000*$B$28^2+$I11/1000000000*$B$28^3)</f>
        <v>30.160627198891426</v>
      </c>
      <c r="V11" s="400">
        <f>T11*U11*(U$7-$B$28)</f>
        <v>0</v>
      </c>
    </row>
    <row r="12" spans="1:24">
      <c r="A12" s="61" t="s">
        <v>469</v>
      </c>
      <c r="B12" s="27" t="s">
        <v>190</v>
      </c>
      <c r="C12" s="402">
        <v>28.010100000000001</v>
      </c>
      <c r="D12" s="401">
        <v>0</v>
      </c>
      <c r="E12" s="400">
        <v>-282910</v>
      </c>
      <c r="F12" s="59">
        <v>28.95</v>
      </c>
      <c r="G12" s="58">
        <v>0.41099999999999998</v>
      </c>
      <c r="H12" s="58">
        <v>0.3548</v>
      </c>
      <c r="I12" s="58">
        <v>-2.2200000000000002</v>
      </c>
      <c r="J12" s="57">
        <f t="shared" si="0"/>
        <v>0</v>
      </c>
      <c r="K12" s="58">
        <f t="shared" si="1"/>
        <v>0</v>
      </c>
      <c r="L12" s="373">
        <f t="shared" si="2"/>
        <v>0</v>
      </c>
      <c r="M12" s="397">
        <f t="shared" si="3"/>
        <v>0</v>
      </c>
      <c r="N12" s="59">
        <f>Combustion_Chaud4!C54/100</f>
        <v>0</v>
      </c>
      <c r="O12" s="58">
        <f t="shared" si="4"/>
        <v>28.982380034002947</v>
      </c>
      <c r="P12" s="60">
        <f>N12*O12*(O$7-$B$28)</f>
        <v>0</v>
      </c>
      <c r="Q12" s="403"/>
      <c r="R12" s="58">
        <f t="shared" si="5"/>
        <v>28.982380034002947</v>
      </c>
      <c r="S12" s="400">
        <f>Q12*R12*(R$7-$B$28)</f>
        <v>0</v>
      </c>
      <c r="T12" s="403"/>
      <c r="U12" s="58">
        <f t="shared" si="6"/>
        <v>29.416242080252946</v>
      </c>
      <c r="V12" s="400">
        <f>T12*U12*(U$7-$B$28)</f>
        <v>0</v>
      </c>
    </row>
    <row r="13" spans="1:24" ht="15.75">
      <c r="A13" s="61" t="s">
        <v>454</v>
      </c>
      <c r="B13" s="27" t="s">
        <v>191</v>
      </c>
      <c r="C13" s="402">
        <v>44.009500000000003</v>
      </c>
      <c r="D13" s="401">
        <v>0</v>
      </c>
      <c r="E13" s="400">
        <v>0</v>
      </c>
      <c r="F13" s="59">
        <v>36.11</v>
      </c>
      <c r="G13" s="58">
        <v>4.2329999999999997</v>
      </c>
      <c r="H13" s="58">
        <v>-2.887</v>
      </c>
      <c r="I13" s="58">
        <v>7.4640000000000004</v>
      </c>
      <c r="J13" s="57">
        <f t="shared" si="0"/>
        <v>0.28166080000000004</v>
      </c>
      <c r="K13" s="58">
        <f t="shared" si="1"/>
        <v>1.1916985502539782E-2</v>
      </c>
      <c r="L13" s="373">
        <f t="shared" si="2"/>
        <v>0</v>
      </c>
      <c r="M13" s="397">
        <f t="shared" si="3"/>
        <v>0</v>
      </c>
      <c r="N13" s="59">
        <f>Combustion_Chaud4!C55/100</f>
        <v>6.4000000000000003E-3</v>
      </c>
      <c r="O13" s="58">
        <f t="shared" si="4"/>
        <v>36.435639363340258</v>
      </c>
      <c r="P13" s="60">
        <f>N13*O13*(O$7-$B$28)</f>
        <v>-3.6260748294396228</v>
      </c>
      <c r="Q13" s="403"/>
      <c r="R13" s="58">
        <f t="shared" si="5"/>
        <v>36.435639363340258</v>
      </c>
      <c r="S13" s="400">
        <f>Q13*R13*(R$7-$B$28)</f>
        <v>0</v>
      </c>
      <c r="T13" s="59">
        <f>Combustion_Chaud4!L78</f>
        <v>1.0020999999999998</v>
      </c>
      <c r="U13" s="58">
        <f t="shared" si="6"/>
        <v>39.88075611284026</v>
      </c>
      <c r="V13" s="400">
        <f>T13*U13*(U$7-$B$28)</f>
        <v>6771.9854909797532</v>
      </c>
    </row>
    <row r="14" spans="1:24" ht="15.75">
      <c r="A14" s="61" t="s">
        <v>192</v>
      </c>
      <c r="B14" s="27" t="s">
        <v>193</v>
      </c>
      <c r="C14" s="402">
        <v>2.0158800000000001</v>
      </c>
      <c r="D14" s="401">
        <v>2</v>
      </c>
      <c r="E14" s="400">
        <v>-286130</v>
      </c>
      <c r="F14" s="59">
        <v>28.84</v>
      </c>
      <c r="G14" s="58">
        <v>7.6499999999999997E-3</v>
      </c>
      <c r="H14" s="58">
        <v>0.32879999999999998</v>
      </c>
      <c r="I14" s="58">
        <v>-0.86980000000000002</v>
      </c>
      <c r="J14" s="57">
        <f t="shared" si="0"/>
        <v>0</v>
      </c>
      <c r="K14" s="58">
        <f t="shared" si="1"/>
        <v>0</v>
      </c>
      <c r="L14" s="373">
        <f t="shared" si="2"/>
        <v>0</v>
      </c>
      <c r="M14" s="397">
        <f t="shared" si="3"/>
        <v>0</v>
      </c>
      <c r="N14" s="59">
        <f>Combustion_Chaud4!C56/100</f>
        <v>0</v>
      </c>
      <c r="O14" s="58">
        <f t="shared" si="4"/>
        <v>28.840990675573444</v>
      </c>
      <c r="P14" s="60">
        <f>N14*O14*(O$7-$B$28)</f>
        <v>0</v>
      </c>
      <c r="Q14" s="403"/>
      <c r="R14" s="58">
        <f t="shared" si="5"/>
        <v>28.840990675573444</v>
      </c>
      <c r="S14" s="400">
        <f>Q14*R14*(R$7-$B$28)</f>
        <v>0</v>
      </c>
      <c r="T14" s="403"/>
      <c r="U14" s="58">
        <f t="shared" si="6"/>
        <v>28.90157920186094</v>
      </c>
      <c r="V14" s="400">
        <f>T14*U14*(U$7-$B$28)</f>
        <v>0</v>
      </c>
    </row>
    <row r="15" spans="1:24" ht="15.75">
      <c r="A15" s="61" t="s">
        <v>194</v>
      </c>
      <c r="B15" s="27" t="s">
        <v>468</v>
      </c>
      <c r="C15" s="402">
        <v>18.015280000000001</v>
      </c>
      <c r="D15" s="401">
        <v>2</v>
      </c>
      <c r="E15" s="400">
        <v>0</v>
      </c>
      <c r="F15" s="59">
        <v>33.46</v>
      </c>
      <c r="G15" s="58">
        <v>0.68799999999999994</v>
      </c>
      <c r="H15" s="58">
        <v>0.76039999999999996</v>
      </c>
      <c r="I15" s="58">
        <v>-3.593</v>
      </c>
      <c r="J15" s="57">
        <f t="shared" si="0"/>
        <v>0</v>
      </c>
      <c r="K15" s="58">
        <f t="shared" si="1"/>
        <v>0</v>
      </c>
      <c r="L15" s="373">
        <f t="shared" si="2"/>
        <v>0</v>
      </c>
      <c r="M15" s="397">
        <f t="shared" si="3"/>
        <v>0</v>
      </c>
      <c r="N15" s="59">
        <f>Combustion_Chaud4!C57/100</f>
        <v>0</v>
      </c>
      <c r="O15" s="58">
        <f t="shared" si="4"/>
        <v>33.514404578213124</v>
      </c>
      <c r="P15" s="60">
        <f>N15*(W15+O15*(O$7-$B$28))</f>
        <v>0</v>
      </c>
      <c r="Q15" s="59">
        <f>Combustion_Chaud4!G89</f>
        <v>2.8419786239875467E-3</v>
      </c>
      <c r="R15" s="58">
        <f t="shared" si="5"/>
        <v>33.514404578213124</v>
      </c>
      <c r="S15" s="400">
        <f>Q15*(W15+R15*(R$7-$B$28))</f>
        <v>124.72549244116087</v>
      </c>
      <c r="T15" s="59">
        <f>Combustion_Chaud4!L81-T16</f>
        <v>1.9734419786239874</v>
      </c>
      <c r="U15" s="58">
        <f t="shared" si="6"/>
        <v>34.269553263900619</v>
      </c>
      <c r="V15" s="404">
        <f>((T15-G89)*$W$15)+(T15*U15*(U$7-$B$28))</f>
        <v>98970.134613694434</v>
      </c>
      <c r="W15" s="375">
        <v>44408</v>
      </c>
      <c r="X15" s="27" t="s">
        <v>195</v>
      </c>
    </row>
    <row r="16" spans="1:24" ht="15.75">
      <c r="A16" s="61" t="s">
        <v>196</v>
      </c>
      <c r="B16" s="27" t="s">
        <v>494</v>
      </c>
      <c r="C16" s="402">
        <f>C15</f>
        <v>18.015280000000001</v>
      </c>
      <c r="D16" s="401">
        <v>2</v>
      </c>
      <c r="E16" s="400">
        <v>0</v>
      </c>
      <c r="F16" s="59">
        <v>75.400000000000006</v>
      </c>
      <c r="G16" s="58">
        <v>0</v>
      </c>
      <c r="H16" s="58">
        <v>0</v>
      </c>
      <c r="I16" s="58">
        <v>0</v>
      </c>
      <c r="J16" s="57">
        <f t="shared" si="0"/>
        <v>0</v>
      </c>
      <c r="K16" s="58">
        <f t="shared" si="1"/>
        <v>0</v>
      </c>
      <c r="L16" s="373">
        <f t="shared" si="2"/>
        <v>0</v>
      </c>
      <c r="M16" s="397">
        <f t="shared" si="3"/>
        <v>0</v>
      </c>
      <c r="N16" s="59">
        <v>0</v>
      </c>
      <c r="O16" s="58">
        <f t="shared" si="4"/>
        <v>75.400000000000006</v>
      </c>
      <c r="P16" s="60">
        <f t="shared" ref="P16:P26" si="7">N16*O16*(O$7-$B$28)</f>
        <v>0</v>
      </c>
      <c r="Q16" s="403"/>
      <c r="R16" s="58">
        <f t="shared" si="5"/>
        <v>75.400000000000006</v>
      </c>
      <c r="S16" s="400">
        <f t="shared" ref="S16:S26" si="8">Q16*R16*(R$7-$B$28)</f>
        <v>0</v>
      </c>
      <c r="T16" s="59">
        <f>Combustion_Chaud4!L92</f>
        <v>0</v>
      </c>
      <c r="U16" s="58">
        <f t="shared" si="6"/>
        <v>75.400000000000006</v>
      </c>
      <c r="V16" s="404">
        <f t="shared" ref="V16:V26" si="9">T16*U16*(U$7-$B$28)</f>
        <v>0</v>
      </c>
    </row>
    <row r="17" spans="1:22" ht="15.75">
      <c r="A17" s="61" t="s">
        <v>197</v>
      </c>
      <c r="B17" s="27" t="s">
        <v>198</v>
      </c>
      <c r="C17" s="402">
        <v>16.042459999999998</v>
      </c>
      <c r="D17" s="401">
        <v>4</v>
      </c>
      <c r="E17" s="400">
        <v>-891460</v>
      </c>
      <c r="F17" s="59">
        <v>34.31</v>
      </c>
      <c r="G17" s="58">
        <v>5.4690000000000003</v>
      </c>
      <c r="H17" s="58">
        <v>0.36609999999999998</v>
      </c>
      <c r="I17" s="58">
        <v>-11</v>
      </c>
      <c r="J17" s="57">
        <f t="shared" si="0"/>
        <v>15.347821481999999</v>
      </c>
      <c r="K17" s="58">
        <f t="shared" si="1"/>
        <v>0.6493618071686319</v>
      </c>
      <c r="L17" s="373">
        <f t="shared" si="2"/>
        <v>-852859.78200000001</v>
      </c>
      <c r="M17" s="397">
        <f t="shared" si="3"/>
        <v>84970.267200000002</v>
      </c>
      <c r="N17" s="59">
        <f>Combustion_Chaud4!C58/100</f>
        <v>0.95669999999999999</v>
      </c>
      <c r="O17" s="58">
        <f t="shared" si="4"/>
        <v>34.735636689317438</v>
      </c>
      <c r="P17" s="60">
        <f t="shared" si="7"/>
        <v>-516.75112530141848</v>
      </c>
      <c r="Q17" s="403"/>
      <c r="R17" s="58">
        <f t="shared" si="5"/>
        <v>34.735636689317438</v>
      </c>
      <c r="S17" s="400">
        <f t="shared" si="8"/>
        <v>0</v>
      </c>
      <c r="T17" s="403"/>
      <c r="U17" s="58">
        <f t="shared" si="6"/>
        <v>39.822286614317434</v>
      </c>
      <c r="V17" s="400">
        <f t="shared" si="9"/>
        <v>0</v>
      </c>
    </row>
    <row r="18" spans="1:22" ht="15.75">
      <c r="A18" s="61" t="s">
        <v>199</v>
      </c>
      <c r="B18" s="27" t="s">
        <v>467</v>
      </c>
      <c r="C18" s="402">
        <v>30.09562</v>
      </c>
      <c r="D18" s="401">
        <v>6</v>
      </c>
      <c r="E18" s="400">
        <v>-1562060</v>
      </c>
      <c r="F18" s="59">
        <v>49.37</v>
      </c>
      <c r="G18" s="58">
        <v>13.92</v>
      </c>
      <c r="H18" s="58">
        <v>-5.8159999999999998</v>
      </c>
      <c r="I18" s="58">
        <v>7.28</v>
      </c>
      <c r="J18" s="57">
        <f t="shared" si="0"/>
        <v>0.4875490440000001</v>
      </c>
      <c r="K18" s="58">
        <f t="shared" si="1"/>
        <v>2.0628056474756629E-2</v>
      </c>
      <c r="L18" s="373">
        <f t="shared" si="2"/>
        <v>-25305.372000000003</v>
      </c>
      <c r="M18" s="397">
        <f t="shared" si="3"/>
        <v>2158.2288000000003</v>
      </c>
      <c r="N18" s="59">
        <f>Combustion_Chaud4!C59/100</f>
        <v>1.6200000000000003E-2</v>
      </c>
      <c r="O18" s="58">
        <f t="shared" si="4"/>
        <v>50.445262069805104</v>
      </c>
      <c r="P18" s="60">
        <f t="shared" si="7"/>
        <v>-12.707665968004607</v>
      </c>
      <c r="Q18" s="403"/>
      <c r="R18" s="58">
        <f t="shared" si="5"/>
        <v>50.445262069805104</v>
      </c>
      <c r="S18" s="400">
        <f t="shared" si="8"/>
        <v>0</v>
      </c>
      <c r="T18" s="403"/>
      <c r="U18" s="58">
        <f t="shared" si="6"/>
        <v>62.349046184805104</v>
      </c>
      <c r="V18" s="400">
        <f t="shared" si="9"/>
        <v>0</v>
      </c>
    </row>
    <row r="19" spans="1:22" ht="15.75">
      <c r="A19" s="61" t="s">
        <v>200</v>
      </c>
      <c r="B19" s="27" t="s">
        <v>466</v>
      </c>
      <c r="C19" s="402">
        <v>44.095619999999997</v>
      </c>
      <c r="D19" s="401">
        <v>8</v>
      </c>
      <c r="E19" s="400">
        <v>-2220990</v>
      </c>
      <c r="F19" s="59">
        <v>68.031999999999996</v>
      </c>
      <c r="G19" s="58">
        <v>22.59</v>
      </c>
      <c r="H19" s="58">
        <v>-13.11</v>
      </c>
      <c r="I19" s="58">
        <v>31.71</v>
      </c>
      <c r="J19" s="57">
        <f t="shared" si="0"/>
        <v>6.1733868000000004E-2</v>
      </c>
      <c r="K19" s="58">
        <f t="shared" si="1"/>
        <v>2.611941775254862E-3</v>
      </c>
      <c r="L19" s="373">
        <f t="shared" si="2"/>
        <v>-3109.3860000000004</v>
      </c>
      <c r="M19" s="397">
        <f t="shared" si="3"/>
        <v>248.68480000000002</v>
      </c>
      <c r="N19" s="59">
        <f>Combustion_Chaud4!C60/100</f>
        <v>1.4000000000000002E-3</v>
      </c>
      <c r="O19" s="58">
        <f t="shared" si="4"/>
        <v>69.772581961382798</v>
      </c>
      <c r="P19" s="60">
        <f t="shared" si="7"/>
        <v>-1.5189491092993039</v>
      </c>
      <c r="Q19" s="403"/>
      <c r="R19" s="58">
        <f t="shared" si="5"/>
        <v>69.772581961382798</v>
      </c>
      <c r="S19" s="400">
        <f t="shared" si="8"/>
        <v>0</v>
      </c>
      <c r="T19" s="403"/>
      <c r="U19" s="58">
        <f t="shared" si="6"/>
        <v>88.525271125757797</v>
      </c>
      <c r="V19" s="400">
        <f t="shared" si="9"/>
        <v>0</v>
      </c>
    </row>
    <row r="20" spans="1:22" ht="15.75">
      <c r="A20" s="61" t="s">
        <v>493</v>
      </c>
      <c r="B20" s="27" t="s">
        <v>492</v>
      </c>
      <c r="C20" s="402">
        <v>58.122199999999999</v>
      </c>
      <c r="D20" s="401">
        <v>10</v>
      </c>
      <c r="E20" s="404">
        <v>-2870450</v>
      </c>
      <c r="F20" s="59">
        <v>89.46</v>
      </c>
      <c r="G20" s="58">
        <v>30.13</v>
      </c>
      <c r="H20" s="58">
        <v>-18.91</v>
      </c>
      <c r="I20" s="58">
        <v>49.87</v>
      </c>
      <c r="J20" s="57">
        <f t="shared" si="0"/>
        <v>2.324888E-2</v>
      </c>
      <c r="K20" s="58">
        <f t="shared" si="1"/>
        <v>9.8365326630573758E-4</v>
      </c>
      <c r="L20" s="373">
        <f t="shared" si="2"/>
        <v>-1148.18</v>
      </c>
      <c r="M20" s="397">
        <f t="shared" si="3"/>
        <v>88.816000000000003</v>
      </c>
      <c r="N20" s="59">
        <f>Combustion_Chaud4!C61/100</f>
        <v>4.0000000000000002E-4</v>
      </c>
      <c r="O20" s="58">
        <f t="shared" si="4"/>
        <v>91.779838829944993</v>
      </c>
      <c r="P20" s="60">
        <f t="shared" si="7"/>
        <v>-0.57087059752225788</v>
      </c>
      <c r="Q20" s="403"/>
      <c r="R20" s="58">
        <f t="shared" si="5"/>
        <v>91.779838829944993</v>
      </c>
      <c r="S20" s="400">
        <f t="shared" si="8"/>
        <v>0</v>
      </c>
      <c r="T20" s="403"/>
      <c r="U20" s="58">
        <f t="shared" si="6"/>
        <v>116.57199414932001</v>
      </c>
      <c r="V20" s="400">
        <f t="shared" si="9"/>
        <v>0</v>
      </c>
    </row>
    <row r="21" spans="1:22" ht="15.75">
      <c r="A21" s="61" t="s">
        <v>201</v>
      </c>
      <c r="B21" s="27" t="s">
        <v>491</v>
      </c>
      <c r="C21" s="402">
        <f>C20</f>
        <v>58.122199999999999</v>
      </c>
      <c r="D21" s="401">
        <v>10</v>
      </c>
      <c r="E21" s="407">
        <v>-2879630</v>
      </c>
      <c r="F21" s="59">
        <v>92.3</v>
      </c>
      <c r="G21" s="58">
        <v>27.88</v>
      </c>
      <c r="H21" s="58">
        <v>-15.47</v>
      </c>
      <c r="I21" s="58">
        <v>34.979999999999997</v>
      </c>
      <c r="J21" s="57">
        <f t="shared" si="0"/>
        <v>1.162444E-2</v>
      </c>
      <c r="K21" s="58">
        <f t="shared" si="1"/>
        <v>4.9182663315286879E-4</v>
      </c>
      <c r="L21" s="373">
        <f t="shared" si="2"/>
        <v>-575.92600000000004</v>
      </c>
      <c r="M21" s="397">
        <f t="shared" si="3"/>
        <v>44.408000000000001</v>
      </c>
      <c r="N21" s="59">
        <f>Combustion_Chaud4!C62/100</f>
        <v>2.0000000000000001E-4</v>
      </c>
      <c r="O21" s="58">
        <f t="shared" si="4"/>
        <v>94.449032339530021</v>
      </c>
      <c r="P21" s="60">
        <f t="shared" si="7"/>
        <v>-0.29373649057593837</v>
      </c>
      <c r="Q21" s="403"/>
      <c r="R21" s="58">
        <f t="shared" si="5"/>
        <v>94.449032339530021</v>
      </c>
      <c r="S21" s="400">
        <f t="shared" si="8"/>
        <v>0</v>
      </c>
      <c r="T21" s="403"/>
      <c r="U21" s="58">
        <f t="shared" si="6"/>
        <v>117.70146871078001</v>
      </c>
      <c r="V21" s="400">
        <f t="shared" si="9"/>
        <v>0</v>
      </c>
    </row>
    <row r="22" spans="1:22"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0"/>
        <v>0</v>
      </c>
      <c r="K22" s="58">
        <f t="shared" si="1"/>
        <v>0</v>
      </c>
      <c r="L22" s="373">
        <f t="shared" si="2"/>
        <v>0</v>
      </c>
      <c r="M22" s="397">
        <f t="shared" si="3"/>
        <v>0</v>
      </c>
      <c r="N22" s="59">
        <f>Combustion_Chaud4!C63/100</f>
        <v>0</v>
      </c>
      <c r="O22" s="58">
        <f t="shared" si="4"/>
        <v>117.42761780203513</v>
      </c>
      <c r="P22" s="60">
        <f t="shared" si="7"/>
        <v>0</v>
      </c>
      <c r="Q22" s="403"/>
      <c r="R22" s="58">
        <f t="shared" si="5"/>
        <v>117.42761780203513</v>
      </c>
      <c r="S22" s="400">
        <f t="shared" si="8"/>
        <v>0</v>
      </c>
      <c r="T22" s="403"/>
      <c r="U22" s="58">
        <f t="shared" si="6"/>
        <v>145.84499128828514</v>
      </c>
      <c r="V22" s="400">
        <f t="shared" si="9"/>
        <v>0</v>
      </c>
    </row>
    <row r="23" spans="1:22" ht="15.75">
      <c r="A23" s="61" t="s">
        <v>461</v>
      </c>
      <c r="B23" s="27" t="s">
        <v>460</v>
      </c>
      <c r="C23" s="402">
        <f>C22</f>
        <v>72.148780000000002</v>
      </c>
      <c r="D23" s="401">
        <v>12</v>
      </c>
      <c r="E23" s="404">
        <v>-3538450</v>
      </c>
      <c r="F23" s="59">
        <v>114.8</v>
      </c>
      <c r="G23" s="58">
        <v>34.090000000000003</v>
      </c>
      <c r="H23" s="58">
        <v>-18.989999999999998</v>
      </c>
      <c r="I23" s="58">
        <v>42.26</v>
      </c>
      <c r="J23" s="57">
        <f t="shared" si="0"/>
        <v>0</v>
      </c>
      <c r="K23" s="58">
        <f t="shared" si="1"/>
        <v>0</v>
      </c>
      <c r="L23" s="373">
        <f t="shared" si="2"/>
        <v>0</v>
      </c>
      <c r="M23" s="397">
        <f t="shared" si="3"/>
        <v>0</v>
      </c>
      <c r="N23" s="59">
        <f>Combustion_Chaud4!C64/100</f>
        <v>0</v>
      </c>
      <c r="O23" s="58">
        <f t="shared" si="4"/>
        <v>117.42761780203513</v>
      </c>
      <c r="P23" s="60">
        <f t="shared" si="7"/>
        <v>0</v>
      </c>
      <c r="Q23" s="403"/>
      <c r="R23" s="58">
        <f t="shared" si="5"/>
        <v>117.42761780203513</v>
      </c>
      <c r="S23" s="400">
        <f t="shared" si="8"/>
        <v>0</v>
      </c>
      <c r="T23" s="403"/>
      <c r="U23" s="58">
        <f t="shared" si="6"/>
        <v>145.84499128828514</v>
      </c>
      <c r="V23" s="400">
        <f t="shared" si="9"/>
        <v>0</v>
      </c>
    </row>
    <row r="24" spans="1:22" ht="15.75">
      <c r="A24" s="61" t="s">
        <v>459</v>
      </c>
      <c r="B24" s="27" t="s">
        <v>458</v>
      </c>
      <c r="C24" s="402">
        <v>86.175359999999998</v>
      </c>
      <c r="D24" s="401">
        <v>14</v>
      </c>
      <c r="E24" s="400">
        <v>-4198060</v>
      </c>
      <c r="F24" s="59">
        <v>137.44</v>
      </c>
      <c r="G24" s="58">
        <v>40.85</v>
      </c>
      <c r="H24" s="58">
        <v>-23.92</v>
      </c>
      <c r="I24" s="58">
        <v>57.66</v>
      </c>
      <c r="J24" s="57">
        <f t="shared" si="0"/>
        <v>0</v>
      </c>
      <c r="K24" s="58">
        <f t="shared" si="1"/>
        <v>0</v>
      </c>
      <c r="L24" s="373">
        <f t="shared" si="2"/>
        <v>0</v>
      </c>
      <c r="M24" s="397">
        <f t="shared" si="3"/>
        <v>0</v>
      </c>
      <c r="N24" s="59">
        <f>Combustion_Chaud4!C65/100</f>
        <v>0</v>
      </c>
      <c r="O24" s="58">
        <f t="shared" si="4"/>
        <v>140.58727632263245</v>
      </c>
      <c r="P24" s="60">
        <f t="shared" si="7"/>
        <v>0</v>
      </c>
      <c r="Q24" s="403"/>
      <c r="R24" s="58">
        <f t="shared" si="5"/>
        <v>140.58727632263245</v>
      </c>
      <c r="S24" s="400">
        <f t="shared" si="8"/>
        <v>0</v>
      </c>
      <c r="T24" s="403"/>
      <c r="U24" s="58">
        <f t="shared" si="6"/>
        <v>174.46275707138244</v>
      </c>
      <c r="V24" s="400">
        <f t="shared" si="9"/>
        <v>0</v>
      </c>
    </row>
    <row r="25" spans="1:22" ht="15.75">
      <c r="A25" s="61" t="s">
        <v>202</v>
      </c>
      <c r="B25" s="27" t="s">
        <v>203</v>
      </c>
      <c r="C25" s="402">
        <v>28.013400000000001</v>
      </c>
      <c r="D25" s="401">
        <v>0</v>
      </c>
      <c r="E25" s="400">
        <v>0</v>
      </c>
      <c r="F25" s="59">
        <v>29</v>
      </c>
      <c r="G25" s="58">
        <v>0.21990000000000001</v>
      </c>
      <c r="H25" s="58">
        <v>0.57230000000000003</v>
      </c>
      <c r="I25" s="58">
        <v>-2.871</v>
      </c>
      <c r="J25" s="57">
        <f t="shared" si="0"/>
        <v>0.51544656</v>
      </c>
      <c r="K25" s="58">
        <f t="shared" si="1"/>
        <v>2.1808392161259224E-2</v>
      </c>
      <c r="L25" s="373">
        <f t="shared" si="2"/>
        <v>0</v>
      </c>
      <c r="M25" s="397">
        <f t="shared" si="3"/>
        <v>0</v>
      </c>
      <c r="N25" s="59">
        <f>Combustion_Chaud4!C66/100</f>
        <v>1.84E-2</v>
      </c>
      <c r="O25" s="58">
        <f t="shared" si="4"/>
        <v>29.017783745332302</v>
      </c>
      <c r="P25" s="60">
        <f t="shared" si="7"/>
        <v>-8.3025682852144786</v>
      </c>
      <c r="Q25" s="59">
        <f>Combustion_Chaud4!G87</f>
        <v>7.4501097253831423</v>
      </c>
      <c r="R25" s="58">
        <f t="shared" si="5"/>
        <v>29.017783745332302</v>
      </c>
      <c r="S25" s="400">
        <f t="shared" si="8"/>
        <v>-3361.6872134420669</v>
      </c>
      <c r="T25" s="59">
        <f>Combustion_Chaud4!L77</f>
        <v>7.4501097253831423</v>
      </c>
      <c r="U25" s="58">
        <f t="shared" si="6"/>
        <v>29.310037035144802</v>
      </c>
      <c r="V25" s="400">
        <f t="shared" si="9"/>
        <v>37001.608988786524</v>
      </c>
    </row>
    <row r="26" spans="1:22">
      <c r="A26" s="63" t="s">
        <v>204</v>
      </c>
      <c r="B26" s="64" t="s">
        <v>205</v>
      </c>
      <c r="C26" s="399">
        <v>4.0026020000000004</v>
      </c>
      <c r="D26" s="398">
        <v>0</v>
      </c>
      <c r="E26" s="393">
        <v>0</v>
      </c>
      <c r="F26" s="67">
        <v>20.8</v>
      </c>
      <c r="G26" s="68">
        <v>0</v>
      </c>
      <c r="H26" s="68">
        <v>0</v>
      </c>
      <c r="I26" s="68">
        <v>0</v>
      </c>
      <c r="J26" s="69">
        <f t="shared" si="0"/>
        <v>1.2007806E-3</v>
      </c>
      <c r="K26" s="68">
        <f t="shared" si="1"/>
        <v>5.0804673571654341E-5</v>
      </c>
      <c r="L26" s="370">
        <f t="shared" si="2"/>
        <v>0</v>
      </c>
      <c r="M26" s="397">
        <f t="shared" si="3"/>
        <v>0</v>
      </c>
      <c r="N26" s="67">
        <f>Combustion_Chaud4!C67/100</f>
        <v>2.9999999999999997E-4</v>
      </c>
      <c r="O26" s="68">
        <f t="shared" si="4"/>
        <v>20.8</v>
      </c>
      <c r="P26" s="396">
        <f t="shared" si="7"/>
        <v>-9.7032000000000007E-2</v>
      </c>
      <c r="Q26" s="395"/>
      <c r="R26" s="68">
        <f t="shared" si="5"/>
        <v>20.8</v>
      </c>
      <c r="S26" s="393">
        <f t="shared" si="8"/>
        <v>0</v>
      </c>
      <c r="T26" s="394">
        <f>L80</f>
        <v>2.9999999999999997E-4</v>
      </c>
      <c r="U26" s="68">
        <f t="shared" si="6"/>
        <v>20.8</v>
      </c>
      <c r="V26" s="393">
        <f t="shared" si="9"/>
        <v>1.0573679999999999</v>
      </c>
    </row>
    <row r="27" spans="1:22">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142744.78646146072</v>
      </c>
    </row>
    <row r="28" spans="1:22">
      <c r="A28" s="46" t="s">
        <v>489</v>
      </c>
      <c r="B28" s="386">
        <v>15.55</v>
      </c>
      <c r="C28" s="46" t="s">
        <v>488</v>
      </c>
      <c r="D28" s="46" t="s">
        <v>295</v>
      </c>
      <c r="E28" s="386">
        <v>14.73</v>
      </c>
      <c r="F28" s="27" t="s">
        <v>487</v>
      </c>
    </row>
    <row r="29" spans="1:22">
      <c r="A29" s="46"/>
      <c r="B29" s="385">
        <f>B28+273.15</f>
        <v>288.7</v>
      </c>
      <c r="C29" s="46" t="s">
        <v>486</v>
      </c>
      <c r="D29" s="46"/>
      <c r="E29" s="384">
        <f>E28/0.145038*1000</f>
        <v>101559.59127952674</v>
      </c>
      <c r="F29" s="27" t="s">
        <v>255</v>
      </c>
      <c r="J29" s="2359" t="s">
        <v>485</v>
      </c>
      <c r="K29" s="2360"/>
      <c r="L29" s="2361"/>
    </row>
    <row r="30" spans="1:22">
      <c r="A30" s="46" t="s">
        <v>484</v>
      </c>
      <c r="J30" s="383" t="s">
        <v>483</v>
      </c>
      <c r="K30" s="382" t="s">
        <v>482</v>
      </c>
      <c r="L30" s="381"/>
      <c r="N30" s="31"/>
      <c r="U30" s="32"/>
      <c r="V30" s="32"/>
    </row>
    <row r="31" spans="1:22">
      <c r="D31" s="31"/>
      <c r="J31" s="380">
        <f>K31-M27/1000</f>
        <v>795.48824120000018</v>
      </c>
      <c r="K31" s="379">
        <f>ABS(L27/1000)</f>
        <v>882.99864600000012</v>
      </c>
      <c r="L31" s="74" t="s">
        <v>207</v>
      </c>
    </row>
    <row r="32" spans="1:22">
      <c r="A32" s="46" t="s">
        <v>481</v>
      </c>
      <c r="B32" s="45">
        <v>8.3144621000000001</v>
      </c>
      <c r="C32" s="27" t="s">
        <v>480</v>
      </c>
      <c r="J32" s="374">
        <f>J31/(J27/1000)</f>
        <v>47547.797336725132</v>
      </c>
      <c r="K32" s="373">
        <f>K31/(J27/1000)</f>
        <v>52778.455411580377</v>
      </c>
      <c r="L32" s="75" t="s">
        <v>208</v>
      </c>
    </row>
    <row r="33" spans="1:13" ht="14.25">
      <c r="F33" s="32"/>
      <c r="I33" s="31"/>
      <c r="J33" s="378">
        <f>(J32/1000)*K27</f>
        <v>33.656873224180529</v>
      </c>
      <c r="K33" s="377">
        <f>(K32/1000)*K27</f>
        <v>37.359412680586914</v>
      </c>
      <c r="L33" s="75" t="s">
        <v>209</v>
      </c>
      <c r="M33" s="27" t="s">
        <v>473</v>
      </c>
    </row>
    <row r="34" spans="1:13">
      <c r="A34" s="34" t="s">
        <v>479</v>
      </c>
      <c r="F34" s="32"/>
      <c r="I34" s="31"/>
      <c r="J34" s="376"/>
      <c r="K34" s="375"/>
      <c r="L34" s="75"/>
    </row>
    <row r="35" spans="1:13" ht="14.25">
      <c r="A35" s="372" t="s">
        <v>478</v>
      </c>
      <c r="F35" s="32"/>
      <c r="I35" s="32"/>
      <c r="J35" s="374">
        <f>(J33*1000)/1.055056*0.02831685</f>
        <v>903.32326488654292</v>
      </c>
      <c r="K35" s="373">
        <f>(K33*1000)/1.055056*0.02831685</f>
        <v>1002.696430297802</v>
      </c>
      <c r="L35" s="75" t="s">
        <v>477</v>
      </c>
      <c r="M35" s="27" t="s">
        <v>473</v>
      </c>
    </row>
    <row r="36" spans="1:13" ht="15.75">
      <c r="A36" s="372" t="s">
        <v>476</v>
      </c>
      <c r="J36" s="374">
        <f>(J32/1.055056)*0.4535924</f>
        <v>20441.871814082628</v>
      </c>
      <c r="K36" s="373">
        <f>(K32/1.055056)*0.4535924</f>
        <v>22690.649840796821</v>
      </c>
      <c r="L36" s="75" t="s">
        <v>475</v>
      </c>
    </row>
    <row r="37" spans="1:13">
      <c r="A37" s="372"/>
      <c r="J37" s="371">
        <f>J35/7.480519</f>
        <v>120.75676365323621</v>
      </c>
      <c r="K37" s="370">
        <f>K35/7.480519</f>
        <v>134.04102446605668</v>
      </c>
      <c r="L37" s="78" t="s">
        <v>474</v>
      </c>
      <c r="M37" s="27" t="s">
        <v>473</v>
      </c>
    </row>
    <row r="39" spans="1:13">
      <c r="B39" s="31"/>
      <c r="F39" s="46"/>
      <c r="H39" s="79"/>
    </row>
    <row r="40" spans="1:13">
      <c r="B40" s="31"/>
      <c r="F40" s="80" t="s">
        <v>212</v>
      </c>
      <c r="H40" s="46"/>
    </row>
    <row r="41" spans="1:13">
      <c r="B41" s="31"/>
      <c r="E41" s="81" t="s">
        <v>202</v>
      </c>
      <c r="F41" s="369">
        <v>0.78995048751598307</v>
      </c>
      <c r="H41" s="46"/>
    </row>
    <row r="42" spans="1:13">
      <c r="B42" s="31"/>
      <c r="E42" s="81" t="s">
        <v>188</v>
      </c>
      <c r="F42" s="369">
        <f>1-F41</f>
        <v>0.21004951248401693</v>
      </c>
      <c r="G42" s="82"/>
      <c r="H42" s="46"/>
    </row>
    <row r="43" spans="1:13">
      <c r="A43" s="34" t="s">
        <v>213</v>
      </c>
      <c r="B43" s="31"/>
      <c r="E43" s="81" t="s">
        <v>214</v>
      </c>
      <c r="F43" s="369">
        <v>0</v>
      </c>
      <c r="G43" s="82"/>
      <c r="H43" s="46"/>
    </row>
    <row r="44" spans="1:13">
      <c r="B44" s="31"/>
      <c r="F44" s="82"/>
      <c r="G44" s="82"/>
      <c r="H44" s="83"/>
    </row>
    <row r="45" spans="1:13" ht="15" thickBot="1">
      <c r="B45" s="31"/>
      <c r="G45" s="76"/>
      <c r="H45" s="84"/>
    </row>
    <row r="46" spans="1:13">
      <c r="A46" s="2347" t="s">
        <v>472</v>
      </c>
      <c r="B46" s="2348"/>
      <c r="C46" s="2348"/>
      <c r="D46" s="2348"/>
      <c r="E46" s="2348"/>
      <c r="F46" s="2348"/>
      <c r="G46" s="2348"/>
      <c r="H46" s="2348"/>
      <c r="I46" s="2348"/>
      <c r="J46" s="368"/>
    </row>
    <row r="47" spans="1:13">
      <c r="A47" s="85"/>
      <c r="B47" s="45"/>
      <c r="C47" s="45"/>
      <c r="D47" s="45"/>
      <c r="E47" s="45"/>
      <c r="J47" s="366"/>
    </row>
    <row r="48" spans="1:13">
      <c r="A48" s="87"/>
      <c r="B48" s="32"/>
      <c r="C48" s="35" t="s">
        <v>215</v>
      </c>
      <c r="D48" s="2341" t="s">
        <v>471</v>
      </c>
      <c r="E48" s="2342"/>
      <c r="F48" s="2342"/>
      <c r="G48" s="2342"/>
      <c r="H48" s="2343"/>
      <c r="I48" s="367" t="s">
        <v>457</v>
      </c>
      <c r="J48" s="366"/>
    </row>
    <row r="49" spans="1:9" ht="14.25">
      <c r="A49" s="87"/>
      <c r="B49" s="32"/>
      <c r="C49" s="365" t="s">
        <v>470</v>
      </c>
      <c r="D49" s="43" t="s">
        <v>216</v>
      </c>
      <c r="E49" s="45" t="s">
        <v>217</v>
      </c>
      <c r="F49" s="45" t="s">
        <v>205</v>
      </c>
      <c r="G49" s="45" t="s">
        <v>218</v>
      </c>
      <c r="H49" s="44" t="s">
        <v>219</v>
      </c>
      <c r="I49" s="88" t="s">
        <v>220</v>
      </c>
    </row>
    <row r="50" spans="1:9">
      <c r="A50" s="89" t="s">
        <v>221</v>
      </c>
      <c r="B50" s="31"/>
      <c r="C50" s="90"/>
      <c r="D50" s="43"/>
      <c r="E50" s="45"/>
      <c r="F50" s="45"/>
      <c r="G50" s="45"/>
      <c r="H50" s="44"/>
      <c r="I50" s="91"/>
    </row>
    <row r="51" spans="1:9">
      <c r="A51" s="89"/>
      <c r="B51" s="92" t="s">
        <v>219</v>
      </c>
      <c r="C51" s="93">
        <f t="shared" ref="C51:I51" si="10">SUM(C53:C67)</f>
        <v>100.00000000000001</v>
      </c>
      <c r="D51" s="94">
        <f t="shared" si="10"/>
        <v>1.0020999999999998</v>
      </c>
      <c r="E51" s="95">
        <f t="shared" si="10"/>
        <v>1.9705999999999999</v>
      </c>
      <c r="F51" s="95">
        <f t="shared" si="10"/>
        <v>2.9999999999999997E-4</v>
      </c>
      <c r="G51" s="95">
        <f t="shared" si="10"/>
        <v>1.84E-2</v>
      </c>
      <c r="H51" s="96">
        <f t="shared" si="10"/>
        <v>2.9914000000000001</v>
      </c>
      <c r="I51" s="97">
        <f t="shared" si="10"/>
        <v>1.9809999999999999</v>
      </c>
    </row>
    <row r="52" spans="1:9">
      <c r="A52" s="87"/>
      <c r="B52" s="31"/>
      <c r="H52" s="58"/>
      <c r="I52" s="86"/>
    </row>
    <row r="53" spans="1:9" ht="15.75">
      <c r="A53" s="87" t="s">
        <v>188</v>
      </c>
      <c r="B53" s="27" t="s">
        <v>189</v>
      </c>
      <c r="C53" s="58">
        <v>0</v>
      </c>
      <c r="D53" s="98"/>
      <c r="E53" s="98"/>
      <c r="F53" s="98"/>
      <c r="G53" s="98"/>
      <c r="H53" s="58">
        <f t="shared" ref="H53:H67" si="11">SUM(D53:G53)</f>
        <v>0</v>
      </c>
      <c r="I53" s="99">
        <f>-C53/100</f>
        <v>0</v>
      </c>
    </row>
    <row r="54" spans="1:9">
      <c r="A54" s="87" t="s">
        <v>469</v>
      </c>
      <c r="B54" s="27" t="s">
        <v>190</v>
      </c>
      <c r="C54" s="58">
        <v>0</v>
      </c>
      <c r="D54" s="98">
        <f>C54/100</f>
        <v>0</v>
      </c>
      <c r="E54" s="98"/>
      <c r="F54" s="98"/>
      <c r="G54" s="98"/>
      <c r="H54" s="58">
        <f t="shared" si="11"/>
        <v>0</v>
      </c>
      <c r="I54" s="364">
        <f>D54+E54/2</f>
        <v>0</v>
      </c>
    </row>
    <row r="55" spans="1:9" ht="15.75">
      <c r="A55" s="87" t="s">
        <v>454</v>
      </c>
      <c r="B55" s="27" t="s">
        <v>191</v>
      </c>
      <c r="C55" s="58">
        <v>0.64</v>
      </c>
      <c r="D55" s="98">
        <f>C55/100</f>
        <v>6.4000000000000003E-3</v>
      </c>
      <c r="E55" s="98"/>
      <c r="F55" s="98"/>
      <c r="G55" s="98"/>
      <c r="H55" s="58">
        <f t="shared" si="11"/>
        <v>6.4000000000000003E-3</v>
      </c>
      <c r="I55" s="99">
        <v>0</v>
      </c>
    </row>
    <row r="56" spans="1:9" ht="15.75">
      <c r="A56" s="87" t="s">
        <v>192</v>
      </c>
      <c r="B56" s="27" t="s">
        <v>193</v>
      </c>
      <c r="C56" s="58">
        <v>0</v>
      </c>
      <c r="D56" s="98"/>
      <c r="E56" s="98">
        <f>C56/100</f>
        <v>0</v>
      </c>
      <c r="F56" s="98"/>
      <c r="G56" s="98"/>
      <c r="H56" s="58">
        <f t="shared" si="11"/>
        <v>0</v>
      </c>
      <c r="I56" s="99">
        <f>D56+E56/2</f>
        <v>0</v>
      </c>
    </row>
    <row r="57" spans="1:9" ht="15.75">
      <c r="A57" s="87" t="s">
        <v>194</v>
      </c>
      <c r="B57" s="27" t="s">
        <v>468</v>
      </c>
      <c r="C57" s="58">
        <v>0</v>
      </c>
      <c r="D57" s="98"/>
      <c r="E57" s="98">
        <f>C57/100</f>
        <v>0</v>
      </c>
      <c r="F57" s="98"/>
      <c r="G57" s="98"/>
      <c r="H57" s="58">
        <f t="shared" si="11"/>
        <v>0</v>
      </c>
      <c r="I57" s="364">
        <v>0</v>
      </c>
    </row>
    <row r="58" spans="1:9" ht="15.75">
      <c r="A58" s="87" t="s">
        <v>197</v>
      </c>
      <c r="B58" s="27" t="s">
        <v>198</v>
      </c>
      <c r="C58" s="58">
        <v>95.67</v>
      </c>
      <c r="D58" s="98">
        <f>C58/100</f>
        <v>0.95669999999999999</v>
      </c>
      <c r="E58" s="98">
        <f>C58/100*2</f>
        <v>1.9134</v>
      </c>
      <c r="F58" s="98"/>
      <c r="G58" s="98"/>
      <c r="H58" s="58">
        <f t="shared" si="11"/>
        <v>2.8700999999999999</v>
      </c>
      <c r="I58" s="99">
        <f t="shared" ref="I58:I65" si="12">D58+E58/2</f>
        <v>1.9134</v>
      </c>
    </row>
    <row r="59" spans="1:9" ht="15.75">
      <c r="A59" s="87" t="s">
        <v>199</v>
      </c>
      <c r="B59" s="27" t="s">
        <v>467</v>
      </c>
      <c r="C59" s="58">
        <v>1.62</v>
      </c>
      <c r="D59" s="98">
        <f>C59*2/100</f>
        <v>3.2400000000000005E-2</v>
      </c>
      <c r="E59" s="98">
        <f>C59/100*3</f>
        <v>4.8600000000000004E-2</v>
      </c>
      <c r="F59" s="98"/>
      <c r="G59" s="98"/>
      <c r="H59" s="58">
        <f t="shared" si="11"/>
        <v>8.1000000000000016E-2</v>
      </c>
      <c r="I59" s="99">
        <f t="shared" si="12"/>
        <v>5.6700000000000007E-2</v>
      </c>
    </row>
    <row r="60" spans="1:9" ht="15.75">
      <c r="A60" s="87" t="s">
        <v>200</v>
      </c>
      <c r="B60" s="27" t="s">
        <v>466</v>
      </c>
      <c r="C60" s="58">
        <v>0.14000000000000001</v>
      </c>
      <c r="D60" s="98">
        <f>C60*3/100</f>
        <v>4.2000000000000006E-3</v>
      </c>
      <c r="E60" s="98">
        <f>C60/100*4</f>
        <v>5.6000000000000008E-3</v>
      </c>
      <c r="F60" s="98"/>
      <c r="G60" s="98"/>
      <c r="H60" s="58">
        <f t="shared" si="11"/>
        <v>9.8000000000000014E-3</v>
      </c>
      <c r="I60" s="99">
        <f t="shared" si="12"/>
        <v>7.000000000000001E-3</v>
      </c>
    </row>
    <row r="61" spans="1:9" ht="15.75">
      <c r="A61" s="87" t="s">
        <v>465</v>
      </c>
      <c r="B61" s="27" t="s">
        <v>464</v>
      </c>
      <c r="C61" s="58">
        <v>0.04</v>
      </c>
      <c r="D61" s="98">
        <f>C61*4/100</f>
        <v>1.6000000000000001E-3</v>
      </c>
      <c r="E61" s="98">
        <f>C61/100*5</f>
        <v>2E-3</v>
      </c>
      <c r="F61" s="98"/>
      <c r="G61" s="98"/>
      <c r="H61" s="58">
        <f t="shared" si="11"/>
        <v>3.5999999999999999E-3</v>
      </c>
      <c r="I61" s="99">
        <f t="shared" si="12"/>
        <v>2.5999999999999999E-3</v>
      </c>
    </row>
    <row r="62" spans="1:9" ht="15.75">
      <c r="A62" s="87" t="s">
        <v>201</v>
      </c>
      <c r="B62" s="27" t="s">
        <v>464</v>
      </c>
      <c r="C62" s="58">
        <v>0.02</v>
      </c>
      <c r="D62" s="98">
        <f>C62*4/100</f>
        <v>8.0000000000000004E-4</v>
      </c>
      <c r="E62" s="98">
        <f>C62/100*5</f>
        <v>1E-3</v>
      </c>
      <c r="F62" s="98"/>
      <c r="G62" s="98"/>
      <c r="H62" s="58">
        <f t="shared" si="11"/>
        <v>1.8E-3</v>
      </c>
      <c r="I62" s="99">
        <f t="shared" si="12"/>
        <v>1.2999999999999999E-3</v>
      </c>
    </row>
    <row r="63" spans="1:9" ht="15.75">
      <c r="A63" s="61" t="s">
        <v>463</v>
      </c>
      <c r="B63" s="27" t="s">
        <v>462</v>
      </c>
      <c r="C63" s="58">
        <v>0</v>
      </c>
      <c r="D63" s="98">
        <f>C63*5/100</f>
        <v>0</v>
      </c>
      <c r="E63" s="98">
        <f>C63/100*6</f>
        <v>0</v>
      </c>
      <c r="F63" s="98"/>
      <c r="G63" s="98"/>
      <c r="H63" s="58">
        <f t="shared" si="11"/>
        <v>0</v>
      </c>
      <c r="I63" s="99">
        <f t="shared" si="12"/>
        <v>0</v>
      </c>
    </row>
    <row r="64" spans="1:9" ht="15.75">
      <c r="A64" s="61" t="s">
        <v>461</v>
      </c>
      <c r="B64" s="27" t="s">
        <v>460</v>
      </c>
      <c r="C64" s="58">
        <v>0</v>
      </c>
      <c r="D64" s="98">
        <f>C64*5/100</f>
        <v>0</v>
      </c>
      <c r="E64" s="98">
        <f>C64/100*6</f>
        <v>0</v>
      </c>
      <c r="F64" s="98"/>
      <c r="G64" s="98"/>
      <c r="H64" s="58">
        <f t="shared" si="11"/>
        <v>0</v>
      </c>
      <c r="I64" s="99">
        <f t="shared" si="12"/>
        <v>0</v>
      </c>
    </row>
    <row r="65" spans="1:14" ht="15.75">
      <c r="A65" s="61" t="s">
        <v>459</v>
      </c>
      <c r="B65" s="27" t="s">
        <v>458</v>
      </c>
      <c r="C65" s="58">
        <v>0</v>
      </c>
      <c r="D65" s="98">
        <f>C65*6/100</f>
        <v>0</v>
      </c>
      <c r="E65" s="98">
        <f>C65/100*7</f>
        <v>0</v>
      </c>
      <c r="F65" s="98"/>
      <c r="G65" s="98"/>
      <c r="H65" s="58">
        <f t="shared" si="11"/>
        <v>0</v>
      </c>
      <c r="I65" s="99">
        <f t="shared" si="12"/>
        <v>0</v>
      </c>
    </row>
    <row r="66" spans="1:14" ht="15.75">
      <c r="A66" s="87" t="s">
        <v>202</v>
      </c>
      <c r="B66" s="27" t="s">
        <v>203</v>
      </c>
      <c r="C66" s="58">
        <v>1.84</v>
      </c>
      <c r="D66" s="98"/>
      <c r="E66" s="98"/>
      <c r="G66" s="98">
        <f>C66/100</f>
        <v>1.84E-2</v>
      </c>
      <c r="H66" s="58">
        <f t="shared" si="11"/>
        <v>1.84E-2</v>
      </c>
      <c r="I66" s="99">
        <v>0</v>
      </c>
    </row>
    <row r="67" spans="1:14" ht="13.5" thickBot="1">
      <c r="A67" s="100" t="s">
        <v>204</v>
      </c>
      <c r="B67" s="101" t="s">
        <v>205</v>
      </c>
      <c r="C67" s="104">
        <v>0.03</v>
      </c>
      <c r="D67" s="103"/>
      <c r="E67" s="103"/>
      <c r="F67" s="103">
        <f>C67/100</f>
        <v>2.9999999999999997E-4</v>
      </c>
      <c r="G67" s="101"/>
      <c r="H67" s="104">
        <f t="shared" si="11"/>
        <v>2.9999999999999997E-4</v>
      </c>
      <c r="I67" s="105">
        <v>0</v>
      </c>
    </row>
    <row r="68" spans="1:14">
      <c r="B68" s="31"/>
    </row>
    <row r="69" spans="1:14" ht="13.5" thickBot="1">
      <c r="B69" s="31"/>
      <c r="D69" s="45"/>
      <c r="E69" s="106"/>
      <c r="F69" s="106"/>
      <c r="G69" s="106"/>
      <c r="H69" s="106"/>
      <c r="I69" s="106"/>
      <c r="J69" s="106"/>
    </row>
    <row r="70" spans="1:14">
      <c r="A70" s="2347" t="s">
        <v>222</v>
      </c>
      <c r="B70" s="2348"/>
      <c r="C70" s="2348"/>
      <c r="D70" s="2348"/>
      <c r="E70" s="2348"/>
      <c r="F70" s="2348"/>
      <c r="G70" s="2369"/>
      <c r="H70" s="106"/>
      <c r="I70" s="2347" t="s">
        <v>223</v>
      </c>
      <c r="J70" s="2348"/>
      <c r="K70" s="2348"/>
      <c r="L70" s="2348"/>
      <c r="M70" s="2348"/>
      <c r="N70" s="2369"/>
    </row>
    <row r="71" spans="1:14">
      <c r="A71" s="107"/>
      <c r="C71" s="45"/>
      <c r="D71" s="2341" t="s">
        <v>224</v>
      </c>
      <c r="E71" s="2342"/>
      <c r="F71" s="2342"/>
      <c r="G71" s="2365"/>
      <c r="H71" s="106"/>
      <c r="I71" s="87"/>
      <c r="K71" s="45"/>
      <c r="L71" s="2349" t="s">
        <v>224</v>
      </c>
      <c r="M71" s="2350"/>
      <c r="N71" s="2364"/>
    </row>
    <row r="72" spans="1:14" ht="14.25">
      <c r="A72" s="107"/>
      <c r="C72" s="31"/>
      <c r="D72" s="43" t="s">
        <v>225</v>
      </c>
      <c r="E72" s="45" t="s">
        <v>226</v>
      </c>
      <c r="F72" s="45" t="s">
        <v>227</v>
      </c>
      <c r="G72" s="108" t="s">
        <v>228</v>
      </c>
      <c r="H72" s="98"/>
      <c r="I72" s="87"/>
      <c r="K72" s="45"/>
      <c r="L72" s="61"/>
      <c r="M72" s="2350" t="s">
        <v>229</v>
      </c>
      <c r="N72" s="2364"/>
    </row>
    <row r="73" spans="1:14" ht="25.5">
      <c r="A73" s="87"/>
      <c r="C73" s="31"/>
      <c r="D73" s="442"/>
      <c r="E73" s="424" t="b">
        <v>1</v>
      </c>
      <c r="F73" s="424"/>
      <c r="G73" s="109"/>
      <c r="H73" s="98"/>
      <c r="I73" s="85"/>
      <c r="K73" s="45"/>
      <c r="L73" s="363" t="s">
        <v>457</v>
      </c>
      <c r="M73" s="48" t="s">
        <v>230</v>
      </c>
      <c r="N73" s="110" t="s">
        <v>231</v>
      </c>
    </row>
    <row r="74" spans="1:14">
      <c r="A74" s="87"/>
      <c r="C74" s="31"/>
      <c r="D74" s="73" t="str">
        <f>IF(D73,1,"-")</f>
        <v>-</v>
      </c>
      <c r="E74" s="73">
        <f>IF(E73,2,"-")</f>
        <v>2</v>
      </c>
      <c r="F74" s="73" t="str">
        <f>IF(F73,3,"-")</f>
        <v>-</v>
      </c>
      <c r="G74" s="111">
        <f>AVERAGE(D74:F74)</f>
        <v>2</v>
      </c>
      <c r="H74" s="98"/>
      <c r="I74" s="85"/>
      <c r="K74" s="45"/>
      <c r="L74" s="45"/>
      <c r="N74" s="86"/>
    </row>
    <row r="75" spans="1:14">
      <c r="A75" s="89" t="s">
        <v>232</v>
      </c>
      <c r="C75" s="31"/>
      <c r="D75" s="362">
        <f>D83/D80</f>
        <v>0</v>
      </c>
      <c r="E75" s="112">
        <f>'3c. Calculateur MEÉ 2-3-4'!M36</f>
        <v>0</v>
      </c>
      <c r="F75" s="362" t="e">
        <f>F82/F79</f>
        <v>#DIV/0!</v>
      </c>
      <c r="G75" s="356">
        <f>INDEX(D75:F75,G$74)</f>
        <v>0</v>
      </c>
      <c r="H75" s="362"/>
      <c r="I75" s="89" t="s">
        <v>219</v>
      </c>
      <c r="K75" s="357" t="s">
        <v>456</v>
      </c>
      <c r="L75" s="113">
        <f>SUM(L77:L81)</f>
        <v>10.425951704007129</v>
      </c>
      <c r="M75" s="361">
        <f>SUM(M77:M81)</f>
        <v>1</v>
      </c>
      <c r="N75" s="360">
        <f>SUM(N77:N81)</f>
        <v>1</v>
      </c>
    </row>
    <row r="76" spans="1:14" ht="15">
      <c r="A76" s="87" t="s">
        <v>233</v>
      </c>
      <c r="C76" s="31"/>
      <c r="D76" s="438"/>
      <c r="E76" s="340">
        <f>E82/(E79*($F$41/$F$42)+H51-E51+E82/$F$42)</f>
        <v>0</v>
      </c>
      <c r="F76" s="359" t="e">
        <f>F82/(F79*($F$41/$F$42)+H51-E51+F82/$F$42)</f>
        <v>#DIV/0!</v>
      </c>
      <c r="G76" s="358">
        <f>INDEX(D76:F76,G$74)</f>
        <v>0</v>
      </c>
      <c r="H76" s="114"/>
      <c r="I76" s="85"/>
      <c r="K76" s="357"/>
      <c r="L76" s="45"/>
      <c r="N76" s="86"/>
    </row>
    <row r="77" spans="1:14" ht="15">
      <c r="A77" s="87" t="s">
        <v>455</v>
      </c>
      <c r="C77" s="31"/>
      <c r="D77" s="340">
        <f>$N$78</f>
        <v>0.11855650363709885</v>
      </c>
      <c r="E77" s="340">
        <f>N78</f>
        <v>0.11855650363709885</v>
      </c>
      <c r="F77" s="439"/>
      <c r="G77" s="356">
        <f>INDEX(D77:F77,G$74)</f>
        <v>0.11855650363709885</v>
      </c>
      <c r="H77" s="340"/>
      <c r="I77" s="87" t="s">
        <v>202</v>
      </c>
      <c r="K77" s="355" t="s">
        <v>446</v>
      </c>
      <c r="L77" s="58">
        <f>G87</f>
        <v>7.4501097253831423</v>
      </c>
      <c r="M77" s="340">
        <f t="shared" ref="M77:M82" si="13">L77/$L$75</f>
        <v>0.71457358876118271</v>
      </c>
      <c r="N77" s="354">
        <f>L77/($L$75-$L$81)</f>
        <v>0.88140800394588581</v>
      </c>
    </row>
    <row r="78" spans="1:14" ht="15">
      <c r="A78" s="87"/>
      <c r="C78" s="31"/>
      <c r="F78" s="45"/>
      <c r="G78" s="115"/>
      <c r="H78" s="114"/>
      <c r="I78" s="87" t="s">
        <v>454</v>
      </c>
      <c r="K78" s="355" t="s">
        <v>446</v>
      </c>
      <c r="L78" s="58">
        <f>D51</f>
        <v>1.0020999999999998</v>
      </c>
      <c r="M78" s="340">
        <f t="shared" si="13"/>
        <v>9.6115925763865837E-2</v>
      </c>
      <c r="N78" s="354">
        <f>L78/($L$75-$L$81)</f>
        <v>0.11855650363709885</v>
      </c>
    </row>
    <row r="79" spans="1:14"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row>
    <row r="80" spans="1:14"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row>
    <row r="81" spans="1:15" ht="15">
      <c r="A81" s="87"/>
      <c r="C81" s="31"/>
      <c r="D81" s="58"/>
      <c r="E81" s="116"/>
      <c r="F81" s="113"/>
      <c r="G81" s="117"/>
      <c r="H81" s="58"/>
      <c r="I81" s="87" t="s">
        <v>235</v>
      </c>
      <c r="K81" s="355" t="s">
        <v>446</v>
      </c>
      <c r="L81" s="58">
        <f>G89+E51</f>
        <v>1.9734419786239874</v>
      </c>
      <c r="M81" s="340">
        <f t="shared" si="13"/>
        <v>0.18928171112336067</v>
      </c>
      <c r="N81" s="354">
        <v>0</v>
      </c>
    </row>
    <row r="82" spans="1:15"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row>
    <row r="83" spans="1:15"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row>
    <row r="84" spans="1:15">
      <c r="A84" s="87"/>
      <c r="C84" s="31"/>
      <c r="F84" s="45"/>
      <c r="G84" s="117"/>
      <c r="I84" s="87"/>
      <c r="N84" s="86"/>
    </row>
    <row r="85" spans="1: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row>
    <row r="86" spans="1:15">
      <c r="A86" s="87"/>
      <c r="G86" s="122"/>
      <c r="I86" s="87" t="s">
        <v>241</v>
      </c>
      <c r="K86" s="31" t="s">
        <v>242</v>
      </c>
      <c r="L86" s="58">
        <f>E51+G89</f>
        <v>1.9734419786239874</v>
      </c>
      <c r="N86" s="86"/>
    </row>
    <row r="87" spans="1:15"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185</v>
      </c>
      <c r="M87" s="32"/>
      <c r="N87" s="86"/>
    </row>
    <row r="88" spans="1:15"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Combustion_Chaud4!C136</f>
        <v>59.118389658623499</v>
      </c>
      <c r="N88" s="86"/>
    </row>
    <row r="89" spans="1:15" ht="14.25">
      <c r="A89" s="343" t="s">
        <v>245</v>
      </c>
      <c r="C89" s="346" t="s">
        <v>446</v>
      </c>
      <c r="D89" s="345">
        <f>Combustion_Chaud4!$C$115*(Combustion_Chaud4!D80+Combustion_Chaud4!D83)</f>
        <v>2.8419786239875467E-3</v>
      </c>
      <c r="E89" s="345">
        <f>Combustion_Chaud4!$C$115*Combustion_Chaud4!E80</f>
        <v>2.8419786239875467E-3</v>
      </c>
      <c r="F89" s="345">
        <f>Combustion_Chaud4!$C$115*Combustion_Chaud4!F80</f>
        <v>2.8419786239875467E-3</v>
      </c>
      <c r="G89" s="344">
        <f>INDEX(D89:F89,G$74)</f>
        <v>2.8419786239875467E-3</v>
      </c>
      <c r="H89" s="58"/>
      <c r="I89" s="87" t="s">
        <v>450</v>
      </c>
      <c r="K89" s="31" t="s">
        <v>449</v>
      </c>
      <c r="L89" s="58">
        <f>($E$29*(M83/1000))/($B$32*(L87+273.15))</f>
        <v>0.7373243289209187</v>
      </c>
      <c r="N89" s="126"/>
    </row>
    <row r="90" spans="1:15" ht="15.75">
      <c r="A90" s="343"/>
      <c r="C90" s="31"/>
      <c r="D90" s="58"/>
      <c r="F90" s="45"/>
      <c r="G90" s="127"/>
      <c r="H90" s="58"/>
      <c r="I90" s="87" t="s">
        <v>448</v>
      </c>
      <c r="K90" s="31" t="s">
        <v>242</v>
      </c>
      <c r="L90" s="342">
        <f>Combustion_Chaud4!C129</f>
        <v>0.23347408553671128</v>
      </c>
      <c r="M90" s="27" t="s">
        <v>246</v>
      </c>
      <c r="N90" s="126"/>
    </row>
    <row r="91" spans="1:15">
      <c r="A91" s="89" t="s">
        <v>247</v>
      </c>
      <c r="C91" s="31"/>
      <c r="D91" s="58"/>
      <c r="F91" s="45"/>
      <c r="G91" s="127"/>
      <c r="H91" s="58"/>
      <c r="I91" s="87" t="s">
        <v>248</v>
      </c>
      <c r="K91" s="31" t="s">
        <v>242</v>
      </c>
      <c r="L91" s="342">
        <f>Combustion_Chaud4!C140</f>
        <v>0</v>
      </c>
      <c r="M91" s="27" t="s">
        <v>447</v>
      </c>
      <c r="N91" s="126"/>
    </row>
    <row r="92" spans="1:15" ht="15.75" thickBot="1">
      <c r="A92" s="87" t="s">
        <v>249</v>
      </c>
      <c r="C92" s="31"/>
      <c r="D92" s="341">
        <f>Hypothèses!D27</f>
        <v>0.05</v>
      </c>
      <c r="E92" s="340"/>
      <c r="F92" s="340"/>
      <c r="G92" s="127"/>
      <c r="H92" s="340"/>
      <c r="I92" s="100"/>
      <c r="J92" s="101"/>
      <c r="K92" s="339" t="s">
        <v>446</v>
      </c>
      <c r="L92" s="338">
        <f>Combustion_Chaud4!C141</f>
        <v>0</v>
      </c>
      <c r="M92" s="101"/>
      <c r="N92" s="102"/>
    </row>
    <row r="93" spans="1:15" ht="15.75" thickBot="1">
      <c r="A93" s="100" t="s">
        <v>244</v>
      </c>
      <c r="B93" s="101"/>
      <c r="C93" s="128" t="s">
        <v>434</v>
      </c>
      <c r="D93" s="337" t="e">
        <f>IF(D92&lt;&gt;0,Combustion_Chaud4!$C$119,"-")</f>
        <v>#N/A</v>
      </c>
      <c r="E93" s="336"/>
      <c r="F93" s="336"/>
      <c r="G93" s="129"/>
      <c r="H93" s="98"/>
    </row>
    <row r="94" spans="1:15" ht="15">
      <c r="A94" s="27" t="s">
        <v>445</v>
      </c>
      <c r="B94" s="124"/>
      <c r="C94" s="335">
        <v>28.96546</v>
      </c>
      <c r="D94" s="333" t="s">
        <v>238</v>
      </c>
      <c r="E94" s="334"/>
      <c r="F94" s="130"/>
      <c r="G94" s="106"/>
      <c r="H94" s="106"/>
    </row>
    <row r="95" spans="1:15">
      <c r="G95" s="106"/>
    </row>
    <row r="96" spans="1:15">
      <c r="G96" s="106"/>
    </row>
    <row r="97" spans="1:8">
      <c r="G97" s="106"/>
    </row>
    <row r="98" spans="1:8">
      <c r="G98" s="106"/>
    </row>
    <row r="99" spans="1:8">
      <c r="G99" s="106"/>
    </row>
    <row r="100" spans="1:8">
      <c r="G100" s="106"/>
    </row>
    <row r="101" spans="1:8">
      <c r="A101" s="34" t="s">
        <v>444</v>
      </c>
      <c r="G101" s="106"/>
    </row>
    <row r="102" spans="1:8">
      <c r="G102" s="106"/>
    </row>
    <row r="103" spans="1:8">
      <c r="A103" s="131" t="s">
        <v>250</v>
      </c>
      <c r="B103" s="65"/>
      <c r="C103" s="65"/>
      <c r="D103" s="65"/>
      <c r="E103" s="31"/>
      <c r="F103" s="34" t="s">
        <v>251</v>
      </c>
      <c r="G103" s="34"/>
    </row>
    <row r="104" spans="1:8" ht="14.25">
      <c r="A104" s="27" t="s">
        <v>252</v>
      </c>
      <c r="B104" s="31" t="s">
        <v>443</v>
      </c>
      <c r="C104" s="440">
        <v>0</v>
      </c>
      <c r="D104" s="332" t="s">
        <v>442</v>
      </c>
      <c r="E104" s="31"/>
      <c r="F104" s="45" t="s">
        <v>253</v>
      </c>
      <c r="G104" s="45" t="s">
        <v>254</v>
      </c>
      <c r="H104" s="45" t="s">
        <v>253</v>
      </c>
    </row>
    <row r="105" spans="1:8">
      <c r="A105" s="27" t="s">
        <v>441</v>
      </c>
      <c r="B105" s="31" t="s">
        <v>255</v>
      </c>
      <c r="C105" s="441">
        <v>101325</v>
      </c>
      <c r="D105" s="31"/>
      <c r="E105" s="31"/>
      <c r="F105" s="31">
        <v>0</v>
      </c>
      <c r="G105" s="32">
        <v>610.48326959999986</v>
      </c>
      <c r="H105" s="31">
        <f t="shared" ref="H105:H136" si="14">F105</f>
        <v>0</v>
      </c>
    </row>
    <row r="106" spans="1:8">
      <c r="A106" s="27" t="s">
        <v>440</v>
      </c>
      <c r="B106" s="31" t="s">
        <v>255</v>
      </c>
      <c r="C106" s="331">
        <f>C105*EXP(-Combustion_Chaud4!C94/1000*9.80665/Combustion_Chaud4!B32/Combustion_Chaud4!B29*C104)</f>
        <v>101325</v>
      </c>
      <c r="D106" s="331"/>
      <c r="E106" s="331"/>
      <c r="F106" s="31">
        <v>2</v>
      </c>
      <c r="G106" s="32">
        <v>705.80878559999985</v>
      </c>
      <c r="H106" s="31">
        <f t="shared" si="14"/>
        <v>2</v>
      </c>
    </row>
    <row r="107" spans="1:8">
      <c r="B107" s="31"/>
      <c r="C107" s="31"/>
      <c r="D107" s="331"/>
      <c r="E107" s="31"/>
      <c r="F107" s="31">
        <v>4</v>
      </c>
      <c r="G107" s="32">
        <v>813.39996239999994</v>
      </c>
      <c r="H107" s="31">
        <f t="shared" si="14"/>
        <v>4</v>
      </c>
    </row>
    <row r="108" spans="1:8">
      <c r="A108" s="131" t="s">
        <v>222</v>
      </c>
      <c r="B108" s="65"/>
      <c r="C108" s="65"/>
      <c r="D108" s="65"/>
      <c r="E108" s="31"/>
      <c r="F108" s="31">
        <v>6</v>
      </c>
      <c r="G108" s="32">
        <v>934.98999119999985</v>
      </c>
      <c r="H108" s="31">
        <f t="shared" si="14"/>
        <v>6</v>
      </c>
    </row>
    <row r="109" spans="1:8" ht="14.25">
      <c r="A109" s="27" t="s">
        <v>256</v>
      </c>
      <c r="B109" s="124" t="s">
        <v>434</v>
      </c>
      <c r="C109" s="330">
        <f>R7</f>
        <v>0</v>
      </c>
      <c r="D109" s="31"/>
      <c r="E109" s="31"/>
      <c r="F109" s="31">
        <v>8</v>
      </c>
      <c r="G109" s="32">
        <v>1072.5787079999998</v>
      </c>
      <c r="H109" s="31">
        <f t="shared" si="14"/>
        <v>8</v>
      </c>
    </row>
    <row r="110" spans="1:8">
      <c r="A110" s="27" t="s">
        <v>249</v>
      </c>
      <c r="B110" s="31"/>
      <c r="C110" s="329">
        <f>D92</f>
        <v>0.05</v>
      </c>
      <c r="D110" s="31"/>
      <c r="E110" s="31"/>
      <c r="F110" s="31">
        <v>10</v>
      </c>
      <c r="G110" s="32">
        <v>1227.7659815999998</v>
      </c>
      <c r="H110" s="31">
        <f t="shared" si="14"/>
        <v>10</v>
      </c>
    </row>
    <row r="111" spans="1:8">
      <c r="B111" s="31"/>
      <c r="C111" s="31"/>
      <c r="D111" s="31"/>
      <c r="E111" s="31"/>
      <c r="F111" s="31">
        <v>12</v>
      </c>
      <c r="G111" s="32">
        <v>1402.2850031999999</v>
      </c>
      <c r="H111" s="31">
        <f t="shared" si="14"/>
        <v>12</v>
      </c>
    </row>
    <row r="112" spans="1: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C115*Combustion_Chaud4!$C$15/Combustion_Chaud4!$C$94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185</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Combustion_Chaud4!L75</f>
        <v>10.425951704007129</v>
      </c>
      <c r="D124" s="31"/>
      <c r="E124" s="31"/>
      <c r="F124" s="31">
        <v>38</v>
      </c>
      <c r="G124" s="32">
        <v>6625.0567007999998</v>
      </c>
      <c r="H124" s="31">
        <f t="shared" si="14"/>
        <v>38</v>
      </c>
    </row>
    <row r="125" spans="1:8" ht="15.75">
      <c r="A125" s="27" t="s">
        <v>439</v>
      </c>
      <c r="B125" s="31" t="s">
        <v>186</v>
      </c>
      <c r="C125" s="420">
        <f>Combustion_Chaud4!L86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C129*Combustion_Chaud4!$C$15/D130</f>
        <v>0.17346345372842753</v>
      </c>
      <c r="D130" s="133">
        <f>(Combustion_Chaud4!M77*Combustion_Chaud4!$C$25+Combustion_Chaud4!M78*Combustion_Chaud4!$C$13+Combustion_Chaud4!M79*Combustion_Chaud4!$C$11+Combustion_Chaud4!M80*Combustion_Chaud4!$C$26)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4.25">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ref="H137:H168" si="15">F137</f>
        <v>85</v>
      </c>
    </row>
    <row r="138" spans="1:8">
      <c r="A138" s="132" t="s">
        <v>257</v>
      </c>
      <c r="B138" s="31" t="s">
        <v>255</v>
      </c>
      <c r="C138" s="32">
        <f>G215</f>
        <v>1122700</v>
      </c>
      <c r="D138" s="31"/>
      <c r="E138" s="31"/>
      <c r="F138" s="31">
        <v>90</v>
      </c>
      <c r="G138" s="32">
        <v>70095.585023999985</v>
      </c>
      <c r="H138" s="31">
        <f t="shared" si="15"/>
        <v>90</v>
      </c>
    </row>
    <row r="139" spans="1:8">
      <c r="A139" s="31" t="s">
        <v>267</v>
      </c>
      <c r="B139" s="31" t="s">
        <v>433</v>
      </c>
      <c r="C139" s="58" t="str">
        <f>IF(C135,C138/C106,"-")</f>
        <v>-</v>
      </c>
      <c r="D139" s="31"/>
      <c r="E139" s="31"/>
      <c r="F139" s="31">
        <v>91</v>
      </c>
      <c r="G139" s="32">
        <v>72800.696519999983</v>
      </c>
      <c r="H139" s="31">
        <f t="shared" si="15"/>
        <v>91</v>
      </c>
    </row>
    <row r="140" spans="1:8">
      <c r="A140" s="31" t="s">
        <v>248</v>
      </c>
      <c r="B140" s="31" t="s">
        <v>433</v>
      </c>
      <c r="C140" s="58">
        <f>IF(C135,C132-C139,0)</f>
        <v>0</v>
      </c>
      <c r="D140" s="31"/>
      <c r="E140" s="31"/>
      <c r="F140" s="31">
        <v>92</v>
      </c>
      <c r="G140" s="32">
        <v>75592.467575999995</v>
      </c>
      <c r="H140" s="31">
        <f t="shared" si="15"/>
        <v>92</v>
      </c>
    </row>
    <row r="141" spans="1:8">
      <c r="A141" s="31" t="s">
        <v>248</v>
      </c>
      <c r="B141" s="31" t="s">
        <v>186</v>
      </c>
      <c r="C141" s="58">
        <f>IF(C135,C140*C124,0)</f>
        <v>0</v>
      </c>
      <c r="D141" s="31"/>
      <c r="E141" s="31"/>
      <c r="F141" s="31">
        <v>93</v>
      </c>
      <c r="G141" s="32">
        <v>78473.564639999997</v>
      </c>
      <c r="H141" s="31">
        <f t="shared" si="15"/>
        <v>93</v>
      </c>
    </row>
    <row r="142" spans="1:8">
      <c r="A142" s="31" t="s">
        <v>248</v>
      </c>
      <c r="B142" s="31" t="s">
        <v>268</v>
      </c>
      <c r="C142" s="76">
        <f>IF(C135,C141*Combustion_Chaud4!$C$15,0)</f>
        <v>0</v>
      </c>
      <c r="D142" s="31"/>
      <c r="E142" s="31"/>
      <c r="F142" s="31">
        <v>94</v>
      </c>
      <c r="G142" s="32">
        <v>81446.654159999991</v>
      </c>
      <c r="H142" s="31">
        <f t="shared" si="15"/>
        <v>94</v>
      </c>
    </row>
    <row r="143" spans="1:8">
      <c r="B143" s="31"/>
      <c r="C143" s="31"/>
      <c r="D143" s="31"/>
      <c r="E143" s="31"/>
      <c r="F143" s="31">
        <v>95</v>
      </c>
      <c r="G143" s="32">
        <v>84513.069359999994</v>
      </c>
      <c r="H143" s="31">
        <f t="shared" si="15"/>
        <v>95</v>
      </c>
    </row>
    <row r="144" spans="1:8" ht="15">
      <c r="A144" s="27" t="s">
        <v>432</v>
      </c>
      <c r="B144" s="31"/>
      <c r="C144" s="134" t="str">
        <f>IF(C135,1,IF(C122&lt;100,C127/C138,"N / A"))</f>
        <v>N / A</v>
      </c>
      <c r="D144" s="31"/>
      <c r="E144" s="31"/>
      <c r="F144" s="31">
        <v>96</v>
      </c>
      <c r="G144" s="32">
        <v>87675.476687999995</v>
      </c>
      <c r="H144" s="31">
        <f t="shared" si="15"/>
        <v>96</v>
      </c>
    </row>
    <row r="145" spans="2:8">
      <c r="B145" s="31"/>
      <c r="C145" s="31"/>
      <c r="D145" s="31"/>
      <c r="E145" s="31"/>
      <c r="F145" s="31">
        <v>97</v>
      </c>
      <c r="G145" s="32">
        <v>90935.209367999996</v>
      </c>
      <c r="H145" s="31">
        <f t="shared" si="15"/>
        <v>97</v>
      </c>
    </row>
    <row r="146" spans="2:8">
      <c r="B146" s="31"/>
      <c r="C146" s="31"/>
      <c r="D146" s="31"/>
      <c r="E146" s="31"/>
      <c r="F146" s="31">
        <v>98</v>
      </c>
      <c r="G146" s="32">
        <v>94294.933847999986</v>
      </c>
      <c r="H146" s="31">
        <f t="shared" si="15"/>
        <v>98</v>
      </c>
    </row>
    <row r="147" spans="2:8">
      <c r="B147" s="31"/>
      <c r="C147" s="31"/>
      <c r="D147" s="31"/>
      <c r="E147" s="31"/>
      <c r="F147" s="31">
        <v>99</v>
      </c>
      <c r="G147" s="32">
        <v>97757.316575999997</v>
      </c>
      <c r="H147" s="31">
        <f t="shared" si="15"/>
        <v>99</v>
      </c>
    </row>
    <row r="148" spans="2:8">
      <c r="B148" s="31"/>
      <c r="C148" s="31"/>
      <c r="D148" s="31"/>
      <c r="E148" s="31"/>
      <c r="F148" s="31">
        <v>100</v>
      </c>
      <c r="G148" s="32">
        <v>101325.02399999999</v>
      </c>
      <c r="H148" s="31">
        <f t="shared" si="15"/>
        <v>100</v>
      </c>
    </row>
    <row r="149" spans="2:8">
      <c r="B149" s="31"/>
      <c r="C149" s="31"/>
      <c r="D149" s="31"/>
      <c r="E149" s="31"/>
      <c r="F149" s="31">
        <v>105</v>
      </c>
      <c r="G149" s="32">
        <v>120820</v>
      </c>
      <c r="H149" s="31">
        <f t="shared" si="15"/>
        <v>105</v>
      </c>
    </row>
    <row r="150" spans="2:8">
      <c r="B150" s="31"/>
      <c r="C150" s="31"/>
      <c r="D150" s="31"/>
      <c r="E150" s="31"/>
      <c r="F150" s="31">
        <v>110</v>
      </c>
      <c r="G150" s="32">
        <v>143270</v>
      </c>
      <c r="H150" s="31">
        <f t="shared" si="15"/>
        <v>110</v>
      </c>
    </row>
    <row r="151" spans="2:8">
      <c r="B151" s="31"/>
      <c r="C151" s="31"/>
      <c r="D151" s="31"/>
      <c r="E151" s="31"/>
      <c r="F151" s="31">
        <v>115</v>
      </c>
      <c r="G151" s="32">
        <v>169060</v>
      </c>
      <c r="H151" s="31">
        <f t="shared" si="15"/>
        <v>115</v>
      </c>
    </row>
    <row r="152" spans="2:8">
      <c r="B152" s="31"/>
      <c r="C152" s="31"/>
      <c r="D152" s="31"/>
      <c r="E152" s="31"/>
      <c r="F152" s="31">
        <v>120</v>
      </c>
      <c r="G152" s="32">
        <v>198530</v>
      </c>
      <c r="H152" s="31">
        <f t="shared" si="15"/>
        <v>120</v>
      </c>
    </row>
    <row r="153" spans="2:8">
      <c r="B153" s="31"/>
      <c r="C153" s="31"/>
      <c r="D153" s="31"/>
      <c r="E153" s="31"/>
      <c r="F153" s="31">
        <v>125</v>
      </c>
      <c r="G153" s="32">
        <v>232100</v>
      </c>
      <c r="H153" s="31">
        <f t="shared" si="15"/>
        <v>125</v>
      </c>
    </row>
    <row r="154" spans="2:8">
      <c r="B154" s="31"/>
      <c r="C154" s="31"/>
      <c r="D154" s="31"/>
      <c r="E154" s="31"/>
      <c r="F154" s="31">
        <v>130</v>
      </c>
      <c r="G154" s="32">
        <v>270100</v>
      </c>
      <c r="H154" s="31">
        <f t="shared" si="15"/>
        <v>130</v>
      </c>
    </row>
    <row r="155" spans="2:8">
      <c r="B155" s="31"/>
      <c r="C155" s="31"/>
      <c r="D155" s="31"/>
      <c r="E155" s="31"/>
      <c r="F155" s="31">
        <v>135</v>
      </c>
      <c r="G155" s="32">
        <v>313000</v>
      </c>
      <c r="H155" s="31">
        <f t="shared" si="15"/>
        <v>135</v>
      </c>
    </row>
    <row r="156" spans="2:8">
      <c r="B156" s="31"/>
      <c r="C156" s="31"/>
      <c r="D156" s="31"/>
      <c r="E156" s="31"/>
      <c r="F156" s="31">
        <v>140</v>
      </c>
      <c r="G156" s="32">
        <v>361300</v>
      </c>
      <c r="H156" s="31">
        <f t="shared" si="15"/>
        <v>140</v>
      </c>
    </row>
    <row r="157" spans="2:8">
      <c r="B157" s="31"/>
      <c r="C157" s="31"/>
      <c r="D157" s="31"/>
      <c r="E157" s="31"/>
      <c r="F157" s="31">
        <v>145</v>
      </c>
      <c r="G157" s="32">
        <v>415400</v>
      </c>
      <c r="H157" s="31">
        <f t="shared" si="15"/>
        <v>145</v>
      </c>
    </row>
    <row r="158" spans="2:8">
      <c r="B158" s="31"/>
      <c r="C158" s="31"/>
      <c r="D158" s="31"/>
      <c r="E158" s="31"/>
      <c r="F158" s="31">
        <v>150</v>
      </c>
      <c r="G158" s="32">
        <v>475800</v>
      </c>
      <c r="H158" s="31">
        <f t="shared" si="15"/>
        <v>150</v>
      </c>
    </row>
    <row r="159" spans="2:8">
      <c r="B159" s="31"/>
      <c r="C159" s="31"/>
      <c r="D159" s="31"/>
      <c r="E159" s="31"/>
      <c r="F159" s="31">
        <v>155</v>
      </c>
      <c r="G159" s="32">
        <v>543100</v>
      </c>
      <c r="H159" s="31">
        <f t="shared" si="15"/>
        <v>155</v>
      </c>
    </row>
    <row r="160" spans="2:8">
      <c r="B160" s="31"/>
      <c r="C160" s="31"/>
      <c r="D160" s="31"/>
      <c r="E160" s="31"/>
      <c r="F160" s="31">
        <v>160</v>
      </c>
      <c r="G160" s="32">
        <v>617800</v>
      </c>
      <c r="H160" s="31">
        <f t="shared" si="15"/>
        <v>160</v>
      </c>
    </row>
    <row r="161" spans="2:8">
      <c r="B161" s="31"/>
      <c r="C161" s="31"/>
      <c r="D161" s="31"/>
      <c r="E161" s="31"/>
      <c r="F161" s="31">
        <v>165</v>
      </c>
      <c r="G161" s="32">
        <v>700500</v>
      </c>
      <c r="H161" s="31">
        <f t="shared" si="15"/>
        <v>165</v>
      </c>
    </row>
    <row r="162" spans="2:8">
      <c r="B162" s="31"/>
      <c r="C162" s="31"/>
      <c r="D162" s="31"/>
      <c r="E162" s="31"/>
      <c r="F162" s="31">
        <v>170</v>
      </c>
      <c r="G162" s="32">
        <v>791700</v>
      </c>
      <c r="H162" s="31">
        <f t="shared" si="15"/>
        <v>170</v>
      </c>
    </row>
    <row r="163" spans="2:8">
      <c r="B163" s="31"/>
      <c r="C163" s="31"/>
      <c r="D163" s="31"/>
      <c r="E163" s="31"/>
      <c r="F163" s="31">
        <v>175</v>
      </c>
      <c r="G163" s="32">
        <v>892000</v>
      </c>
      <c r="H163" s="31">
        <f t="shared" si="15"/>
        <v>175</v>
      </c>
    </row>
    <row r="164" spans="2:8">
      <c r="B164" s="31"/>
      <c r="C164" s="31"/>
      <c r="D164" s="31"/>
      <c r="E164" s="31"/>
      <c r="F164" s="31">
        <v>180</v>
      </c>
      <c r="G164" s="32">
        <v>1002100</v>
      </c>
      <c r="H164" s="31">
        <f t="shared" si="15"/>
        <v>180</v>
      </c>
    </row>
    <row r="165" spans="2:8">
      <c r="B165" s="31"/>
      <c r="C165" s="31"/>
      <c r="D165" s="31"/>
      <c r="E165" s="31"/>
      <c r="F165" s="31">
        <v>185</v>
      </c>
      <c r="G165" s="32">
        <v>1122700</v>
      </c>
      <c r="H165" s="31">
        <f t="shared" si="15"/>
        <v>185</v>
      </c>
    </row>
    <row r="166" spans="2:8">
      <c r="B166" s="31"/>
      <c r="C166" s="31"/>
      <c r="D166" s="31"/>
      <c r="E166" s="31"/>
      <c r="F166" s="31">
        <v>190</v>
      </c>
      <c r="G166" s="32">
        <v>1254400</v>
      </c>
      <c r="H166" s="31">
        <f t="shared" si="15"/>
        <v>190</v>
      </c>
    </row>
    <row r="167" spans="2:8">
      <c r="B167" s="31"/>
      <c r="C167" s="31"/>
      <c r="D167" s="31"/>
      <c r="E167" s="31"/>
      <c r="F167" s="31">
        <v>195</v>
      </c>
      <c r="G167" s="32">
        <v>1397800</v>
      </c>
      <c r="H167" s="31">
        <f t="shared" si="15"/>
        <v>195</v>
      </c>
    </row>
    <row r="168" spans="2:8">
      <c r="B168" s="31"/>
      <c r="C168" s="31"/>
      <c r="D168" s="31"/>
      <c r="E168" s="31"/>
      <c r="F168" s="31">
        <v>200</v>
      </c>
      <c r="G168" s="32">
        <v>1553800</v>
      </c>
      <c r="H168" s="31">
        <f t="shared" si="15"/>
        <v>200</v>
      </c>
    </row>
    <row r="169" spans="2:8">
      <c r="B169" s="31"/>
      <c r="C169" s="31"/>
      <c r="D169" s="31"/>
      <c r="E169" s="31"/>
      <c r="F169" s="31">
        <v>205</v>
      </c>
      <c r="G169" s="32">
        <v>1723000</v>
      </c>
      <c r="H169" s="31">
        <f t="shared" ref="H169:H192" si="16">F169</f>
        <v>205</v>
      </c>
    </row>
    <row r="170" spans="2:8">
      <c r="B170" s="31"/>
      <c r="C170" s="31"/>
      <c r="D170" s="31"/>
      <c r="E170" s="31"/>
      <c r="F170" s="31">
        <v>210</v>
      </c>
      <c r="G170" s="32">
        <v>1906200</v>
      </c>
      <c r="H170" s="31">
        <f t="shared" si="16"/>
        <v>210</v>
      </c>
    </row>
    <row r="171" spans="2:8">
      <c r="B171" s="31"/>
      <c r="C171" s="31"/>
      <c r="D171" s="31"/>
      <c r="E171" s="31"/>
      <c r="F171" s="31">
        <v>215</v>
      </c>
      <c r="G171" s="32">
        <v>2104000</v>
      </c>
      <c r="H171" s="31">
        <f t="shared" si="16"/>
        <v>215</v>
      </c>
    </row>
    <row r="172" spans="2:8">
      <c r="B172" s="31"/>
      <c r="C172" s="31"/>
      <c r="D172" s="31"/>
      <c r="E172" s="31"/>
      <c r="F172" s="31">
        <v>220</v>
      </c>
      <c r="G172" s="32">
        <v>2318000</v>
      </c>
      <c r="H172" s="31">
        <f t="shared" si="16"/>
        <v>220</v>
      </c>
    </row>
    <row r="173" spans="2:8">
      <c r="B173" s="31"/>
      <c r="C173" s="31"/>
      <c r="D173" s="31"/>
      <c r="E173" s="31"/>
      <c r="F173" s="31">
        <v>225</v>
      </c>
      <c r="G173" s="32">
        <v>2548000</v>
      </c>
      <c r="H173" s="31">
        <f t="shared" si="16"/>
        <v>225</v>
      </c>
    </row>
    <row r="174" spans="2:8">
      <c r="B174" s="31"/>
      <c r="C174" s="31"/>
      <c r="D174" s="31"/>
      <c r="E174" s="31"/>
      <c r="F174" s="31">
        <v>230</v>
      </c>
      <c r="G174" s="32">
        <v>2795000</v>
      </c>
      <c r="H174" s="31">
        <f t="shared" si="16"/>
        <v>230</v>
      </c>
    </row>
    <row r="175" spans="2:8">
      <c r="B175" s="31"/>
      <c r="C175" s="31"/>
      <c r="D175" s="31"/>
      <c r="E175" s="31"/>
      <c r="F175" s="31">
        <v>235</v>
      </c>
      <c r="G175" s="32">
        <v>3060000</v>
      </c>
      <c r="H175" s="31">
        <f t="shared" si="16"/>
        <v>235</v>
      </c>
    </row>
    <row r="176" spans="2:8">
      <c r="B176" s="31"/>
      <c r="C176" s="31"/>
      <c r="D176" s="31"/>
      <c r="E176" s="31"/>
      <c r="F176" s="31">
        <v>240</v>
      </c>
      <c r="G176" s="32">
        <v>3344000</v>
      </c>
      <c r="H176" s="31">
        <f t="shared" si="16"/>
        <v>240</v>
      </c>
    </row>
    <row r="177" spans="2:8">
      <c r="B177" s="31"/>
      <c r="C177" s="31"/>
      <c r="D177" s="31"/>
      <c r="E177" s="31"/>
      <c r="F177" s="31">
        <v>245</v>
      </c>
      <c r="G177" s="32">
        <v>3648000</v>
      </c>
      <c r="H177" s="31">
        <f t="shared" si="16"/>
        <v>245</v>
      </c>
    </row>
    <row r="178" spans="2:8">
      <c r="B178" s="31"/>
      <c r="C178" s="31"/>
      <c r="D178" s="31"/>
      <c r="E178" s="31"/>
      <c r="F178" s="31">
        <v>250</v>
      </c>
      <c r="G178" s="32">
        <v>3973000</v>
      </c>
      <c r="H178" s="31">
        <f t="shared" si="16"/>
        <v>250</v>
      </c>
    </row>
    <row r="179" spans="2:8">
      <c r="B179" s="31"/>
      <c r="C179" s="31"/>
      <c r="D179" s="31"/>
      <c r="E179" s="31"/>
      <c r="F179" s="31">
        <v>255</v>
      </c>
      <c r="G179" s="32">
        <v>4319000</v>
      </c>
      <c r="H179" s="31">
        <f t="shared" si="16"/>
        <v>255</v>
      </c>
    </row>
    <row r="180" spans="2:8">
      <c r="B180" s="31"/>
      <c r="C180" s="31"/>
      <c r="D180" s="31"/>
      <c r="E180" s="31"/>
      <c r="F180" s="31">
        <v>260</v>
      </c>
      <c r="G180" s="32">
        <v>4688000</v>
      </c>
      <c r="H180" s="31">
        <f t="shared" si="16"/>
        <v>260</v>
      </c>
    </row>
    <row r="181" spans="2:8">
      <c r="B181" s="31"/>
      <c r="C181" s="31"/>
      <c r="D181" s="31"/>
      <c r="E181" s="31"/>
      <c r="F181" s="31">
        <v>265</v>
      </c>
      <c r="G181" s="32">
        <v>5081000</v>
      </c>
      <c r="H181" s="31">
        <f t="shared" si="16"/>
        <v>265</v>
      </c>
    </row>
    <row r="182" spans="2:8">
      <c r="B182" s="31"/>
      <c r="C182" s="31"/>
      <c r="D182" s="31"/>
      <c r="E182" s="31"/>
      <c r="F182" s="31">
        <v>270</v>
      </c>
      <c r="G182" s="32">
        <v>5499000</v>
      </c>
      <c r="H182" s="31">
        <f t="shared" si="16"/>
        <v>270</v>
      </c>
    </row>
    <row r="183" spans="2:8">
      <c r="B183" s="31"/>
      <c r="C183" s="31"/>
      <c r="D183" s="31"/>
      <c r="E183" s="31"/>
      <c r="F183" s="31">
        <v>275</v>
      </c>
      <c r="G183" s="32">
        <v>5942000</v>
      </c>
      <c r="H183" s="31">
        <f t="shared" si="16"/>
        <v>275</v>
      </c>
    </row>
    <row r="184" spans="2:8">
      <c r="B184" s="31"/>
      <c r="C184" s="31"/>
      <c r="D184" s="31"/>
      <c r="E184" s="31"/>
      <c r="F184" s="31">
        <v>280</v>
      </c>
      <c r="G184" s="32">
        <v>6412000</v>
      </c>
      <c r="H184" s="31">
        <f t="shared" si="16"/>
        <v>280</v>
      </c>
    </row>
    <row r="185" spans="2:8">
      <c r="B185" s="31"/>
      <c r="C185" s="31"/>
      <c r="D185" s="31"/>
      <c r="E185" s="31"/>
      <c r="F185" s="31">
        <v>285</v>
      </c>
      <c r="G185" s="32">
        <v>6909000</v>
      </c>
      <c r="H185" s="31">
        <f t="shared" si="16"/>
        <v>285</v>
      </c>
    </row>
    <row r="186" spans="2:8">
      <c r="B186" s="31"/>
      <c r="C186" s="31"/>
      <c r="D186" s="31"/>
      <c r="E186" s="31"/>
      <c r="F186" s="31">
        <v>290</v>
      </c>
      <c r="G186" s="32">
        <v>7436000</v>
      </c>
      <c r="H186" s="31">
        <f t="shared" si="16"/>
        <v>290</v>
      </c>
    </row>
    <row r="187" spans="2:8">
      <c r="B187" s="31"/>
      <c r="C187" s="31"/>
      <c r="D187" s="31"/>
      <c r="E187" s="31"/>
      <c r="F187" s="31">
        <v>295</v>
      </c>
      <c r="G187" s="32">
        <v>7993000</v>
      </c>
      <c r="H187" s="31">
        <f t="shared" si="16"/>
        <v>295</v>
      </c>
    </row>
    <row r="188" spans="2:8">
      <c r="B188" s="31"/>
      <c r="C188" s="31"/>
      <c r="D188" s="31"/>
      <c r="E188" s="31"/>
      <c r="F188" s="31">
        <v>300</v>
      </c>
      <c r="G188" s="32">
        <v>8581000</v>
      </c>
      <c r="H188" s="31">
        <f t="shared" si="16"/>
        <v>300</v>
      </c>
    </row>
    <row r="189" spans="2:8">
      <c r="B189" s="31"/>
      <c r="C189" s="31"/>
      <c r="D189" s="31"/>
      <c r="E189" s="31"/>
      <c r="F189" s="31">
        <v>320</v>
      </c>
      <c r="G189" s="31">
        <v>11274000</v>
      </c>
      <c r="H189" s="31">
        <f t="shared" si="16"/>
        <v>320</v>
      </c>
    </row>
    <row r="190" spans="2:8">
      <c r="B190" s="31"/>
      <c r="C190" s="31"/>
      <c r="D190" s="31"/>
      <c r="E190" s="31"/>
      <c r="F190" s="31">
        <v>340</v>
      </c>
      <c r="G190" s="31">
        <v>14586000</v>
      </c>
      <c r="H190" s="31">
        <f t="shared" si="16"/>
        <v>340</v>
      </c>
    </row>
    <row r="191" spans="2:8">
      <c r="B191" s="31"/>
      <c r="C191" s="31"/>
      <c r="D191" s="31"/>
      <c r="E191" s="31"/>
      <c r="F191" s="31">
        <v>360</v>
      </c>
      <c r="G191" s="31">
        <v>18651000</v>
      </c>
      <c r="H191" s="31">
        <f t="shared" si="16"/>
        <v>360</v>
      </c>
    </row>
    <row r="192" spans="2:8">
      <c r="B192" s="31"/>
      <c r="C192" s="31"/>
      <c r="D192" s="31"/>
      <c r="E192" s="31"/>
      <c r="F192" s="32">
        <v>374.14</v>
      </c>
      <c r="G192" s="32">
        <v>22090000</v>
      </c>
      <c r="H192" s="32">
        <f t="shared" si="16"/>
        <v>374.14</v>
      </c>
    </row>
    <row r="193" spans="2:8">
      <c r="B193" s="31"/>
      <c r="C193" s="31"/>
      <c r="D193" s="31"/>
      <c r="E193" s="31"/>
      <c r="F193" s="31"/>
      <c r="G193" s="31"/>
      <c r="H193" s="31"/>
    </row>
    <row r="194" spans="2:8">
      <c r="B194" s="31"/>
      <c r="C194" s="31"/>
      <c r="D194" s="31"/>
      <c r="E194" s="31"/>
      <c r="F194" s="2341" t="s">
        <v>269</v>
      </c>
      <c r="G194" s="2342"/>
      <c r="H194" s="2343"/>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41" t="s">
        <v>272</v>
      </c>
      <c r="G200" s="2342"/>
      <c r="H200" s="2343"/>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41" t="s">
        <v>431</v>
      </c>
      <c r="G206" s="2342"/>
      <c r="H206" s="2343"/>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41" t="s">
        <v>273</v>
      </c>
      <c r="G212" s="2342"/>
      <c r="H212" s="2343"/>
    </row>
    <row r="213" spans="2:8">
      <c r="B213" s="31"/>
      <c r="C213" s="31"/>
      <c r="D213" s="31"/>
      <c r="E213" s="31"/>
      <c r="F213" s="43" t="s">
        <v>270</v>
      </c>
      <c r="G213" s="45" t="s">
        <v>271</v>
      </c>
      <c r="H213" s="75"/>
    </row>
    <row r="214" spans="2:8">
      <c r="B214" s="31"/>
      <c r="C214" s="31"/>
      <c r="D214" s="31"/>
      <c r="E214" s="31"/>
      <c r="F214" s="57">
        <f>VLOOKUP(F215,F105:G192,1)</f>
        <v>185</v>
      </c>
      <c r="G214" s="32">
        <f>VLOOKUP(F214,$F$105:$G$192,2)</f>
        <v>1122700</v>
      </c>
      <c r="H214" s="54">
        <f>MATCH(F214,F105:F192,1)</f>
        <v>61</v>
      </c>
    </row>
    <row r="215" spans="2:8">
      <c r="B215" s="31"/>
      <c r="C215" s="31"/>
      <c r="D215" s="31"/>
      <c r="E215" s="31"/>
      <c r="F215" s="57">
        <f>C122</f>
        <v>185</v>
      </c>
      <c r="G215" s="32">
        <f>G214+((F215-F214)/(F216-F214))*(G216-G214)</f>
        <v>1122700</v>
      </c>
      <c r="H215" s="54"/>
    </row>
    <row r="216" spans="2:8">
      <c r="B216" s="31"/>
      <c r="C216" s="31"/>
      <c r="D216" s="31"/>
      <c r="E216" s="31"/>
      <c r="F216" s="69">
        <f>INDEX(F105:F192,H216)</f>
        <v>190</v>
      </c>
      <c r="G216" s="77">
        <f>VLOOKUP(F216,$F$105:$G$192,2)</f>
        <v>1254400</v>
      </c>
      <c r="H216" s="66">
        <f>H214+1</f>
        <v>62</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mergeCells count="25">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83F8-921E-4422-896A-F78B81E07EC3}">
  <sheetPr codeName="Feuil81">
    <tabColor theme="5" tint="0.79998168889431442"/>
  </sheetPr>
  <dimension ref="A1:Z229"/>
  <sheetViews>
    <sheetView workbookViewId="0">
      <selection activeCell="C52" sqref="C52:H53"/>
    </sheetView>
  </sheetViews>
  <sheetFormatPr baseColWidth="10" defaultColWidth="11.42578125" defaultRowHeight="15"/>
  <cols>
    <col min="1" max="1" width="12" customWidth="1"/>
    <col min="2" max="2" width="85.85546875" customWidth="1"/>
    <col min="3" max="3" width="22.5703125" style="142" customWidth="1"/>
    <col min="4" max="6" width="14" customWidth="1"/>
    <col min="7" max="10" width="17" customWidth="1"/>
    <col min="11" max="11" width="11.42578125" customWidth="1"/>
    <col min="13" max="14" width="11.42578125" customWidth="1"/>
    <col min="17" max="17" width="11.42578125" customWidth="1"/>
  </cols>
  <sheetData>
    <row r="1" spans="2:14">
      <c r="B1" s="2307" t="s">
        <v>385</v>
      </c>
      <c r="C1" s="2307"/>
      <c r="D1" s="2307"/>
      <c r="E1" s="2307"/>
      <c r="F1" s="2307"/>
      <c r="G1" s="2307"/>
      <c r="H1" s="2307"/>
    </row>
    <row r="2" spans="2:14">
      <c r="B2" s="5" t="s">
        <v>1318</v>
      </c>
      <c r="C2" s="145"/>
      <c r="D2" s="6"/>
      <c r="E2" s="6"/>
      <c r="F2" s="6"/>
      <c r="G2" s="6"/>
      <c r="H2" s="6"/>
    </row>
    <row r="3" spans="2:14" ht="15" customHeight="1">
      <c r="B3" s="165"/>
      <c r="C3" s="166" t="s">
        <v>46</v>
      </c>
      <c r="D3" s="166" t="s">
        <v>1</v>
      </c>
      <c r="E3" s="166" t="s">
        <v>2</v>
      </c>
      <c r="F3" s="166" t="s">
        <v>3</v>
      </c>
      <c r="G3" s="166" t="s">
        <v>4</v>
      </c>
      <c r="H3" s="165" t="s">
        <v>47</v>
      </c>
      <c r="I3" s="142"/>
      <c r="K3" s="148" t="s">
        <v>510</v>
      </c>
      <c r="L3" s="148"/>
      <c r="M3" s="148"/>
      <c r="N3" s="148"/>
    </row>
    <row r="4" spans="2:14" ht="15" customHeight="1">
      <c r="C4"/>
      <c r="K4" s="443" t="s">
        <v>15</v>
      </c>
      <c r="L4" s="443">
        <v>0</v>
      </c>
      <c r="M4" s="443" t="s">
        <v>15</v>
      </c>
      <c r="N4" s="443">
        <v>0</v>
      </c>
    </row>
    <row r="5" spans="2:14" ht="15" customHeight="1">
      <c r="B5" s="165" t="s">
        <v>402</v>
      </c>
      <c r="C5" s="165"/>
      <c r="D5" s="166"/>
      <c r="E5" s="166"/>
      <c r="F5" s="166"/>
      <c r="G5" s="166"/>
      <c r="H5" s="165"/>
      <c r="K5" s="443" t="s">
        <v>516</v>
      </c>
      <c r="L5" s="443">
        <v>1</v>
      </c>
      <c r="M5" s="443" t="s">
        <v>512</v>
      </c>
      <c r="N5" s="443">
        <v>1</v>
      </c>
    </row>
    <row r="6" spans="2:14" ht="24.75" customHeight="1">
      <c r="B6" s="167" t="s">
        <v>411</v>
      </c>
      <c r="C6" s="165"/>
      <c r="D6" s="446" t="str">
        <f>'3c. Calculateur MEÉ 2-3-4'!G68</f>
        <v>&lt; sélectionner &gt;</v>
      </c>
      <c r="E6" s="446" t="str">
        <f>'3c. Calculateur MEÉ 2-3-4'!I68</f>
        <v>&lt; sélectionner &gt;</v>
      </c>
      <c r="F6" s="446" t="str">
        <f>'3c. Calculateur MEÉ 2-3-4'!K68</f>
        <v>&lt; sélectionner &gt;</v>
      </c>
      <c r="G6" s="446" t="str">
        <f>'3c. Calculateur MEÉ 2-3-4'!M68</f>
        <v>&lt; sélectionner &gt;</v>
      </c>
      <c r="H6" s="165"/>
      <c r="K6" s="443" t="s">
        <v>517</v>
      </c>
      <c r="L6" s="443">
        <v>2</v>
      </c>
      <c r="M6" s="443" t="s">
        <v>513</v>
      </c>
      <c r="N6" s="443">
        <v>2</v>
      </c>
    </row>
    <row r="7" spans="2:14" ht="15" customHeight="1">
      <c r="B7" s="308" t="s">
        <v>914</v>
      </c>
      <c r="C7" s="168"/>
      <c r="D7" s="307">
        <f>LOOKUP(D6,$M$4:$M$10,$N$4:$N$10)</f>
        <v>0</v>
      </c>
      <c r="E7" s="307">
        <f>LOOKUP(E6,$M$4:$M$10,$N$4:$N$10)</f>
        <v>0</v>
      </c>
      <c r="F7" s="307">
        <f>LOOKUP(F6,$M$4:$M$10,$N$4:$N$10)</f>
        <v>0</v>
      </c>
      <c r="G7" s="307">
        <f>LOOKUP(G6,$M$4:$M$10,$N$4:$N$10)</f>
        <v>0</v>
      </c>
      <c r="H7" s="167"/>
      <c r="K7" s="443" t="s">
        <v>518</v>
      </c>
      <c r="L7" s="443">
        <v>3</v>
      </c>
      <c r="M7" s="443" t="s">
        <v>514</v>
      </c>
      <c r="N7" s="443">
        <v>3</v>
      </c>
    </row>
    <row r="8" spans="2:14" ht="15" customHeight="1">
      <c r="B8" s="308" t="s">
        <v>310</v>
      </c>
      <c r="C8"/>
      <c r="D8" s="307">
        <f>LOOKUP(D6,$K$4:$K$10,$L$4:$L$10)</f>
        <v>0</v>
      </c>
      <c r="E8" s="307">
        <f>LOOKUP(E6,$K$4:$K$10,$L$4:$L$10)</f>
        <v>0</v>
      </c>
      <c r="F8" s="307">
        <f>LOOKUP(F6,$K$4:$K$10,$L$4:$L$10)</f>
        <v>0</v>
      </c>
      <c r="G8" s="307">
        <f>LOOKUP(G6,$K$4:$K$10,$L$4:$L$10)</f>
        <v>0</v>
      </c>
      <c r="H8" s="167"/>
      <c r="K8" s="443" t="s">
        <v>519</v>
      </c>
      <c r="L8" s="443">
        <v>4</v>
      </c>
      <c r="M8" s="443" t="s">
        <v>515</v>
      </c>
      <c r="N8" s="443">
        <v>4</v>
      </c>
    </row>
    <row r="9" spans="2:14" ht="15" customHeight="1">
      <c r="B9" s="867" t="s">
        <v>1303</v>
      </c>
      <c r="C9" s="243"/>
      <c r="D9" s="869" t="str">
        <f>'3c. Calculateur MEÉ 2-3-4'!$G$75</f>
        <v>&lt; sélectionner &gt;</v>
      </c>
      <c r="E9" s="869" t="str">
        <f>'3c. Calculateur MEÉ 2-3-4'!$I$75</f>
        <v>&lt; sélectionner &gt;</v>
      </c>
      <c r="F9" s="869" t="str">
        <f>'3c. Calculateur MEÉ 2-3-4'!$K$75</f>
        <v>&lt; sélectionner &gt;</v>
      </c>
      <c r="G9" s="869" t="str">
        <f>'3c. Calculateur MEÉ 2-3-4'!$M$75</f>
        <v>&lt; sélectionner &gt;</v>
      </c>
      <c r="H9" s="167"/>
      <c r="K9" s="444" t="s">
        <v>520</v>
      </c>
      <c r="L9" s="444">
        <v>0</v>
      </c>
      <c r="M9" s="443" t="s">
        <v>337</v>
      </c>
      <c r="N9" s="443">
        <v>0</v>
      </c>
    </row>
    <row r="10" spans="2:14" ht="29.25" customHeight="1">
      <c r="B10" s="167" t="s">
        <v>412</v>
      </c>
      <c r="C10" s="168"/>
      <c r="D10" s="446" t="str">
        <f>'3c. Calculateur MEÉ 2-3-4'!G87</f>
        <v>&lt; sélectionner &gt;</v>
      </c>
      <c r="E10" s="446" t="str">
        <f>'3c. Calculateur MEÉ 2-3-4'!I87</f>
        <v>&lt; sélectionner &gt;</v>
      </c>
      <c r="F10" s="446" t="str">
        <f>'3c. Calculateur MEÉ 2-3-4'!K87</f>
        <v>&lt; sélectionner &gt;</v>
      </c>
      <c r="G10" s="446" t="str">
        <f>'3c. Calculateur MEÉ 2-3-4'!M87</f>
        <v>&lt; sélectionner &gt;</v>
      </c>
      <c r="H10" s="167"/>
      <c r="K10" s="443" t="s">
        <v>337</v>
      </c>
      <c r="L10" s="443">
        <v>0</v>
      </c>
      <c r="M10" s="443"/>
      <c r="N10" s="443"/>
    </row>
    <row r="11" spans="2:14" ht="15" customHeight="1">
      <c r="B11" s="308" t="s">
        <v>914</v>
      </c>
      <c r="C11" s="168"/>
      <c r="D11" s="307">
        <f>LOOKUP(D10,$M$4:$M$9,$N$4:$N$9)</f>
        <v>0</v>
      </c>
      <c r="E11" s="307">
        <f>LOOKUP(E10,$M$4:$M$9,$N$4:$N$9)</f>
        <v>0</v>
      </c>
      <c r="F11" s="307">
        <f>LOOKUP(F10,$M$4:$M$9,$N$4:$N$9)</f>
        <v>0</v>
      </c>
      <c r="G11" s="307">
        <f>LOOKUP(G10,$M$4:$M$9,$N$4:$N$9)</f>
        <v>0</v>
      </c>
      <c r="H11" s="167"/>
    </row>
    <row r="12" spans="2:14" ht="38.25" customHeight="1">
      <c r="B12" t="s">
        <v>565</v>
      </c>
      <c r="C12" s="161"/>
      <c r="D12" s="446" t="str">
        <f>'3c. Calculateur MEÉ 2-3-4'!G94</f>
        <v>&lt; sélectionner &gt;</v>
      </c>
      <c r="E12" s="446" t="str">
        <f>'3c. Calculateur MEÉ 2-3-4'!I94</f>
        <v>&lt; sélectionner &gt;</v>
      </c>
      <c r="F12" s="446" t="str">
        <f>'3c. Calculateur MEÉ 2-3-4'!K94</f>
        <v>&lt; sélectionner &gt;</v>
      </c>
      <c r="G12" s="446" t="str">
        <f>'3c. Calculateur MEÉ 2-3-4'!M94</f>
        <v>&lt; sélectionner &gt;</v>
      </c>
      <c r="H12" s="167"/>
      <c r="K12" s="148"/>
      <c r="L12" s="148"/>
      <c r="M12" s="148"/>
      <c r="N12" s="148"/>
    </row>
    <row r="13" spans="2:14" ht="15" customHeight="1">
      <c r="C13" s="165"/>
      <c r="D13" s="455">
        <f>IF(D12&lt;&gt;$K$4,1,0)</f>
        <v>0</v>
      </c>
      <c r="E13" s="455">
        <f>IF(E12&lt;&gt;$K$4,1,0)</f>
        <v>0</v>
      </c>
      <c r="F13" s="455">
        <f>IF(F12&lt;&gt;$K$4,1,0)</f>
        <v>0</v>
      </c>
      <c r="G13" s="455">
        <f>IF(G12&lt;&gt;$K$4,1,0)</f>
        <v>0</v>
      </c>
      <c r="H13" s="165"/>
    </row>
    <row r="14" spans="2:14" ht="15" customHeight="1">
      <c r="C14"/>
    </row>
    <row r="15" spans="2:14" ht="15" customHeight="1">
      <c r="B15" s="165" t="s">
        <v>346</v>
      </c>
      <c r="C15" s="165"/>
      <c r="D15" s="166"/>
      <c r="E15" s="166"/>
      <c r="F15" s="166"/>
      <c r="G15" s="166"/>
      <c r="H15" s="165"/>
    </row>
    <row r="16" spans="2:14" ht="15" customHeight="1">
      <c r="B16" s="167" t="s">
        <v>345</v>
      </c>
      <c r="C16" s="177">
        <f>'3c. Calculateur MEÉ 2-3-4'!G30+'3c. Calculateur MEÉ 2-3-4'!I30+'3c. Calculateur MEÉ 2-3-4'!K30+'3c. Calculateur MEÉ 2-3-4'!M30</f>
        <v>0</v>
      </c>
      <c r="D16" s="235"/>
      <c r="E16" s="168"/>
      <c r="F16" s="168"/>
      <c r="G16" s="168"/>
      <c r="H16" s="167" t="s">
        <v>5</v>
      </c>
    </row>
    <row r="17" spans="2:10" ht="15" customHeight="1">
      <c r="B17" s="167" t="s">
        <v>368</v>
      </c>
      <c r="C17" s="168"/>
      <c r="D17" s="236" t="e">
        <f>'3c. Calculateur MEÉ 2-3-4'!G30/'P opération brûleur - avant MEE'!$C$7</f>
        <v>#DIV/0!</v>
      </c>
      <c r="E17" s="236" t="e">
        <f>'3c. Calculateur MEÉ 2-3-4'!I30/'P opération brûleur - avant MEE'!$C$7</f>
        <v>#DIV/0!</v>
      </c>
      <c r="F17" s="236" t="e">
        <f>'3c. Calculateur MEÉ 2-3-4'!K30/'P opération brûleur - avant MEE'!$C$7</f>
        <v>#DIV/0!</v>
      </c>
      <c r="G17" s="236" t="e">
        <f>'3c. Calculateur MEÉ 2-3-4'!M30/'P opération brûleur - avant MEE'!$C$7</f>
        <v>#DIV/0!</v>
      </c>
      <c r="H17" s="167"/>
    </row>
    <row r="18" spans="2:10" ht="15" customHeight="1">
      <c r="B18" s="240"/>
      <c r="C18" s="168"/>
      <c r="D18" s="167"/>
      <c r="E18" s="167"/>
      <c r="F18" s="167"/>
      <c r="G18" s="167"/>
      <c r="H18" s="193"/>
    </row>
    <row r="19" spans="2:10" ht="15" customHeight="1">
      <c r="B19" s="165" t="s">
        <v>66</v>
      </c>
      <c r="C19" s="168"/>
      <c r="D19" s="167"/>
      <c r="E19" s="167"/>
      <c r="F19" s="167"/>
      <c r="G19" s="167"/>
      <c r="H19" s="167"/>
    </row>
    <row r="20" spans="2:10" ht="15" customHeight="1">
      <c r="B20" s="280" t="s">
        <v>405</v>
      </c>
      <c r="C20" s="281">
        <f>Hypothèses!D28</f>
        <v>10.889082170509718</v>
      </c>
      <c r="D20" s="280"/>
      <c r="E20" s="280"/>
      <c r="F20" s="280"/>
      <c r="G20" s="280"/>
      <c r="H20" s="280" t="s">
        <v>16</v>
      </c>
    </row>
    <row r="21" spans="2:10" ht="15" customHeight="1">
      <c r="B21" s="175" t="s">
        <v>406</v>
      </c>
      <c r="C21" s="322">
        <f>4.18*(C20)</f>
        <v>45.516363472730617</v>
      </c>
      <c r="D21" s="280"/>
      <c r="E21" s="280"/>
      <c r="F21" s="280"/>
      <c r="G21" s="280"/>
      <c r="H21" s="280" t="s">
        <v>54</v>
      </c>
    </row>
    <row r="22" spans="2:10" ht="15" customHeight="1">
      <c r="B22" s="175" t="s">
        <v>407</v>
      </c>
      <c r="C22" s="474">
        <f>C32*(1-C27)</f>
        <v>0</v>
      </c>
      <c r="D22" s="280"/>
      <c r="E22" s="280"/>
      <c r="F22" s="280"/>
      <c r="G22" s="280"/>
      <c r="H22" s="280" t="s">
        <v>59</v>
      </c>
    </row>
    <row r="23" spans="2:10" ht="15" customHeight="1">
      <c r="B23" s="175" t="s">
        <v>587</v>
      </c>
      <c r="C23" s="322">
        <f>4.18*(C20)</f>
        <v>45.516363472730617</v>
      </c>
      <c r="D23" s="280"/>
      <c r="E23" s="280"/>
      <c r="F23" s="280"/>
      <c r="G23" s="280"/>
      <c r="H23" s="280" t="s">
        <v>54</v>
      </c>
      <c r="I23" s="8"/>
    </row>
    <row r="24" spans="2:10" ht="15" customHeight="1">
      <c r="C24" s="165"/>
      <c r="D24" s="166"/>
      <c r="E24" s="166"/>
      <c r="F24" s="166"/>
      <c r="G24" s="166"/>
      <c r="H24" s="165"/>
      <c r="J24" s="215"/>
    </row>
    <row r="25" spans="2:10" ht="15" customHeight="1">
      <c r="B25" s="165" t="s">
        <v>49</v>
      </c>
      <c r="D25" s="167"/>
      <c r="E25" s="167"/>
      <c r="F25" s="167"/>
      <c r="G25" s="167"/>
      <c r="H25" s="167" t="s">
        <v>18</v>
      </c>
      <c r="I25" s="142"/>
    </row>
    <row r="26" spans="2:10" ht="15" customHeight="1">
      <c r="B26" s="280" t="s">
        <v>393</v>
      </c>
      <c r="C26" s="281">
        <f>Hypothèses!D31</f>
        <v>80</v>
      </c>
      <c r="D26" s="280"/>
      <c r="E26" s="280"/>
      <c r="F26" s="280"/>
      <c r="G26" s="280"/>
      <c r="H26" s="280" t="s">
        <v>18</v>
      </c>
      <c r="I26" s="142"/>
    </row>
    <row r="27" spans="2:10" ht="15" customHeight="1">
      <c r="B27" s="167" t="s">
        <v>37</v>
      </c>
      <c r="C27" s="309">
        <f>Hypothèses!D32</f>
        <v>0.8</v>
      </c>
      <c r="D27" s="167"/>
      <c r="E27" s="167"/>
      <c r="F27" s="167"/>
      <c r="G27" s="167"/>
      <c r="H27" s="167"/>
      <c r="I27" s="142"/>
    </row>
    <row r="28" spans="2:10" ht="15" customHeight="1">
      <c r="B28" s="445" t="s">
        <v>51</v>
      </c>
      <c r="C28" s="177">
        <f>Hypothèses!D84</f>
        <v>4.1853360036591161</v>
      </c>
      <c r="D28" s="167"/>
      <c r="E28" s="167"/>
      <c r="F28" s="167"/>
      <c r="G28" s="167"/>
      <c r="H28" s="167" t="s">
        <v>52</v>
      </c>
      <c r="I28" s="142"/>
    </row>
    <row r="29" spans="2:10" ht="15" customHeight="1">
      <c r="B29" s="169" t="s">
        <v>392</v>
      </c>
      <c r="C29" s="178">
        <f>C28*C26</f>
        <v>334.8268802927293</v>
      </c>
      <c r="D29" s="167"/>
      <c r="E29" s="167"/>
      <c r="F29" s="167"/>
      <c r="G29" s="167"/>
      <c r="H29" s="167" t="s">
        <v>54</v>
      </c>
      <c r="I29" s="142"/>
    </row>
    <row r="30" spans="2:10" ht="15" customHeight="1">
      <c r="C30"/>
    </row>
    <row r="31" spans="2:10" ht="15" customHeight="1">
      <c r="B31" s="165" t="s">
        <v>55</v>
      </c>
      <c r="C31" s="168"/>
      <c r="D31" s="167"/>
      <c r="E31" s="167"/>
      <c r="F31" s="167"/>
      <c r="G31" s="167"/>
      <c r="H31" s="166"/>
      <c r="I31" s="142"/>
    </row>
    <row r="32" spans="2:10" ht="15" customHeight="1">
      <c r="B32" s="169" t="s">
        <v>391</v>
      </c>
      <c r="C32" s="223">
        <f>SUM(D32:G32)</f>
        <v>0</v>
      </c>
      <c r="D32" s="223">
        <f>'P opération brûleur - avant MEE'!D27</f>
        <v>0</v>
      </c>
      <c r="E32" s="223">
        <f>'P opération brûleur - avant MEE'!E27</f>
        <v>0</v>
      </c>
      <c r="F32" s="223">
        <f>'P opération brûleur - avant MEE'!F27</f>
        <v>0</v>
      </c>
      <c r="G32" s="223">
        <f>'P opération brûleur - avant MEE'!G27</f>
        <v>0</v>
      </c>
      <c r="H32" s="167" t="s">
        <v>59</v>
      </c>
      <c r="I32" s="243" t="s">
        <v>390</v>
      </c>
    </row>
    <row r="33" spans="2:8" ht="15" customHeight="1">
      <c r="B33" s="169"/>
      <c r="C33" s="168"/>
      <c r="D33" s="224">
        <f>D32/'Facteurs conversion'!$C$14</f>
        <v>0</v>
      </c>
      <c r="E33" s="224">
        <f>E32/'Facteurs conversion'!$C$14</f>
        <v>0</v>
      </c>
      <c r="F33" s="224">
        <f>F32/'Facteurs conversion'!$C$14</f>
        <v>0</v>
      </c>
      <c r="G33" s="224">
        <f>G32/'Facteurs conversion'!$C$14</f>
        <v>0</v>
      </c>
      <c r="H33" s="217" t="s">
        <v>61</v>
      </c>
    </row>
    <row r="34" spans="2:8" ht="15" customHeight="1">
      <c r="B34" s="175" t="s">
        <v>589</v>
      </c>
      <c r="C34" s="1164">
        <f>IF(OR('3c. Calculateur MEÉ 2-3-4'!$G$13="Eau chaude",'3c. Calculateur MEÉ 2-3-4'!$G$19&lt;&gt;"Oui"),C35,C36)</f>
        <v>66.177816434101942</v>
      </c>
      <c r="D34" s="318"/>
      <c r="E34" s="310"/>
      <c r="F34" s="310"/>
      <c r="G34" s="310"/>
      <c r="H34" s="265" t="s">
        <v>16</v>
      </c>
    </row>
    <row r="35" spans="2:8" ht="15" customHeight="1">
      <c r="B35" s="1165" t="s">
        <v>1895</v>
      </c>
      <c r="C35" s="1166">
        <f>C27*C26+(1-C27)*C20</f>
        <v>66.177816434101942</v>
      </c>
      <c r="D35" s="1167"/>
      <c r="E35" s="217"/>
      <c r="F35" s="217"/>
      <c r="G35" s="217"/>
      <c r="H35" s="217" t="s">
        <v>18</v>
      </c>
    </row>
    <row r="36" spans="2:8" ht="15" customHeight="1">
      <c r="B36" s="1165" t="s">
        <v>1897</v>
      </c>
      <c r="C36" s="1166">
        <f>G81</f>
        <v>127.99931999999998</v>
      </c>
      <c r="D36" s="1167"/>
      <c r="E36" s="217"/>
      <c r="F36" s="217"/>
      <c r="G36" s="217"/>
      <c r="H36" s="217" t="s">
        <v>18</v>
      </c>
    </row>
    <row r="37" spans="2:8" ht="15" customHeight="1">
      <c r="B37" s="169" t="s">
        <v>588</v>
      </c>
      <c r="C37" s="493">
        <f>IF(OR('3c. Calculateur MEÉ 2-3-4'!$G$13="Eau chaude",'3c. Calculateur MEÉ 2-3-4'!$G$19&lt;&gt;"Oui"),C38,C39)</f>
        <v>276.97639776519082</v>
      </c>
      <c r="E37" s="231"/>
      <c r="F37" s="231"/>
      <c r="G37" s="231"/>
      <c r="H37" s="167" t="s">
        <v>54</v>
      </c>
    </row>
    <row r="38" spans="2:8" ht="15" customHeight="1">
      <c r="B38" s="1165" t="s">
        <v>1895</v>
      </c>
      <c r="C38" s="1166">
        <f>C34*C28</f>
        <v>276.97639776519082</v>
      </c>
      <c r="D38" s="1167"/>
      <c r="E38" s="217"/>
      <c r="F38" s="217"/>
      <c r="G38" s="217"/>
      <c r="H38" s="217" t="s">
        <v>54</v>
      </c>
    </row>
    <row r="39" spans="2:8" ht="15" customHeight="1">
      <c r="B39" s="1165" t="s">
        <v>1897</v>
      </c>
      <c r="C39" s="1166">
        <f>D81</f>
        <v>537.76303999999993</v>
      </c>
      <c r="D39" s="1167"/>
      <c r="E39" s="217"/>
      <c r="F39" s="217"/>
      <c r="G39" s="217"/>
      <c r="H39" s="217" t="s">
        <v>54</v>
      </c>
    </row>
    <row r="40" spans="2:8" ht="15" customHeight="1">
      <c r="B40" s="169" t="s">
        <v>63</v>
      </c>
      <c r="C40" s="168"/>
      <c r="D40" s="177">
        <f>D32*$C$37/3600</f>
        <v>0</v>
      </c>
      <c r="E40" s="177">
        <f>E32*$C$37/3600</f>
        <v>0</v>
      </c>
      <c r="F40" s="177">
        <f>F32*$C$37/3600</f>
        <v>0</v>
      </c>
      <c r="G40" s="177">
        <f>G32*$C$37/3600</f>
        <v>0</v>
      </c>
      <c r="H40" s="167" t="s">
        <v>5</v>
      </c>
    </row>
    <row r="41" spans="2:8" ht="15" customHeight="1">
      <c r="C41"/>
    </row>
    <row r="42" spans="2:8" ht="15" customHeight="1">
      <c r="B42" s="165" t="s">
        <v>68</v>
      </c>
      <c r="C42" s="170"/>
      <c r="D42" s="167"/>
      <c r="E42" s="167"/>
      <c r="F42" s="167"/>
      <c r="G42" s="167"/>
      <c r="H42" s="167"/>
    </row>
    <row r="43" spans="2:8" ht="15" customHeight="1">
      <c r="B43" s="167" t="s">
        <v>38</v>
      </c>
      <c r="C43" s="179">
        <f>Hypothèses!D33</f>
        <v>0.06</v>
      </c>
      <c r="D43" s="167"/>
      <c r="E43" s="167"/>
      <c r="F43" s="167"/>
      <c r="G43" s="167"/>
      <c r="H43" s="167"/>
    </row>
    <row r="44" spans="2:8" ht="15" customHeight="1">
      <c r="B44" s="167" t="s">
        <v>70</v>
      </c>
      <c r="C44" s="177">
        <f>D71</f>
        <v>741.05921800149713</v>
      </c>
      <c r="D44" s="167"/>
      <c r="E44" s="167"/>
      <c r="F44" s="167"/>
      <c r="G44" s="167"/>
      <c r="H44" s="167" t="s">
        <v>54</v>
      </c>
    </row>
    <row r="45" spans="2:8" ht="15" customHeight="1">
      <c r="B45" s="167" t="s">
        <v>341</v>
      </c>
      <c r="C45" s="168"/>
      <c r="D45" s="321">
        <f>D46*'Facteurs conversion'!$C$14</f>
        <v>0</v>
      </c>
      <c r="E45" s="321">
        <f>E46*'Facteurs conversion'!$C$14</f>
        <v>0</v>
      </c>
      <c r="F45" s="321">
        <f>F46*'Facteurs conversion'!$C$14</f>
        <v>0</v>
      </c>
      <c r="G45" s="321">
        <f>G46*'Facteurs conversion'!$C$14</f>
        <v>0</v>
      </c>
      <c r="H45" s="167" t="s">
        <v>59</v>
      </c>
    </row>
    <row r="46" spans="2:8" ht="15" customHeight="1">
      <c r="B46" s="167"/>
      <c r="C46" s="168"/>
      <c r="D46" s="224">
        <f>ROUND(D33*$C$43,2)</f>
        <v>0</v>
      </c>
      <c r="E46" s="224">
        <f>ROUND(E33*$C$43,2)</f>
        <v>0</v>
      </c>
      <c r="F46" s="224">
        <f>ROUND(F33*$C$43,2)</f>
        <v>0</v>
      </c>
      <c r="G46" s="224">
        <f>ROUND(G33*$C$43,2)</f>
        <v>0</v>
      </c>
      <c r="H46" s="217" t="s">
        <v>61</v>
      </c>
    </row>
    <row r="47" spans="2:8" ht="15" customHeight="1">
      <c r="B47" s="167" t="s">
        <v>72</v>
      </c>
      <c r="C47" s="168"/>
      <c r="D47" s="223">
        <f>ROUND(D45*($C$44)/3600,2)</f>
        <v>0</v>
      </c>
      <c r="E47" s="223">
        <f>ROUND(E45*($C$44)/3600,2)</f>
        <v>0</v>
      </c>
      <c r="F47" s="223">
        <f>ROUND(F45*($C$44)/3600,2)</f>
        <v>0</v>
      </c>
      <c r="G47" s="223">
        <f>ROUND(G45*($C$44)/3600,2)</f>
        <v>0</v>
      </c>
      <c r="H47" s="167" t="s">
        <v>5</v>
      </c>
    </row>
    <row r="48" spans="2:8" ht="15" customHeight="1">
      <c r="C48"/>
    </row>
    <row r="49" spans="2:13" ht="15" customHeight="1">
      <c r="B49" s="165" t="s">
        <v>73</v>
      </c>
      <c r="C49" s="167"/>
      <c r="D49" s="167"/>
      <c r="E49" s="167"/>
      <c r="F49" s="167"/>
      <c r="G49" s="167"/>
      <c r="H49" s="167"/>
      <c r="I49" s="148" t="s">
        <v>74</v>
      </c>
    </row>
    <row r="50" spans="2:13" ht="15" customHeight="1">
      <c r="B50" s="169" t="s">
        <v>39</v>
      </c>
      <c r="C50" s="223">
        <f>Hypothèses!D34</f>
        <v>153.1</v>
      </c>
      <c r="D50" s="229"/>
      <c r="E50" s="229"/>
      <c r="F50" s="229"/>
      <c r="G50" s="229"/>
      <c r="H50" s="167" t="s">
        <v>40</v>
      </c>
      <c r="I50" s="142"/>
    </row>
    <row r="51" spans="2:13" ht="15" customHeight="1">
      <c r="B51" s="167" t="s">
        <v>590</v>
      </c>
      <c r="C51" s="317">
        <f>C32*(D81-C38)/(C65-D81)/(1-C52)</f>
        <v>0</v>
      </c>
      <c r="D51" s="317" t="e">
        <f>$C$51*D17</f>
        <v>#DIV/0!</v>
      </c>
      <c r="E51" s="317" t="e">
        <f t="shared" ref="E51:G51" si="0">$C$51*E17</f>
        <v>#DIV/0!</v>
      </c>
      <c r="F51" s="317" t="e">
        <f t="shared" si="0"/>
        <v>#DIV/0!</v>
      </c>
      <c r="G51" s="317" t="e">
        <f t="shared" si="0"/>
        <v>#DIV/0!</v>
      </c>
      <c r="H51" s="165" t="s">
        <v>59</v>
      </c>
      <c r="I51" s="962" t="s">
        <v>384</v>
      </c>
    </row>
    <row r="52" spans="2:13" ht="15" customHeight="1">
      <c r="B52" s="171" t="s">
        <v>41</v>
      </c>
      <c r="C52" s="180">
        <f>Hypothèses!D35</f>
        <v>9.5000000000000001E-2</v>
      </c>
      <c r="D52" s="225"/>
      <c r="E52" s="225"/>
      <c r="F52" s="225"/>
      <c r="G52" s="225"/>
      <c r="H52" s="172"/>
      <c r="I52" s="241" t="s">
        <v>76</v>
      </c>
    </row>
    <row r="53" spans="2:13" ht="15" customHeight="1">
      <c r="B53" s="169" t="s">
        <v>591</v>
      </c>
      <c r="C53" s="168"/>
      <c r="D53" s="227">
        <f>IF('3c. Calculateur MEÉ 2-3-4'!G19&lt;&gt;"Oui",0,D51*$C$52)</f>
        <v>0</v>
      </c>
      <c r="E53" s="227">
        <f>IF('3c. Calculateur MEÉ 2-3-4'!G19&lt;&gt;"Oui",0,E51*$C$52)</f>
        <v>0</v>
      </c>
      <c r="F53" s="227">
        <f>IF('3c. Calculateur MEÉ 2-3-4'!G19&lt;&gt;"Oui",0,F51*$C$52)</f>
        <v>0</v>
      </c>
      <c r="G53" s="227">
        <f>IF('3c. Calculateur MEÉ 2-3-4'!G19&lt;&gt;"Oui",0,G51*$C$52)</f>
        <v>0</v>
      </c>
      <c r="H53" s="165" t="s">
        <v>59</v>
      </c>
    </row>
    <row r="54" spans="2:13" ht="15" customHeight="1">
      <c r="B54" s="169"/>
      <c r="C54" s="168"/>
      <c r="D54" s="226">
        <f>D53/'Facteurs conversion'!$C$14</f>
        <v>0</v>
      </c>
      <c r="E54" s="226">
        <f>E53/'Facteurs conversion'!$C$14</f>
        <v>0</v>
      </c>
      <c r="F54" s="226">
        <f>F53/'Facteurs conversion'!$C$14</f>
        <v>0</v>
      </c>
      <c r="G54" s="226">
        <f>G53/'Facteurs conversion'!$C$14</f>
        <v>0</v>
      </c>
      <c r="H54" s="217" t="s">
        <v>61</v>
      </c>
    </row>
    <row r="55" spans="2:13" ht="15" customHeight="1">
      <c r="B55" s="169" t="s">
        <v>111</v>
      </c>
      <c r="C55" s="168"/>
      <c r="D55" s="227">
        <f>$F$81*D53/3600</f>
        <v>0</v>
      </c>
      <c r="E55" s="227">
        <f>$F$81*E53/3600</f>
        <v>0</v>
      </c>
      <c r="F55" s="227">
        <f>$F$81*F53/3600</f>
        <v>0</v>
      </c>
      <c r="G55" s="227">
        <f>$F$81*G53/3600</f>
        <v>0</v>
      </c>
      <c r="H55" s="165" t="s">
        <v>5</v>
      </c>
    </row>
    <row r="56" spans="2:13" ht="15" customHeight="1">
      <c r="C56"/>
      <c r="D56" s="228"/>
      <c r="E56" s="228"/>
      <c r="F56" s="228"/>
      <c r="G56" s="228"/>
    </row>
    <row r="57" spans="2:13" ht="15" customHeight="1">
      <c r="B57" s="165" t="s">
        <v>79</v>
      </c>
      <c r="C57" s="174"/>
      <c r="D57" s="229"/>
      <c r="E57" s="229"/>
      <c r="F57" s="229"/>
      <c r="G57" s="229"/>
      <c r="H57" s="167"/>
    </row>
    <row r="58" spans="2:13" ht="15" customHeight="1">
      <c r="B58" s="171" t="s">
        <v>112</v>
      </c>
      <c r="C58" s="168"/>
      <c r="D58" s="230">
        <f>'P opération brûleur - avant MEE'!D50</f>
        <v>0</v>
      </c>
      <c r="E58" s="230">
        <f>'P opération brûleur - avant MEE'!E50</f>
        <v>0</v>
      </c>
      <c r="F58" s="230">
        <f>'P opération brûleur - avant MEE'!F50</f>
        <v>0</v>
      </c>
      <c r="G58" s="230">
        <f>'P opération brûleur - avant MEE'!G50</f>
        <v>0</v>
      </c>
      <c r="H58" s="167" t="s">
        <v>59</v>
      </c>
      <c r="M58" s="234"/>
    </row>
    <row r="59" spans="2:13" ht="15" customHeight="1">
      <c r="B59" s="171"/>
      <c r="C59" s="168"/>
      <c r="D59" s="226">
        <f>'P opération brûleur - avant MEE'!D51</f>
        <v>0</v>
      </c>
      <c r="E59" s="226">
        <f>'P opération brûleur - avant MEE'!E51</f>
        <v>0</v>
      </c>
      <c r="F59" s="226">
        <f>'P opération brûleur - avant MEE'!F51</f>
        <v>0</v>
      </c>
      <c r="G59" s="226">
        <f>'P opération brûleur - avant MEE'!G51</f>
        <v>0</v>
      </c>
      <c r="H59" s="217" t="s">
        <v>61</v>
      </c>
    </row>
    <row r="60" spans="2:13" ht="15" customHeight="1">
      <c r="B60" s="171" t="s">
        <v>82</v>
      </c>
      <c r="C60" s="168"/>
      <c r="D60" s="223">
        <f>ROUND(D58*$C$65/3600,0)</f>
        <v>0</v>
      </c>
      <c r="E60" s="223">
        <f>ROUND(E58*$C$65/3600,0)</f>
        <v>0</v>
      </c>
      <c r="F60" s="223">
        <f>ROUND(F58*$C$65/3600,0)</f>
        <v>0</v>
      </c>
      <c r="G60" s="223">
        <f>ROUND(G58*$C$65/3600,0)</f>
        <v>0</v>
      </c>
      <c r="H60" s="167" t="s">
        <v>5</v>
      </c>
    </row>
    <row r="61" spans="2:13" ht="15" customHeight="1">
      <c r="C61"/>
      <c r="D61" s="228"/>
      <c r="E61" s="228"/>
      <c r="F61" s="228"/>
      <c r="G61" s="228"/>
    </row>
    <row r="62" spans="2:13" ht="15" customHeight="1">
      <c r="B62" s="165" t="s">
        <v>83</v>
      </c>
      <c r="C62" s="168"/>
      <c r="D62" s="167"/>
      <c r="E62" s="167"/>
      <c r="F62" s="167"/>
      <c r="G62" s="167"/>
      <c r="H62" s="167"/>
    </row>
    <row r="63" spans="2:13" ht="15" customHeight="1">
      <c r="B63" s="175" t="s">
        <v>42</v>
      </c>
      <c r="C63" s="178">
        <f>'3c. Calculateur MEÉ 2-3-4'!G17</f>
        <v>0</v>
      </c>
      <c r="D63" s="167"/>
      <c r="E63" s="167"/>
      <c r="F63" s="167"/>
      <c r="G63" s="167"/>
      <c r="H63" s="167" t="s">
        <v>18</v>
      </c>
      <c r="I63" s="8"/>
    </row>
    <row r="64" spans="2:13" ht="15" customHeight="1">
      <c r="B64" s="175" t="s">
        <v>84</v>
      </c>
      <c r="C64" s="177">
        <f>Hypothèses!D36</f>
        <v>790.33012724550895</v>
      </c>
      <c r="D64" s="1"/>
      <c r="E64" s="167"/>
      <c r="F64" s="167"/>
      <c r="G64" s="167"/>
      <c r="H64" s="167" t="s">
        <v>40</v>
      </c>
      <c r="I64" s="8"/>
    </row>
    <row r="65" spans="2:10" ht="15" customHeight="1">
      <c r="B65" s="176" t="s">
        <v>86</v>
      </c>
      <c r="C65" s="177">
        <f>IF(C63=0,F71,D76)</f>
        <v>2773.5444668787422</v>
      </c>
      <c r="D65" s="167"/>
      <c r="E65" s="167"/>
      <c r="F65" s="167"/>
      <c r="G65" s="167"/>
      <c r="H65" s="167" t="s">
        <v>54</v>
      </c>
    </row>
    <row r="66" spans="2:10" ht="15" customHeight="1">
      <c r="B66" s="167" t="s">
        <v>87</v>
      </c>
      <c r="C66" s="177">
        <f>E71</f>
        <v>2032.4852488772453</v>
      </c>
      <c r="D66" s="167"/>
      <c r="E66" s="167"/>
      <c r="F66" s="167"/>
      <c r="G66" s="167"/>
      <c r="H66" s="167" t="s">
        <v>54</v>
      </c>
    </row>
    <row r="67" spans="2:10" ht="15" customHeight="1">
      <c r="C67" s="143"/>
    </row>
    <row r="68" spans="2:10" ht="15" customHeight="1">
      <c r="B68" s="150" t="s">
        <v>88</v>
      </c>
      <c r="C68" s="150" t="s">
        <v>89</v>
      </c>
      <c r="D68" s="150" t="s">
        <v>90</v>
      </c>
      <c r="E68" s="150" t="s">
        <v>91</v>
      </c>
      <c r="F68" s="150" t="s">
        <v>92</v>
      </c>
      <c r="G68" s="13" t="s">
        <v>1894</v>
      </c>
    </row>
    <row r="69" spans="2:10" ht="15" customHeight="1">
      <c r="B69" s="155" t="s">
        <v>93</v>
      </c>
      <c r="C69" s="21">
        <f>LOOKUP(C64,'Tables vapeur'!C6:C61)</f>
        <v>748.67499999999995</v>
      </c>
      <c r="D69" s="21">
        <f>VLOOKUP(C69,'Tables vapeur'!C6:G61,3,FALSE)</f>
        <v>732.22</v>
      </c>
      <c r="E69" s="21">
        <f>VLOOKUP(C69,'Tables vapeur'!C6:G61,4,FALSE)</f>
        <v>2039.4</v>
      </c>
      <c r="F69" s="21">
        <f>VLOOKUP(C69,'Tables vapeur'!C6:G61,5,FALSE)</f>
        <v>2771.62</v>
      </c>
      <c r="G69" s="1162">
        <f>VLOOKUP(C69,'Tables vapeur'!$C$6:$G$61,2,FALSE)</f>
        <v>172.96</v>
      </c>
    </row>
    <row r="70" spans="2:10" ht="15" customHeight="1">
      <c r="B70" s="155" t="s">
        <v>94</v>
      </c>
      <c r="C70" s="21">
        <f>IF((C69-C64)=0,C64,INDEX('Tables vapeur'!C6:C61,RANK(LOOKUP(C64,'Tables vapeur'!C6:C61),'Tables vapeur'!C6:C61,1)+1))</f>
        <v>798.67499999999995</v>
      </c>
      <c r="D70" s="21">
        <f>VLOOKUP(C70,'Tables vapeur'!C6:G61,3,FALSE)</f>
        <v>742.83</v>
      </c>
      <c r="E70" s="21">
        <f>VLOOKUP(C70,'Tables vapeur'!C6:G61,4,FALSE)</f>
        <v>2031.1</v>
      </c>
      <c r="F70" s="21">
        <f>VLOOKUP(C70,'Tables vapeur'!C6:G61,5,FALSE)</f>
        <v>2773.93</v>
      </c>
      <c r="G70" s="1162">
        <f>VLOOKUP(C70,'Tables vapeur'!$C$6:$G$61,2,FALSE)</f>
        <v>175.38</v>
      </c>
    </row>
    <row r="71" spans="2:10" ht="15" customHeight="1">
      <c r="B71" s="155" t="s">
        <v>95</v>
      </c>
      <c r="C71" s="21">
        <f>C64</f>
        <v>790.33012724550895</v>
      </c>
      <c r="D71" s="21">
        <f>IF(C69=C70,D69,FORECAST(C71,D69:D70,C69:C70))</f>
        <v>741.05921800149713</v>
      </c>
      <c r="E71" s="21">
        <f>IF(C69=C70,E69,FORECAST(C71,E69:E70,C69:C70))</f>
        <v>2032.4852488772453</v>
      </c>
      <c r="F71" s="21">
        <f>IF(C69=C70,F69,FORECAST(C71,F69:F70,C69:C70))</f>
        <v>2773.5444668787422</v>
      </c>
      <c r="G71" s="1162">
        <f>IF(C69=C70,G69,FORECAST(C71,G69:G70,C69:C70))</f>
        <v>174.97610815868268</v>
      </c>
    </row>
    <row r="72" spans="2:10" ht="15" customHeight="1">
      <c r="D72" s="142"/>
      <c r="E72" s="142"/>
      <c r="F72" s="142"/>
      <c r="I72" s="142"/>
      <c r="J72" s="142"/>
    </row>
    <row r="73" spans="2:10" ht="45" customHeight="1">
      <c r="B73" s="150" t="s">
        <v>96</v>
      </c>
      <c r="C73" s="13" t="s">
        <v>97</v>
      </c>
      <c r="D73" s="13" t="s">
        <v>98</v>
      </c>
      <c r="E73" s="142"/>
      <c r="F73" s="142"/>
      <c r="I73" s="142"/>
      <c r="J73" s="142"/>
    </row>
    <row r="74" spans="2:10" ht="15" customHeight="1">
      <c r="B74" s="155" t="s">
        <v>93</v>
      </c>
      <c r="C74" s="156">
        <f>LOOKUP(C64,'Tables vapeur'!M7:M34)</f>
        <v>698.67499999999995</v>
      </c>
      <c r="D74" s="156">
        <f>VLOOKUP(C74,'Tables vapeur'!M7:R34,3,FALSE)</f>
        <v>2743.043408</v>
      </c>
      <c r="E74" s="142"/>
      <c r="F74" s="142"/>
      <c r="I74" s="142"/>
      <c r="J74" s="142"/>
    </row>
    <row r="75" spans="2:10" ht="15" customHeight="1">
      <c r="B75" s="155" t="s">
        <v>94</v>
      </c>
      <c r="C75" s="156">
        <f>IF((C74-C64)=0,C64,INDEX('Tables vapeur'!M7:M34,RANK(LOOKUP(C64,'Tables vapeur'!M7:M34),'Tables vapeur'!M7:M34,1)+1))</f>
        <v>898.67499999999995</v>
      </c>
      <c r="D75" s="156">
        <f>VLOOKUP(C75,'Tables vapeur'!M7:R34,3,FALSE)</f>
        <v>2757.347722</v>
      </c>
      <c r="E75" s="159"/>
      <c r="F75" s="159"/>
      <c r="G75" s="159"/>
      <c r="H75" s="159"/>
      <c r="I75" s="142"/>
      <c r="J75" s="142"/>
    </row>
    <row r="76" spans="2:10" ht="15" customHeight="1">
      <c r="B76" s="155" t="s">
        <v>95</v>
      </c>
      <c r="C76" s="156">
        <f>C64</f>
        <v>790.33012724550895</v>
      </c>
      <c r="D76" s="156">
        <f>IF(C74=C75,D74,FORECAST(C76,D74:D75,C74:C75))</f>
        <v>2749.5987265991484</v>
      </c>
      <c r="E76" s="159"/>
      <c r="F76" s="159"/>
      <c r="G76" s="159"/>
      <c r="H76" s="159"/>
      <c r="I76" s="142"/>
      <c r="J76" s="142"/>
    </row>
    <row r="77" spans="2:10" ht="15" customHeight="1">
      <c r="C77"/>
    </row>
    <row r="78" spans="2:10" ht="15" customHeight="1">
      <c r="B78" s="150" t="s">
        <v>99</v>
      </c>
      <c r="C78" s="9" t="s">
        <v>89</v>
      </c>
      <c r="D78" s="9" t="s">
        <v>90</v>
      </c>
      <c r="E78" s="9" t="s">
        <v>91</v>
      </c>
      <c r="F78" s="9" t="s">
        <v>92</v>
      </c>
      <c r="G78" s="13" t="s">
        <v>1894</v>
      </c>
    </row>
    <row r="79" spans="2:10" ht="15" customHeight="1">
      <c r="B79" s="157" t="s">
        <v>93</v>
      </c>
      <c r="C79" s="156">
        <f>LOOKUP(C50,'Tables vapeur'!C6:C61)</f>
        <v>148.67500000000001</v>
      </c>
      <c r="D79" s="156">
        <f>VLOOKUP(C79,'Tables vapeur'!C6:G61,3,FALSE)</f>
        <v>535.37</v>
      </c>
      <c r="E79" s="156">
        <f>VLOOKUP(C79,'Tables vapeur'!C6:G61,4,FALSE)</f>
        <v>2181.5</v>
      </c>
      <c r="F79" s="156">
        <f>VLOOKUP(C79,'Tables vapeur'!C6:G61,5,FALSE)</f>
        <v>2716.87</v>
      </c>
      <c r="G79" s="1162">
        <f>VLOOKUP(C79,'Tables vapeur'!$C$6:$G$61,2,FALSE)</f>
        <v>127.44</v>
      </c>
    </row>
    <row r="80" spans="2:10" ht="15" customHeight="1">
      <c r="B80" s="157" t="s">
        <v>94</v>
      </c>
      <c r="C80" s="156">
        <f>IF((C79-C50)=0,C50,INDEX('Tables vapeur'!C6:C61,RANK(LOOKUP(C50,'Tables vapeur'!C6:C61),'Tables vapeur'!C6:C61,1)+1))</f>
        <v>173.67500000000001</v>
      </c>
      <c r="D80" s="156">
        <f>VLOOKUP(C80,'Tables vapeur'!C6:G61,3,FALSE)</f>
        <v>548.89</v>
      </c>
      <c r="E80" s="156">
        <f>VLOOKUP(C80,'Tables vapeur'!C6:G61,4,FALSE)</f>
        <v>2172.4</v>
      </c>
      <c r="F80" s="156">
        <f>VLOOKUP(C80,'Tables vapeur'!C6:G61,5,FALSE)</f>
        <v>2721.29</v>
      </c>
      <c r="G80" s="1162">
        <f>VLOOKUP(C80,'Tables vapeur'!$C$6:$G$61,2,FALSE)</f>
        <v>130.6</v>
      </c>
    </row>
    <row r="81" spans="2:9" ht="15" customHeight="1">
      <c r="B81" s="157" t="s">
        <v>95</v>
      </c>
      <c r="C81" s="156">
        <f>C50</f>
        <v>153.1</v>
      </c>
      <c r="D81" s="156">
        <f>IF(C79=C80,D79,FORECAST(C81,D79:D80,C79:C80))</f>
        <v>537.76303999999993</v>
      </c>
      <c r="E81" s="156">
        <f>IF(C79=C80,E79,FORECAST(C81,E79:E80,C79:C80))</f>
        <v>2179.8892999999998</v>
      </c>
      <c r="F81" s="156">
        <f>IF(C79=C80,F79,FORECAST(C81,F79:F80,C79:C80))</f>
        <v>2717.6523400000001</v>
      </c>
      <c r="G81" s="1162">
        <f>IF(C79=C80,G79,FORECAST(C81,G79:G80,C79:C80))</f>
        <v>127.99931999999998</v>
      </c>
    </row>
    <row r="82" spans="2:9" ht="15" customHeight="1">
      <c r="B82" s="158"/>
      <c r="C82" s="159"/>
      <c r="D82" s="159"/>
      <c r="E82" s="159"/>
      <c r="F82" s="159"/>
    </row>
    <row r="83" spans="2:9" ht="15" customHeight="1">
      <c r="B83" s="165" t="s">
        <v>12</v>
      </c>
      <c r="C83" s="174"/>
      <c r="D83" s="167"/>
      <c r="E83" s="167"/>
      <c r="F83" s="167"/>
      <c r="G83" s="167"/>
      <c r="H83" s="167"/>
    </row>
    <row r="84" spans="2:9" ht="15" customHeight="1">
      <c r="B84" s="171" t="s">
        <v>355</v>
      </c>
      <c r="C84" s="168"/>
      <c r="D84" s="180">
        <f>IF(D13=1,'Micromodulation et sonde O2'!D64,Combustion_Chaud1!G2)</f>
        <v>0.83747950019628004</v>
      </c>
      <c r="E84" s="180">
        <f>IF(E13=1,'Micromodulation et sonde O2'!E64,Combustion_Chaud2!G2)</f>
        <v>0.83747950019628004</v>
      </c>
      <c r="F84" s="180">
        <f>IF(F13=1,'Micromodulation et sonde O2'!F64,Combustion_Chaud3!G2)</f>
        <v>0.83747950019628004</v>
      </c>
      <c r="G84" s="180">
        <f>IF(G13=1,'Micromodulation et sonde O2'!G64,Combustion_Chaud3!G2)</f>
        <v>0.83747950019628004</v>
      </c>
      <c r="H84" s="167"/>
      <c r="I84" s="215" t="s">
        <v>352</v>
      </c>
    </row>
    <row r="85" spans="2:9" ht="15" customHeight="1">
      <c r="B85" s="171" t="s">
        <v>353</v>
      </c>
      <c r="C85" s="168"/>
      <c r="D85" s="180">
        <f>IF('3c. Calculateur MEÉ 2-3-4'!$G$27&lt;=Hypothèses!$C$58,Hypothèses!$D$58,E92)</f>
        <v>2.5999999999999999E-2</v>
      </c>
      <c r="E85" s="180">
        <f>IF('3c. Calculateur MEÉ 2-3-4'!$I$27&lt;=Hypothèses!$C$58,Hypothèses!$D$58,H92)</f>
        <v>2.5999999999999999E-2</v>
      </c>
      <c r="F85" s="180">
        <f>IF('3c. Calculateur MEÉ 2-3-4'!$K$27&lt;=Hypothèses!$C$58,Hypothèses!$D$58,E97)</f>
        <v>2.5999999999999999E-2</v>
      </c>
      <c r="G85" s="180">
        <f>IF('3c. Calculateur MEÉ 2-3-4'!$M$27&lt;=Hypothèses!$C$58,Hypothèses!$D$58,H97)</f>
        <v>2.5999999999999999E-2</v>
      </c>
      <c r="H85" s="167"/>
    </row>
    <row r="86" spans="2:9" ht="15" customHeight="1">
      <c r="B86" s="171" t="s">
        <v>354</v>
      </c>
      <c r="C86" s="168"/>
      <c r="D86" s="693">
        <f>D84-D85</f>
        <v>0.81147950019628001</v>
      </c>
      <c r="E86" s="693">
        <f t="shared" ref="E86:G86" si="1">E84-E85</f>
        <v>0.81147950019628001</v>
      </c>
      <c r="F86" s="693">
        <f t="shared" si="1"/>
        <v>0.81147950019628001</v>
      </c>
      <c r="G86" s="693">
        <f t="shared" si="1"/>
        <v>0.81147950019628001</v>
      </c>
      <c r="H86" s="167"/>
      <c r="I86" s="216" t="s">
        <v>13</v>
      </c>
    </row>
    <row r="87" spans="2:9" ht="15" customHeight="1">
      <c r="B87" s="158"/>
      <c r="C87" s="159"/>
      <c r="D87" s="159"/>
      <c r="E87" s="159"/>
      <c r="F87" s="159"/>
    </row>
    <row r="88" spans="2:9" ht="15" customHeight="1">
      <c r="B88" s="258"/>
      <c r="C88" s="2324" t="s">
        <v>279</v>
      </c>
      <c r="D88" s="2325"/>
      <c r="E88" s="2326"/>
      <c r="F88" s="2324" t="s">
        <v>280</v>
      </c>
      <c r="G88" s="2325"/>
      <c r="H88" s="2325"/>
    </row>
    <row r="89" spans="2:9" ht="28.5" customHeight="1">
      <c r="B89" s="150" t="s">
        <v>361</v>
      </c>
      <c r="C89" s="249" t="s">
        <v>364</v>
      </c>
      <c r="D89" s="13" t="s">
        <v>365</v>
      </c>
      <c r="E89" s="252" t="s">
        <v>366</v>
      </c>
      <c r="F89" s="249" t="s">
        <v>364</v>
      </c>
      <c r="G89" s="13" t="s">
        <v>365</v>
      </c>
      <c r="H89" s="13" t="s">
        <v>366</v>
      </c>
    </row>
    <row r="90" spans="2:9" ht="15" customHeight="1">
      <c r="B90" s="157" t="s">
        <v>362</v>
      </c>
      <c r="C90" s="250" t="e">
        <f>LOOKUP(C92,Hypothèses!$C$58:$C$82)</f>
        <v>#N/A</v>
      </c>
      <c r="D90" s="248" t="e">
        <f>LOOKUP(C90,Hypothèses!$C$58:$C$82,Hypothèses!$D$58:$D$82)</f>
        <v>#N/A</v>
      </c>
      <c r="E90" s="253" t="e">
        <f>D90/'3c. Calculateur MEÉ 2-3-4'!$G$32</f>
        <v>#N/A</v>
      </c>
      <c r="F90" s="250" t="e">
        <f>LOOKUP(F92,Hypothèses!$C$58:$C$82)</f>
        <v>#N/A</v>
      </c>
      <c r="G90" s="248" t="e">
        <f>LOOKUP(F90,Hypothèses!$C$58:$C$82,Hypothèses!$D$58:$D$82)</f>
        <v>#N/A</v>
      </c>
      <c r="H90" s="248" t="e">
        <f>G90/'3c. Calculateur MEÉ 2-3-4'!$I$32</f>
        <v>#N/A</v>
      </c>
      <c r="I90" s="260"/>
    </row>
    <row r="91" spans="2:9" ht="15" customHeight="1">
      <c r="B91" s="157" t="s">
        <v>363</v>
      </c>
      <c r="C91" s="250" t="e">
        <f>IF((C90-C92)=0,C92,INDEX(Hypothèses!$C$58:$C$82,RANK(LOOKUP(C92,Hypothèses!$C$58:$C$82),Hypothèses!$C$58:$C$82,1)+1))</f>
        <v>#N/A</v>
      </c>
      <c r="D91" s="248" t="e">
        <f>LOOKUP(C91,Hypothèses!$C$58:$C$82,Hypothèses!$D$58:$D$82)</f>
        <v>#N/A</v>
      </c>
      <c r="E91" s="253" t="e">
        <f>D91/'3c. Calculateur MEÉ 2-3-4'!$G$32</f>
        <v>#N/A</v>
      </c>
      <c r="F91" s="250" t="e">
        <f>IF((F90-F92)=0,F92,INDEX(Hypothèses!$C$58:$C$82,RANK(LOOKUP(F92,Hypothèses!$C$58:$C$82),Hypothèses!$C$58:$C$82,1)+1))</f>
        <v>#N/A</v>
      </c>
      <c r="G91" s="248" t="e">
        <f>LOOKUP(F91,Hypothèses!$C$58:$C$82,Hypothèses!$D$58:$D$82)</f>
        <v>#N/A</v>
      </c>
      <c r="H91" s="248" t="e">
        <f>G91/'3c. Calculateur MEÉ 2-3-4'!$I$32</f>
        <v>#N/A</v>
      </c>
    </row>
    <row r="92" spans="2:9" ht="15" customHeight="1" thickBot="1">
      <c r="B92" s="157" t="s">
        <v>95</v>
      </c>
      <c r="C92" s="257">
        <f>'3c. Calculateur MEÉ 2-3-4'!$G$27</f>
        <v>0</v>
      </c>
      <c r="D92" s="255" t="e">
        <f>LOOKUP(C92,Hypothèses!$C$58:$C$82,Hypothèses!$D$58:$D$82)</f>
        <v>#N/A</v>
      </c>
      <c r="E92" s="256" t="e">
        <f>D92/'3c. Calculateur MEÉ 2-3-4'!$G$32</f>
        <v>#N/A</v>
      </c>
      <c r="F92" s="257">
        <f>'3c. Calculateur MEÉ 2-3-4'!$I$27</f>
        <v>0</v>
      </c>
      <c r="G92" s="255" t="e">
        <f>LOOKUP(F92,Hypothèses!$C$58:$C$82,Hypothèses!$D$58:$D$82)</f>
        <v>#N/A</v>
      </c>
      <c r="H92" s="259" t="e">
        <f>G92/'3c. Calculateur MEÉ 2-3-4'!$I$32</f>
        <v>#N/A</v>
      </c>
    </row>
    <row r="93" spans="2:9" ht="15" customHeight="1" thickTop="1">
      <c r="B93" s="258"/>
      <c r="C93" s="2321" t="s">
        <v>281</v>
      </c>
      <c r="D93" s="2322"/>
      <c r="E93" s="2323"/>
      <c r="F93" s="2321" t="s">
        <v>282</v>
      </c>
      <c r="G93" s="2322"/>
      <c r="H93" s="2322"/>
    </row>
    <row r="94" spans="2:9" ht="28.5" customHeight="1">
      <c r="B94" s="150" t="s">
        <v>361</v>
      </c>
      <c r="C94" s="249" t="s">
        <v>364</v>
      </c>
      <c r="D94" s="13" t="s">
        <v>365</v>
      </c>
      <c r="E94" s="252" t="s">
        <v>366</v>
      </c>
      <c r="F94" s="249" t="s">
        <v>364</v>
      </c>
      <c r="G94" s="13" t="s">
        <v>365</v>
      </c>
      <c r="H94" s="13" t="s">
        <v>366</v>
      </c>
    </row>
    <row r="95" spans="2:9" ht="15" customHeight="1">
      <c r="B95" s="157" t="s">
        <v>362</v>
      </c>
      <c r="C95" s="250" t="e">
        <f>LOOKUP(C97,Hypothèses!$C$58:$C$82)</f>
        <v>#N/A</v>
      </c>
      <c r="D95" s="248" t="e">
        <f>LOOKUP(C95,Hypothèses!$C$58:$C$82,Hypothèses!$D$58:$D$82)</f>
        <v>#N/A</v>
      </c>
      <c r="E95" s="253" t="e">
        <f>D95/'3c. Calculateur MEÉ 2-3-4'!$K$32</f>
        <v>#N/A</v>
      </c>
      <c r="F95" s="250" t="e">
        <f>LOOKUP(F97,Hypothèses!$C$58:$C$82)</f>
        <v>#N/A</v>
      </c>
      <c r="G95" s="248" t="e">
        <f>LOOKUP(F95,Hypothèses!$C$58:$C$82,Hypothèses!$D$58:$D$82)</f>
        <v>#N/A</v>
      </c>
      <c r="H95" s="248" t="e">
        <f>G95/'3c. Calculateur MEÉ 2-3-4'!$M$32</f>
        <v>#N/A</v>
      </c>
    </row>
    <row r="96" spans="2:9" ht="15" customHeight="1">
      <c r="B96" s="157" t="s">
        <v>363</v>
      </c>
      <c r="C96" s="250" t="e">
        <f>IF((C95-C97)=0,C97,INDEX(Hypothèses!$C$58:$C$82,RANK(LOOKUP(C97,Hypothèses!$C$58:$C$82),Hypothèses!$C$58:$C$82,1)+1))</f>
        <v>#N/A</v>
      </c>
      <c r="D96" s="248" t="e">
        <f>LOOKUP(C96,Hypothèses!$C$58:$C$82,Hypothèses!$D$58:$D$82)</f>
        <v>#N/A</v>
      </c>
      <c r="E96" s="253" t="e">
        <f>D96/'3c. Calculateur MEÉ 2-3-4'!$K$32</f>
        <v>#N/A</v>
      </c>
      <c r="F96" s="250" t="e">
        <f>IF((F95-F97)=0,F97,INDEX(Hypothèses!$C$58:$C$82,RANK(LOOKUP(F97,Hypothèses!$C$58:$C$82),Hypothèses!$C$58:$C$82,1)+1))</f>
        <v>#N/A</v>
      </c>
      <c r="G96" s="248" t="e">
        <f>LOOKUP(F96,Hypothèses!$C$58:$C$82,Hypothèses!$D$58:$D$82)</f>
        <v>#N/A</v>
      </c>
      <c r="H96" s="248" t="e">
        <f>G96/'3c. Calculateur MEÉ 2-3-4'!$M$32</f>
        <v>#N/A</v>
      </c>
    </row>
    <row r="97" spans="2:12" ht="15" customHeight="1">
      <c r="B97" s="157" t="s">
        <v>95</v>
      </c>
      <c r="C97" s="250">
        <f>'3c. Calculateur MEÉ 2-3-4'!$K$27</f>
        <v>0</v>
      </c>
      <c r="D97" s="248" t="e">
        <f>LOOKUP(C97,Hypothèses!$C$58:$C$82,Hypothèses!$D$58:$D$82)</f>
        <v>#N/A</v>
      </c>
      <c r="E97" s="254" t="e">
        <f>D97/'3c. Calculateur MEÉ 2-3-4'!$K$32</f>
        <v>#N/A</v>
      </c>
      <c r="F97" s="250">
        <f>'3c. Calculateur MEÉ 2-3-4'!$M$27</f>
        <v>0</v>
      </c>
      <c r="G97" s="248" t="e">
        <f>LOOKUP(F97,Hypothèses!$C$58:$C$82,Hypothèses!$D$58:$D$82)</f>
        <v>#N/A</v>
      </c>
      <c r="H97" s="251" t="e">
        <f>G97/'3c. Calculateur MEÉ 2-3-4'!$M$32</f>
        <v>#N/A</v>
      </c>
    </row>
    <row r="98" spans="2:12" ht="15" customHeight="1">
      <c r="B98" s="158"/>
      <c r="C98" s="159"/>
      <c r="D98" s="159"/>
      <c r="E98" s="159"/>
      <c r="F98" s="159"/>
    </row>
    <row r="99" spans="2:12" ht="15" customHeight="1">
      <c r="B99" s="165"/>
      <c r="C99" s="166" t="s">
        <v>46</v>
      </c>
      <c r="D99" s="166" t="s">
        <v>1</v>
      </c>
      <c r="E99" s="166" t="s">
        <v>2</v>
      </c>
      <c r="F99" s="166" t="s">
        <v>3</v>
      </c>
      <c r="G99" s="166" t="s">
        <v>4</v>
      </c>
      <c r="H99" s="165" t="s">
        <v>47</v>
      </c>
      <c r="I99" s="159"/>
      <c r="J99" s="159"/>
    </row>
    <row r="100" spans="2:12" ht="15" customHeight="1">
      <c r="B100" s="4"/>
      <c r="C100" s="161"/>
      <c r="D100" s="161"/>
      <c r="E100" s="161"/>
      <c r="F100" s="161"/>
      <c r="G100" s="161"/>
      <c r="H100" s="4"/>
      <c r="I100" s="159"/>
      <c r="J100" s="159"/>
    </row>
    <row r="101" spans="2:12" ht="15" customHeight="1">
      <c r="B101" s="165" t="s">
        <v>421</v>
      </c>
      <c r="C101" s="229"/>
      <c r="D101" s="229"/>
      <c r="E101" s="229"/>
      <c r="F101" s="229"/>
      <c r="G101" s="229"/>
      <c r="H101" s="167"/>
    </row>
    <row r="102" spans="2:12" ht="18">
      <c r="B102" s="167" t="s">
        <v>101</v>
      </c>
      <c r="C102" s="231"/>
      <c r="D102" s="232">
        <f>D60</f>
        <v>0</v>
      </c>
      <c r="E102" s="232">
        <f>E60</f>
        <v>0</v>
      </c>
      <c r="F102" s="232">
        <f>F60</f>
        <v>0</v>
      </c>
      <c r="G102" s="232">
        <f>G60</f>
        <v>0</v>
      </c>
      <c r="H102" s="184" t="s">
        <v>5</v>
      </c>
      <c r="J102" s="140"/>
    </row>
    <row r="103" spans="2:12" ht="18">
      <c r="B103" s="167" t="s">
        <v>102</v>
      </c>
      <c r="C103" s="231"/>
      <c r="D103" s="231">
        <f>D47</f>
        <v>0</v>
      </c>
      <c r="E103" s="231">
        <f>E47</f>
        <v>0</v>
      </c>
      <c r="F103" s="231">
        <f>F47</f>
        <v>0</v>
      </c>
      <c r="G103" s="231">
        <f>G47</f>
        <v>0</v>
      </c>
      <c r="H103" s="184" t="s">
        <v>5</v>
      </c>
      <c r="J103" s="140"/>
      <c r="L103" s="139"/>
    </row>
    <row r="104" spans="2:12" ht="18">
      <c r="B104" s="167" t="s">
        <v>103</v>
      </c>
      <c r="C104" s="231"/>
      <c r="D104" s="231">
        <f>D55</f>
        <v>0</v>
      </c>
      <c r="E104" s="231">
        <f>E55</f>
        <v>0</v>
      </c>
      <c r="F104" s="231">
        <f>F55</f>
        <v>0</v>
      </c>
      <c r="G104" s="231">
        <f>G55</f>
        <v>0</v>
      </c>
      <c r="H104" s="184" t="s">
        <v>5</v>
      </c>
      <c r="J104" s="140"/>
      <c r="L104" s="139"/>
    </row>
    <row r="105" spans="2:12" ht="18">
      <c r="B105" s="167" t="s">
        <v>104</v>
      </c>
      <c r="C105" s="231"/>
      <c r="D105" s="232">
        <f>D40</f>
        <v>0</v>
      </c>
      <c r="E105" s="232">
        <f>E40</f>
        <v>0</v>
      </c>
      <c r="F105" s="232">
        <f>F40</f>
        <v>0</v>
      </c>
      <c r="G105" s="232">
        <f>G40</f>
        <v>0</v>
      </c>
      <c r="H105" s="184" t="s">
        <v>5</v>
      </c>
      <c r="J105" s="140"/>
      <c r="L105" s="139"/>
    </row>
    <row r="106" spans="2:12" ht="18">
      <c r="B106" s="165" t="s">
        <v>105</v>
      </c>
      <c r="C106" s="231"/>
      <c r="D106" s="233">
        <f>D102+D103+D104-D105</f>
        <v>0</v>
      </c>
      <c r="E106" s="233">
        <f>E102+E103+E104-E105</f>
        <v>0</v>
      </c>
      <c r="F106" s="233">
        <f>F102+F103+F104-F105</f>
        <v>0</v>
      </c>
      <c r="G106" s="233">
        <f>G102+G103+G104-G105</f>
        <v>0</v>
      </c>
      <c r="H106" s="184" t="s">
        <v>5</v>
      </c>
      <c r="I106" s="148" t="s">
        <v>106</v>
      </c>
    </row>
    <row r="107" spans="2:12">
      <c r="B107" s="165"/>
      <c r="C107" s="231"/>
      <c r="D107" s="232">
        <f>ROUND(D106*'Facteurs conversion'!$C$10,2)</f>
        <v>0</v>
      </c>
      <c r="E107" s="232">
        <f>ROUND(E106*'Facteurs conversion'!$C$10,2)</f>
        <v>0</v>
      </c>
      <c r="F107" s="232">
        <f>ROUND(F106*'Facteurs conversion'!$C$10,2)</f>
        <v>0</v>
      </c>
      <c r="G107" s="232">
        <f>ROUND(G106*'Facteurs conversion'!$C$10,2)</f>
        <v>0</v>
      </c>
      <c r="H107" s="184" t="s">
        <v>10</v>
      </c>
    </row>
    <row r="108" spans="2:12" ht="18">
      <c r="B108" s="165" t="s">
        <v>107</v>
      </c>
      <c r="C108" s="231"/>
      <c r="D108" s="233">
        <f>D106/D86</f>
        <v>0</v>
      </c>
      <c r="E108" s="233">
        <f>E106/E86</f>
        <v>0</v>
      </c>
      <c r="F108" s="233">
        <f>F106/F86</f>
        <v>0</v>
      </c>
      <c r="G108" s="233">
        <f>G106/G86</f>
        <v>0</v>
      </c>
      <c r="H108" s="184" t="s">
        <v>5</v>
      </c>
    </row>
    <row r="109" spans="2:12">
      <c r="B109" s="165"/>
      <c r="C109" s="231"/>
      <c r="D109" s="231">
        <f>D108*'Facteurs conversion'!$C$10</f>
        <v>0</v>
      </c>
      <c r="E109" s="231">
        <f>E108*'Facteurs conversion'!$C$10</f>
        <v>0</v>
      </c>
      <c r="F109" s="231">
        <f>F108*'Facteurs conversion'!$C$10</f>
        <v>0</v>
      </c>
      <c r="G109" s="231">
        <f>G108*'Facteurs conversion'!$C$10</f>
        <v>0</v>
      </c>
      <c r="H109" s="184" t="s">
        <v>10</v>
      </c>
    </row>
    <row r="110" spans="2:12">
      <c r="B110" s="165"/>
      <c r="C110" s="231"/>
      <c r="D110" s="231">
        <f>D109*10^6/'Facteurs conversion'!$C$11</f>
        <v>0</v>
      </c>
      <c r="E110" s="231">
        <f>E109*10^6/'Facteurs conversion'!$C$11</f>
        <v>0</v>
      </c>
      <c r="F110" s="231">
        <f>F109*10^6/'Facteurs conversion'!$C$11</f>
        <v>0</v>
      </c>
      <c r="G110" s="231">
        <f>G109*10^6/'Facteurs conversion'!$C$11</f>
        <v>0</v>
      </c>
      <c r="H110" s="184" t="s">
        <v>109</v>
      </c>
    </row>
    <row r="111" spans="2:12">
      <c r="B111" s="4"/>
      <c r="C111" s="143"/>
      <c r="D111" s="2"/>
      <c r="E111" s="2"/>
      <c r="F111" s="2"/>
      <c r="G111" s="2"/>
      <c r="H111" s="2"/>
    </row>
    <row r="112" spans="2:12">
      <c r="B112" s="5" t="s">
        <v>394</v>
      </c>
    </row>
    <row r="113" spans="1:12">
      <c r="A113" s="1"/>
      <c r="B113" s="5" t="s">
        <v>424</v>
      </c>
      <c r="C113" s="145"/>
      <c r="D113" s="6"/>
      <c r="E113" s="6"/>
      <c r="F113" s="6"/>
      <c r="G113" s="6"/>
      <c r="H113" s="6"/>
      <c r="I113" s="6"/>
      <c r="J113" s="6"/>
      <c r="K113" s="6"/>
      <c r="L113" s="6"/>
    </row>
    <row r="114" spans="1:12">
      <c r="C114"/>
      <c r="E114" s="228"/>
    </row>
    <row r="115" spans="1:12">
      <c r="B115" s="175" t="s">
        <v>425</v>
      </c>
      <c r="C115" s="168"/>
      <c r="D115" s="223">
        <f>D110</f>
        <v>0</v>
      </c>
      <c r="E115" s="223">
        <f t="shared" ref="E115:G115" si="2">E110</f>
        <v>0</v>
      </c>
      <c r="F115" s="223">
        <f>F110</f>
        <v>0</v>
      </c>
      <c r="G115" s="223">
        <f t="shared" si="2"/>
        <v>0</v>
      </c>
      <c r="H115" s="184" t="s">
        <v>109</v>
      </c>
    </row>
    <row r="116" spans="1:12">
      <c r="B116" s="175"/>
      <c r="C116" s="168"/>
      <c r="D116" s="223">
        <f>ROUND(D115/(8.31451*(273.15+'3c. Calculateur MEÉ 2-3-4'!$G$40)/101325),1)</f>
        <v>0</v>
      </c>
      <c r="E116" s="223">
        <f>ROUND(E115/(8.31451*(273.15+'3c. Calculateur MEÉ 2-3-4'!$I$40)/101325),1)</f>
        <v>0</v>
      </c>
      <c r="F116" s="223">
        <f>ROUND(F115/(8.31451*(273.15+'3c. Calculateur MEÉ 2-3-4'!$K$40)/101325),1)</f>
        <v>0</v>
      </c>
      <c r="G116" s="223">
        <f>ROUND(G115/(8.31451*(273.15+'3c. Calculateur MEÉ 2-3-4'!$M$40)/101325),1)</f>
        <v>0</v>
      </c>
      <c r="H116" s="184" t="s">
        <v>113</v>
      </c>
      <c r="I116" s="148" t="s">
        <v>114</v>
      </c>
      <c r="J116" s="2"/>
    </row>
    <row r="117" spans="1:12">
      <c r="B117" s="135"/>
      <c r="C117" s="144"/>
      <c r="I117" s="1"/>
    </row>
    <row r="118" spans="1:12">
      <c r="C118" s="2380" t="s">
        <v>115</v>
      </c>
      <c r="D118" s="2381"/>
      <c r="E118" s="2381"/>
      <c r="F118" s="2382"/>
      <c r="G118" s="2381" t="s">
        <v>127</v>
      </c>
      <c r="H118" s="2381"/>
      <c r="I118" s="2381"/>
      <c r="J118" s="2383"/>
    </row>
    <row r="119" spans="1:12" ht="30">
      <c r="B119" s="150" t="s">
        <v>116</v>
      </c>
      <c r="C119" s="13" t="s">
        <v>117</v>
      </c>
      <c r="D119" s="9" t="s">
        <v>118</v>
      </c>
      <c r="E119" s="9" t="s">
        <v>119</v>
      </c>
      <c r="F119" s="284" t="s">
        <v>120</v>
      </c>
      <c r="G119" s="249" t="s">
        <v>117</v>
      </c>
      <c r="H119" s="9" t="s">
        <v>118</v>
      </c>
      <c r="I119" s="9" t="s">
        <v>119</v>
      </c>
      <c r="J119" s="9" t="s">
        <v>120</v>
      </c>
    </row>
    <row r="120" spans="1:12" ht="15" customHeight="1">
      <c r="B120" s="136" t="s">
        <v>121</v>
      </c>
      <c r="C120" s="21">
        <v>44.009500000000003</v>
      </c>
      <c r="D120" s="137">
        <f>IF(D13=1,'Combustion_Chaud1 (Micro)'!$L$78,Combustion_Chaud1!$L$78)*$D$116</f>
        <v>0</v>
      </c>
      <c r="E120" s="137">
        <f>ROUND(D120*C120/('Facteurs conversion'!$C$12*1000),1)</f>
        <v>0</v>
      </c>
      <c r="F120" s="285">
        <f>ROUND(D120*C120/1000,1)</f>
        <v>0</v>
      </c>
      <c r="G120" s="21">
        <v>44.009500000000003</v>
      </c>
      <c r="H120" s="137">
        <f>IF(E13=1,'Combustion_Chaud2 (Micro)'!$L$78,Combustion_Chaud2!$L$78)*$E$116</f>
        <v>0</v>
      </c>
      <c r="I120" s="137">
        <f>ROUND(H120*G120/('Facteurs conversion'!$C$12*1000),1)</f>
        <v>0</v>
      </c>
      <c r="J120" s="137">
        <f>ROUND(H120*G120/1000,1)</f>
        <v>0</v>
      </c>
    </row>
    <row r="121" spans="1:12" ht="15" customHeight="1">
      <c r="B121" s="136" t="s">
        <v>122</v>
      </c>
      <c r="C121" s="21">
        <v>18.015280000000001</v>
      </c>
      <c r="D121" s="137">
        <f>IF(D13=1,'Combustion_Chaud1 (Micro)'!$L$81,Combustion_Chaud1!$L$81)*$D$116</f>
        <v>0</v>
      </c>
      <c r="E121" s="137">
        <f>ROUND(D121*C121/('Facteurs conversion'!$C$12*1000),1)</f>
        <v>0</v>
      </c>
      <c r="F121" s="285">
        <f>ROUND(D121*C121/1000,1)</f>
        <v>0</v>
      </c>
      <c r="G121" s="21">
        <v>18.015280000000001</v>
      </c>
      <c r="H121" s="137">
        <f>IF(E13=1,'Combustion_Chaud2 (Micro)'!$L$81,Combustion_Chaud2!$L$81)*$E$116</f>
        <v>0</v>
      </c>
      <c r="I121" s="137">
        <f>ROUND(H121*G121/('Facteurs conversion'!$C$12*1000),1)</f>
        <v>0</v>
      </c>
      <c r="J121" s="137">
        <f>ROUND(H121*G121/1000,1)</f>
        <v>0</v>
      </c>
    </row>
    <row r="122" spans="1:12" ht="15" customHeight="1">
      <c r="B122" s="136" t="s">
        <v>123</v>
      </c>
      <c r="C122" s="21">
        <v>31.998799999999999</v>
      </c>
      <c r="D122" s="137">
        <f>IF(D13=1,'Combustion_Chaud1 (Micro)'!$L$79,Combustion_Chaud1!$L$79)*$D$116</f>
        <v>0</v>
      </c>
      <c r="E122" s="137">
        <f>ROUND(D122*C122/('Facteurs conversion'!$C$12*1000),1)</f>
        <v>0</v>
      </c>
      <c r="F122" s="285">
        <f>ROUND(D122*C122/1000,1)</f>
        <v>0</v>
      </c>
      <c r="G122" s="21">
        <v>31.998799999999999</v>
      </c>
      <c r="H122" s="137">
        <f>IF(E13=1,'Combustion_Chaud2 (Micro)'!$L$79,Combustion_Chaud2!$L$79)*$E$116</f>
        <v>0</v>
      </c>
      <c r="I122" s="137">
        <f>ROUND(H122*G122/('Facteurs conversion'!$C$12*1000),1)</f>
        <v>0</v>
      </c>
      <c r="J122" s="137">
        <f>ROUND(H122*G122/1000,1)</f>
        <v>0</v>
      </c>
    </row>
    <row r="123" spans="1:12" ht="15" customHeight="1">
      <c r="B123" s="136" t="s">
        <v>124</v>
      </c>
      <c r="C123" s="21">
        <v>28.013400000000001</v>
      </c>
      <c r="D123" s="137">
        <f>IF(D13=1,'Combustion_Chaud1 (Micro)'!$L$77,Combustion_Chaud1!$L$77)*$D$116</f>
        <v>0</v>
      </c>
      <c r="E123" s="137">
        <f>ROUND(D123*C123/('Facteurs conversion'!$C$12*1000),1)</f>
        <v>0</v>
      </c>
      <c r="F123" s="285">
        <f>ROUND(D123*C123/1000,1)</f>
        <v>0</v>
      </c>
      <c r="G123" s="21">
        <v>28.013400000000001</v>
      </c>
      <c r="H123" s="137">
        <f>IF(E13=1,'Combustion_Chaud2 (Micro)'!$L$77,Combustion_Chaud2!$L$77)*$E$116</f>
        <v>0</v>
      </c>
      <c r="I123" s="137">
        <f>ROUND(H123*G123/('Facteurs conversion'!$C$12*1000),1)</f>
        <v>0</v>
      </c>
      <c r="J123" s="137">
        <f>ROUND(H123*G123/1000,1)</f>
        <v>0</v>
      </c>
    </row>
    <row r="124" spans="1:12" ht="15" customHeight="1">
      <c r="B124" s="152" t="s">
        <v>125</v>
      </c>
      <c r="C124" s="11"/>
      <c r="D124" s="137">
        <f>SUM(D120:D123)</f>
        <v>0</v>
      </c>
      <c r="E124" s="137">
        <f>SUM(E120:E123)</f>
        <v>0</v>
      </c>
      <c r="F124" s="286">
        <f>SUM(F120:F123)</f>
        <v>0</v>
      </c>
      <c r="G124" s="283"/>
      <c r="H124" s="137">
        <f>SUM(H120:H123)</f>
        <v>0</v>
      </c>
      <c r="I124" s="137">
        <f>SUM(I120:I123)</f>
        <v>0</v>
      </c>
      <c r="J124" s="138">
        <f>SUM(J120:J123)</f>
        <v>0</v>
      </c>
    </row>
    <row r="125" spans="1:12" ht="15" customHeight="1" thickBot="1">
      <c r="B125" s="421" t="s">
        <v>126</v>
      </c>
      <c r="C125" s="287"/>
      <c r="D125" s="288">
        <f>SUM(D120,D122:D123)</f>
        <v>0</v>
      </c>
      <c r="E125" s="288">
        <f>SUM(E120,E122:E123)</f>
        <v>0</v>
      </c>
      <c r="F125" s="289">
        <f>SUM(F120,F122:F123)</f>
        <v>0</v>
      </c>
      <c r="G125" s="290"/>
      <c r="H125" s="288">
        <f>SUM(H120,H122:H123)</f>
        <v>0</v>
      </c>
      <c r="I125" s="288">
        <f>SUM(I120,I122:I123)</f>
        <v>0</v>
      </c>
      <c r="J125" s="291">
        <f>SUM(J120,J122:J123)</f>
        <v>0</v>
      </c>
    </row>
    <row r="126" spans="1:12" ht="15" customHeight="1" thickTop="1">
      <c r="C126" s="2385" t="s">
        <v>128</v>
      </c>
      <c r="D126" s="2386"/>
      <c r="E126" s="2386"/>
      <c r="F126" s="2387"/>
      <c r="G126" s="2388" t="s">
        <v>129</v>
      </c>
      <c r="H126" s="2389"/>
      <c r="I126" s="2389"/>
      <c r="J126" s="2390"/>
    </row>
    <row r="127" spans="1:12" ht="15" customHeight="1">
      <c r="B127" s="150" t="s">
        <v>116</v>
      </c>
      <c r="C127" s="13" t="s">
        <v>117</v>
      </c>
      <c r="D127" s="9" t="s">
        <v>118</v>
      </c>
      <c r="E127" s="9" t="s">
        <v>119</v>
      </c>
      <c r="F127" s="284" t="s">
        <v>120</v>
      </c>
      <c r="G127" s="296" t="s">
        <v>117</v>
      </c>
      <c r="H127" s="297" t="s">
        <v>118</v>
      </c>
      <c r="I127" s="297" t="s">
        <v>119</v>
      </c>
      <c r="J127" s="297" t="s">
        <v>120</v>
      </c>
    </row>
    <row r="128" spans="1:12" ht="15" customHeight="1">
      <c r="B128" s="136" t="s">
        <v>121</v>
      </c>
      <c r="C128" s="21">
        <v>44.009500000000003</v>
      </c>
      <c r="D128" s="137">
        <f>IF(F13=1,'Combustion_Chaud3 (Micro)'!$L$78,Combustion_Chaud3!$L$78)*$F$116</f>
        <v>0</v>
      </c>
      <c r="E128" s="137">
        <f>ROUND(D128*C128/('Facteurs conversion'!$C$12*1000),1)</f>
        <v>0</v>
      </c>
      <c r="F128" s="285">
        <f>ROUND(D128*C128/1000,1)</f>
        <v>0</v>
      </c>
      <c r="G128" s="21">
        <v>44.009500000000003</v>
      </c>
      <c r="H128" s="137">
        <f>IF(G13=1,'Combustion_Chaud4 (Micro)'!$L$78,Combustion_Chaud4!$L$78)*$G$116</f>
        <v>0</v>
      </c>
      <c r="I128" s="137">
        <f>ROUND(H128*G128/('Facteurs conversion'!$C$12*1000),1)</f>
        <v>0</v>
      </c>
      <c r="J128" s="137">
        <f>ROUND(H128*G128/1000,1)</f>
        <v>0</v>
      </c>
    </row>
    <row r="129" spans="2:12" ht="15" customHeight="1">
      <c r="B129" s="136" t="s">
        <v>122</v>
      </c>
      <c r="C129" s="21">
        <v>18.015280000000001</v>
      </c>
      <c r="D129" s="137">
        <f>IF(F13=1,'Combustion_Chaud3 (Micro)'!$L$81,Combustion_Chaud3!$L$81)*$F$116</f>
        <v>0</v>
      </c>
      <c r="E129" s="137">
        <f>ROUND(D129*C129/('Facteurs conversion'!$C$12*1000),1)</f>
        <v>0</v>
      </c>
      <c r="F129" s="285">
        <f>ROUND(D129*C129/1000,1)</f>
        <v>0</v>
      </c>
      <c r="G129" s="21">
        <v>18.015280000000001</v>
      </c>
      <c r="H129" s="137">
        <f>IF(G13=1,'Combustion_Chaud4 (Micro)'!$L$81,Combustion_Chaud4!$L$81)*$G$116</f>
        <v>0</v>
      </c>
      <c r="I129" s="137">
        <f>ROUND(H129*G129/('Facteurs conversion'!$C$12*1000),1)</f>
        <v>0</v>
      </c>
      <c r="J129" s="137">
        <f>ROUND(H129*G129/1000,1)</f>
        <v>0</v>
      </c>
    </row>
    <row r="130" spans="2:12" ht="15" customHeight="1">
      <c r="B130" s="136" t="s">
        <v>123</v>
      </c>
      <c r="C130" s="21">
        <v>31.998799999999999</v>
      </c>
      <c r="D130" s="137">
        <f>IF(F13=1,'Combustion_Chaud3 (Micro)'!$L$79,Combustion_Chaud3!$L$79)*$F$116</f>
        <v>0</v>
      </c>
      <c r="E130" s="137">
        <f>ROUND(D130*C130/('Facteurs conversion'!$C$12*1000),1)</f>
        <v>0</v>
      </c>
      <c r="F130" s="285">
        <f>ROUND(D130*C130/1000,1)</f>
        <v>0</v>
      </c>
      <c r="G130" s="21">
        <v>31.998799999999999</v>
      </c>
      <c r="H130" s="137">
        <f>IF(G13=1,'Combustion_Chaud4 (Micro)'!$L$79,Combustion_Chaud4!$L$79)*$G$116</f>
        <v>0</v>
      </c>
      <c r="I130" s="137">
        <f>ROUND(H130*G130/('Facteurs conversion'!$C$12*1000),1)</f>
        <v>0</v>
      </c>
      <c r="J130" s="137">
        <f>ROUND(H130*G130/1000,1)</f>
        <v>0</v>
      </c>
    </row>
    <row r="131" spans="2:12" ht="15" customHeight="1">
      <c r="B131" s="136" t="s">
        <v>124</v>
      </c>
      <c r="C131" s="21">
        <v>28.013400000000001</v>
      </c>
      <c r="D131" s="137">
        <f>IF(F13=1,'Combustion_Chaud3 (Micro)'!$L$77,Combustion_Chaud3!$L$77)*$F$116</f>
        <v>0</v>
      </c>
      <c r="E131" s="137">
        <f>ROUND(D131*C131/('Facteurs conversion'!$C$12*1000),1)</f>
        <v>0</v>
      </c>
      <c r="F131" s="285">
        <f>ROUND(D131*C131/1000,1)</f>
        <v>0</v>
      </c>
      <c r="G131" s="21">
        <v>28.013400000000001</v>
      </c>
      <c r="H131" s="137">
        <f>IF(G13=1,'Combustion_Chaud4 (Micro)'!$L$77,Combustion_Chaud4!$L$77)*$G$116</f>
        <v>0</v>
      </c>
      <c r="I131" s="137">
        <f>ROUND(H131*G131/('Facteurs conversion'!$C$12*1000),1)</f>
        <v>0</v>
      </c>
      <c r="J131" s="137">
        <f>ROUND(H131*G131/1000,1)</f>
        <v>0</v>
      </c>
    </row>
    <row r="132" spans="2:12" ht="15" customHeight="1">
      <c r="B132" s="152" t="s">
        <v>125</v>
      </c>
      <c r="C132" s="11"/>
      <c r="D132" s="137">
        <f>SUM(D128:D131)</f>
        <v>0</v>
      </c>
      <c r="E132" s="137">
        <f>SUM(E128:E131)</f>
        <v>0</v>
      </c>
      <c r="F132" s="286">
        <f>SUM(F128:F131)</f>
        <v>0</v>
      </c>
      <c r="G132" s="283"/>
      <c r="H132" s="137">
        <f>SUM(H128:H131)</f>
        <v>0</v>
      </c>
      <c r="I132" s="137">
        <f>SUM(I128:I131)</f>
        <v>0</v>
      </c>
      <c r="J132" s="138">
        <f>SUM(J128:J131)</f>
        <v>0</v>
      </c>
    </row>
    <row r="133" spans="2:12" ht="15" customHeight="1">
      <c r="B133" s="152" t="s">
        <v>126</v>
      </c>
      <c r="C133" s="11"/>
      <c r="D133" s="137">
        <f>SUM(D128,D130:D131)</f>
        <v>0</v>
      </c>
      <c r="E133" s="137">
        <f>SUM(E128,E130:E131)</f>
        <v>0</v>
      </c>
      <c r="F133" s="286">
        <f>SUM(F128,F130:F131)</f>
        <v>0</v>
      </c>
      <c r="G133" s="283"/>
      <c r="H133" s="137">
        <f>SUM(H128,H130:H131)</f>
        <v>0</v>
      </c>
      <c r="I133" s="137">
        <f>SUM(I128,I130:I131)</f>
        <v>0</v>
      </c>
      <c r="J133" s="138">
        <f>SUM(J128,J130:J131)</f>
        <v>0</v>
      </c>
    </row>
    <row r="134" spans="2:12" ht="15" customHeight="1">
      <c r="B134" s="186"/>
      <c r="D134" s="187"/>
      <c r="E134" s="187"/>
      <c r="F134" s="187"/>
    </row>
    <row r="135" spans="2:12">
      <c r="B135" s="5" t="s">
        <v>382</v>
      </c>
      <c r="C135" s="145"/>
      <c r="D135" s="6"/>
      <c r="E135" s="6"/>
      <c r="F135" s="6"/>
      <c r="G135" s="6"/>
      <c r="H135" s="6"/>
      <c r="I135" s="6"/>
      <c r="J135" s="6"/>
      <c r="K135" s="6"/>
      <c r="L135" s="6"/>
    </row>
    <row r="136" spans="2:12">
      <c r="C136"/>
    </row>
    <row r="137" spans="2:12">
      <c r="B137" s="188"/>
      <c r="C137" s="166" t="s">
        <v>46</v>
      </c>
      <c r="D137" s="166" t="s">
        <v>1</v>
      </c>
      <c r="E137" s="166" t="s">
        <v>2</v>
      </c>
      <c r="F137" s="166" t="s">
        <v>3</v>
      </c>
      <c r="G137" s="166" t="s">
        <v>4</v>
      </c>
      <c r="H137" s="165" t="s">
        <v>47</v>
      </c>
    </row>
    <row r="138" spans="2:12">
      <c r="B138" s="3"/>
      <c r="C138" s="161"/>
      <c r="D138" s="161"/>
      <c r="E138" s="161"/>
      <c r="F138" s="161"/>
      <c r="G138" s="161"/>
      <c r="H138" s="4"/>
    </row>
    <row r="139" spans="2:12">
      <c r="B139" s="167" t="s">
        <v>155</v>
      </c>
      <c r="C139" s="168">
        <f>Hypothèses!D189</f>
        <v>121</v>
      </c>
      <c r="D139" s="184"/>
      <c r="E139" s="167"/>
      <c r="F139" s="167"/>
      <c r="G139" s="167"/>
      <c r="H139" s="184" t="s">
        <v>16</v>
      </c>
      <c r="I139" s="141" t="s">
        <v>369</v>
      </c>
    </row>
    <row r="140" spans="2:12">
      <c r="B140" s="167"/>
      <c r="C140" s="167"/>
      <c r="D140" s="167"/>
      <c r="E140" s="167"/>
      <c r="F140" s="167"/>
      <c r="G140" s="167"/>
      <c r="H140" s="167"/>
    </row>
    <row r="141" spans="2:12">
      <c r="B141" s="171" t="s">
        <v>130</v>
      </c>
      <c r="C141" s="168"/>
      <c r="D141" s="189">
        <f>F125</f>
        <v>0</v>
      </c>
      <c r="E141" s="190">
        <f>J125</f>
        <v>0</v>
      </c>
      <c r="F141" s="190">
        <f>F133</f>
        <v>0</v>
      </c>
      <c r="G141" s="190">
        <f>J133</f>
        <v>0</v>
      </c>
      <c r="H141" s="167" t="s">
        <v>59</v>
      </c>
    </row>
    <row r="142" spans="2:12">
      <c r="B142" s="171" t="s">
        <v>131</v>
      </c>
      <c r="C142" s="168"/>
      <c r="D142" s="189">
        <f>F124</f>
        <v>0</v>
      </c>
      <c r="E142" s="190">
        <f>J124</f>
        <v>0</v>
      </c>
      <c r="F142" s="190">
        <f>F132</f>
        <v>0</v>
      </c>
      <c r="G142" s="190">
        <f>J132</f>
        <v>0</v>
      </c>
      <c r="H142" s="167" t="s">
        <v>59</v>
      </c>
    </row>
    <row r="143" spans="2:12">
      <c r="B143" s="171" t="s">
        <v>132</v>
      </c>
      <c r="C143" s="168"/>
      <c r="D143" s="190">
        <f>D142-D141</f>
        <v>0</v>
      </c>
      <c r="E143" s="190">
        <f>E142-E141</f>
        <v>0</v>
      </c>
      <c r="F143" s="190">
        <f t="shared" ref="F143:G143" si="3">F142-F141</f>
        <v>0</v>
      </c>
      <c r="G143" s="190">
        <f t="shared" si="3"/>
        <v>0</v>
      </c>
      <c r="H143" s="167" t="s">
        <v>59</v>
      </c>
    </row>
    <row r="144" spans="2:12">
      <c r="B144" s="167"/>
      <c r="C144" s="168"/>
      <c r="D144" s="168"/>
      <c r="E144" s="168"/>
      <c r="F144" s="168"/>
      <c r="G144" s="168"/>
      <c r="H144" s="167"/>
    </row>
    <row r="145" spans="2:20">
      <c r="B145" s="167" t="s">
        <v>396</v>
      </c>
      <c r="C145" s="282">
        <f>Hypothèses!D188</f>
        <v>0.65</v>
      </c>
      <c r="D145" s="168"/>
      <c r="E145" s="168"/>
      <c r="F145" s="168"/>
      <c r="G145" s="168"/>
      <c r="H145" s="167"/>
      <c r="I145" s="141" t="s">
        <v>369</v>
      </c>
    </row>
    <row r="146" spans="2:20">
      <c r="B146" s="171" t="s">
        <v>156</v>
      </c>
      <c r="C146" s="168"/>
      <c r="D146" s="181">
        <f>D143*$C$145</f>
        <v>0</v>
      </c>
      <c r="E146" s="181">
        <f>E143*$C$145</f>
        <v>0</v>
      </c>
      <c r="F146" s="181">
        <f>F143*$C$145</f>
        <v>0</v>
      </c>
      <c r="G146" s="181">
        <f>G143*$C$145</f>
        <v>0</v>
      </c>
      <c r="H146" s="167" t="s">
        <v>59</v>
      </c>
      <c r="I146" s="1"/>
    </row>
    <row r="147" spans="2:20">
      <c r="B147" s="171" t="s">
        <v>157</v>
      </c>
      <c r="C147" s="168"/>
      <c r="D147" s="181">
        <f>D141+D146</f>
        <v>0</v>
      </c>
      <c r="E147" s="181">
        <f>E141+E146</f>
        <v>0</v>
      </c>
      <c r="F147" s="181">
        <f t="shared" ref="F147:G147" si="4">F141+F146</f>
        <v>0</v>
      </c>
      <c r="G147" s="181">
        <f t="shared" si="4"/>
        <v>0</v>
      </c>
      <c r="H147" s="167" t="s">
        <v>59</v>
      </c>
    </row>
    <row r="148" spans="2:20">
      <c r="B148" s="171"/>
      <c r="C148" s="168"/>
      <c r="D148" s="181"/>
      <c r="E148" s="181"/>
      <c r="F148" s="181"/>
      <c r="G148" s="181"/>
      <c r="H148" s="167"/>
    </row>
    <row r="149" spans="2:20">
      <c r="B149" s="445" t="s">
        <v>133</v>
      </c>
      <c r="C149" s="168">
        <v>1.0049999999999999</v>
      </c>
      <c r="D149" s="168"/>
      <c r="E149" s="168"/>
      <c r="F149" s="168"/>
      <c r="G149" s="168"/>
      <c r="H149" s="167" t="s">
        <v>134</v>
      </c>
    </row>
    <row r="150" spans="2:20">
      <c r="B150" s="445" t="s">
        <v>135</v>
      </c>
      <c r="C150" s="168">
        <v>1.86</v>
      </c>
      <c r="D150" s="168"/>
      <c r="E150" s="168"/>
      <c r="F150" s="168"/>
      <c r="G150" s="168"/>
      <c r="H150" s="167" t="s">
        <v>134</v>
      </c>
      <c r="K150" s="4"/>
      <c r="L150" s="4"/>
      <c r="N150" s="4"/>
      <c r="P150" s="4"/>
      <c r="Q150" s="4"/>
      <c r="R150" s="4"/>
      <c r="S150" s="4"/>
      <c r="T150" s="4"/>
    </row>
    <row r="151" spans="2:20">
      <c r="B151" s="167"/>
      <c r="C151" s="168"/>
      <c r="D151" s="168"/>
      <c r="E151" s="168"/>
      <c r="F151" s="168"/>
      <c r="G151" s="168"/>
      <c r="H151" s="167"/>
    </row>
    <row r="152" spans="2:20">
      <c r="B152" s="167" t="s">
        <v>136</v>
      </c>
      <c r="C152" s="168">
        <v>2501</v>
      </c>
      <c r="D152" s="168"/>
      <c r="E152" s="168"/>
      <c r="F152" s="168"/>
      <c r="G152" s="168"/>
      <c r="H152" s="167" t="s">
        <v>54</v>
      </c>
    </row>
    <row r="153" spans="2:20">
      <c r="B153" s="167"/>
      <c r="C153" s="168"/>
      <c r="D153" s="168"/>
      <c r="E153" s="168"/>
      <c r="F153" s="168"/>
      <c r="G153" s="168"/>
      <c r="H153" s="167"/>
    </row>
    <row r="154" spans="2:20">
      <c r="B154" s="167" t="s">
        <v>137</v>
      </c>
      <c r="C154" s="168"/>
      <c r="D154" s="191" t="e">
        <f>(D142-D141)/D141</f>
        <v>#DIV/0!</v>
      </c>
      <c r="E154" s="191" t="e">
        <f t="shared" ref="E154:G154" si="5">(E142-E141)/E141</f>
        <v>#DIV/0!</v>
      </c>
      <c r="F154" s="191" t="e">
        <f t="shared" si="5"/>
        <v>#DIV/0!</v>
      </c>
      <c r="G154" s="191" t="e">
        <f t="shared" si="5"/>
        <v>#DIV/0!</v>
      </c>
      <c r="H154" s="167" t="s">
        <v>138</v>
      </c>
    </row>
    <row r="155" spans="2:20">
      <c r="B155" s="167" t="s">
        <v>139</v>
      </c>
      <c r="C155" s="168"/>
      <c r="D155" s="191" t="e">
        <f>((D142-D141)*($C$145))/D141</f>
        <v>#DIV/0!</v>
      </c>
      <c r="E155" s="191" t="e">
        <f t="shared" ref="E155:G155" si="6">((E142-E141)*($C$145))/E141</f>
        <v>#DIV/0!</v>
      </c>
      <c r="F155" s="191" t="e">
        <f t="shared" si="6"/>
        <v>#DIV/0!</v>
      </c>
      <c r="G155" s="191" t="e">
        <f t="shared" si="6"/>
        <v>#DIV/0!</v>
      </c>
      <c r="H155" s="167" t="s">
        <v>138</v>
      </c>
      <c r="I155" s="1"/>
    </row>
    <row r="157" spans="2:20">
      <c r="B157" s="148" t="s">
        <v>140</v>
      </c>
    </row>
    <row r="158" spans="2:20">
      <c r="C158" s="2380" t="s">
        <v>115</v>
      </c>
      <c r="D158" s="2381"/>
      <c r="E158" s="2381"/>
      <c r="F158" s="2382"/>
      <c r="G158" s="2381" t="s">
        <v>127</v>
      </c>
      <c r="H158" s="2381"/>
      <c r="I158" s="2381"/>
      <c r="J158" s="2383"/>
    </row>
    <row r="159" spans="2:20" ht="60">
      <c r="B159" s="151" t="s">
        <v>141</v>
      </c>
      <c r="C159" s="9" t="s">
        <v>142</v>
      </c>
      <c r="D159" s="13" t="s">
        <v>143</v>
      </c>
      <c r="E159" s="13" t="s">
        <v>144</v>
      </c>
      <c r="F159" s="252" t="s">
        <v>145</v>
      </c>
      <c r="G159" s="274" t="s">
        <v>142</v>
      </c>
      <c r="H159" s="13" t="s">
        <v>143</v>
      </c>
      <c r="I159" s="13" t="s">
        <v>144</v>
      </c>
      <c r="J159" s="13" t="s">
        <v>145</v>
      </c>
    </row>
    <row r="160" spans="2:20">
      <c r="B160" s="14" t="s">
        <v>377</v>
      </c>
      <c r="C160" s="146"/>
      <c r="D160" s="15"/>
      <c r="E160" s="15"/>
      <c r="F160" s="292"/>
      <c r="G160" s="15"/>
      <c r="H160" s="15"/>
      <c r="I160" s="15"/>
      <c r="J160" s="16"/>
    </row>
    <row r="161" spans="2:11">
      <c r="B161" s="10" t="s">
        <v>146</v>
      </c>
      <c r="C161" s="11">
        <f>LOOKUP(C163,'Tables vapeur'!$D$6:$D$61)</f>
        <v>184.09</v>
      </c>
      <c r="D161" s="11">
        <f>VLOOKUP($C$161,'Tables vapeur'!$D$6:$G$61,2,FALSE)</f>
        <v>781.34</v>
      </c>
      <c r="E161" s="11">
        <f>VLOOKUP(C161,'Tables vapeur'!$D$6:$G$61,3,FALSE)</f>
        <v>2000.4</v>
      </c>
      <c r="F161" s="293">
        <f>D161+E161</f>
        <v>2781.7400000000002</v>
      </c>
      <c r="G161" s="11">
        <f>LOOKUP(G163,'Tables vapeur'!$D$6:$D$61)</f>
        <v>184.09</v>
      </c>
      <c r="H161" s="11">
        <f>VLOOKUP($G$161,'Tables vapeur'!$D$6:$G$61,2,FALSE)</f>
        <v>781.34</v>
      </c>
      <c r="I161" s="11">
        <f>VLOOKUP(G161,'Tables vapeur'!$D$6:$G$61,3,FALSE)</f>
        <v>2000.4</v>
      </c>
      <c r="J161" s="12">
        <f>H161+I161</f>
        <v>2781.7400000000002</v>
      </c>
    </row>
    <row r="162" spans="2:11">
      <c r="B162" s="10" t="s">
        <v>147</v>
      </c>
      <c r="C162" s="11">
        <f>IF(($C$146-C163)=0,C163,INDEX('Tables vapeur'!$D$6:$D$61,RANK(LOOKUP(C163,'Tables vapeur'!$D$6:$D$61),'Tables vapeur'!$D$6:$D$61,1)+1))</f>
        <v>187.99</v>
      </c>
      <c r="D162" s="11">
        <f>VLOOKUP($C$162,'Tables vapeur'!$D$6:$G$61,2,FALSE)</f>
        <v>798.65</v>
      </c>
      <c r="E162" s="11">
        <f>VLOOKUP(C162,'Tables vapeur'!$D$6:$G$61,3,FALSE)</f>
        <v>1986.2</v>
      </c>
      <c r="F162" s="293">
        <f>D162+E162</f>
        <v>2784.85</v>
      </c>
      <c r="G162" s="11">
        <f>IF(($C$146-G163)=0,G163,INDEX('Tables vapeur'!$D$6:$D$61,RANK(LOOKUP(G163,'Tables vapeur'!$D$6:$D$61),'Tables vapeur'!$D$6:$D$61,1)+1))</f>
        <v>187.99</v>
      </c>
      <c r="H162" s="11">
        <f>VLOOKUP($G$162,'Tables vapeur'!$D$6:$G$61,2,FALSE)</f>
        <v>798.65</v>
      </c>
      <c r="I162" s="11">
        <f>VLOOKUP(G162,'Tables vapeur'!$D$6:$G$61,3,FALSE)</f>
        <v>1986.2</v>
      </c>
      <c r="J162" s="12">
        <f>H162+I162</f>
        <v>2784.85</v>
      </c>
    </row>
    <row r="163" spans="2:11">
      <c r="B163" s="17" t="s">
        <v>148</v>
      </c>
      <c r="C163" s="1732">
        <f>IF(D13=1,'Combustion_Chaud1 (Micro)'!$AB$5,Hypothèses!D53)</f>
        <v>185</v>
      </c>
      <c r="D163" s="12">
        <f>IF(C161=C162,D161,FORECAST(C163,D161:D162,C161:C162))</f>
        <v>785.37899999999991</v>
      </c>
      <c r="E163" s="12">
        <f>IF(C161=C162,E161,FORECAST(C163,E161:E162,C161:C162))</f>
        <v>1997.0866666666668</v>
      </c>
      <c r="F163" s="301">
        <f>D163+E163</f>
        <v>2782.4656666666669</v>
      </c>
      <c r="G163" s="1733">
        <f>IF(E13=1,'Combustion_Chaud2 (Micro)'!$AB$5,Hypothèses!E53)</f>
        <v>185</v>
      </c>
      <c r="H163" s="12">
        <f>IF(G161=G162,H161,FORECAST(G163,H161:H162,G161:G162))</f>
        <v>785.37899999999991</v>
      </c>
      <c r="I163" s="12">
        <f>IF(G161=G162,I161,FORECAST(G163,I161:I162,G161:G162))</f>
        <v>1997.0866666666668</v>
      </c>
      <c r="J163" s="299">
        <f>H163+I163</f>
        <v>2782.4656666666669</v>
      </c>
      <c r="K163" s="1"/>
    </row>
    <row r="164" spans="2:11">
      <c r="B164" s="14" t="s">
        <v>378</v>
      </c>
      <c r="C164" s="146"/>
      <c r="D164" s="15"/>
      <c r="E164" s="15"/>
      <c r="F164" s="292"/>
      <c r="G164" s="15"/>
      <c r="H164" s="15"/>
      <c r="I164" s="15"/>
      <c r="J164" s="16"/>
    </row>
    <row r="165" spans="2:11">
      <c r="B165" s="10" t="s">
        <v>146</v>
      </c>
      <c r="C165" s="11" t="e">
        <f>LOOKUP('3c. Calculateur MEÉ 2-3-4'!$G$71,'Tables vapeur'!$D$6:$D$61)</f>
        <v>#N/A</v>
      </c>
      <c r="D165" s="11" t="e">
        <f>VLOOKUP($C$165,'Tables vapeur'!$D$6:$G$61,2,FALSE)</f>
        <v>#N/A</v>
      </c>
      <c r="E165" s="11" t="e">
        <f>VLOOKUP($C$165,'Tables vapeur'!$D$6:$G$61,3,FALSE)</f>
        <v>#N/A</v>
      </c>
      <c r="F165" s="293" t="e">
        <f>D165+E165</f>
        <v>#N/A</v>
      </c>
      <c r="G165" s="283" t="e">
        <f>LOOKUP('3c. Calculateur MEÉ 2-3-4'!$I$71,'Tables vapeur'!$D$6:$D$61)</f>
        <v>#N/A</v>
      </c>
      <c r="H165" s="11" t="e">
        <f>VLOOKUP($G$165,'Tables vapeur'!$D$6:$G$61,2,FALSE)</f>
        <v>#N/A</v>
      </c>
      <c r="I165" s="11" t="e">
        <f>VLOOKUP($G$165,'Tables vapeur'!$D$6:$G$61,3,FALSE)</f>
        <v>#N/A</v>
      </c>
      <c r="J165" s="12" t="e">
        <f>H165+I165</f>
        <v>#N/A</v>
      </c>
    </row>
    <row r="166" spans="2:11">
      <c r="B166" s="10" t="s">
        <v>147</v>
      </c>
      <c r="C166" s="11" t="e">
        <f>IF(($C$165-'3c. Calculateur MEÉ 2-3-4'!$G$71)=0,'3c. Calculateur MEÉ 2-3-4'!$G$71,INDEX('Tables vapeur'!$D$6:$D$61,RANK(LOOKUP('3c. Calculateur MEÉ 2-3-4'!$G$71,'Tables vapeur'!$D$6:$D$61),'Tables vapeur'!$D$6:$D$61,1)+1))</f>
        <v>#N/A</v>
      </c>
      <c r="D166" s="11" t="e">
        <f>VLOOKUP($C$166,'Tables vapeur'!$D$6:$G$61,2,FALSE)</f>
        <v>#N/A</v>
      </c>
      <c r="E166" s="11" t="e">
        <f>VLOOKUP($C$166,'Tables vapeur'!$D$6:$G$61,3,FALSE)</f>
        <v>#N/A</v>
      </c>
      <c r="F166" s="293" t="e">
        <f>D166+E166</f>
        <v>#N/A</v>
      </c>
      <c r="G166" s="283" t="e">
        <f>IF(($G$165-'3c. Calculateur MEÉ 2-3-4'!$I$71)=0,'3c. Calculateur MEÉ 2-3-4'!$I$71,INDEX('Tables vapeur'!$D$6:$D$61,RANK(LOOKUP('3c. Calculateur MEÉ 2-3-4'!$I71,'Tables vapeur'!$D$6:$D$61),'Tables vapeur'!$D$6:$D$61,1)+1))</f>
        <v>#N/A</v>
      </c>
      <c r="H166" s="11" t="e">
        <f>VLOOKUP($G$166,'Tables vapeur'!$D$6:$G$61,2,FALSE)</f>
        <v>#N/A</v>
      </c>
      <c r="I166" s="11" t="e">
        <f>VLOOKUP($G$166,'Tables vapeur'!$D$6:$G$61,3,FALSE)</f>
        <v>#N/A</v>
      </c>
      <c r="J166" s="12" t="e">
        <f>H166+I166</f>
        <v>#N/A</v>
      </c>
    </row>
    <row r="167" spans="2:11" ht="15.75" thickBot="1">
      <c r="B167" s="17" t="s">
        <v>148</v>
      </c>
      <c r="C167" s="302">
        <f>'3c. Calculateur MEÉ 2-3-4'!$G$71</f>
        <v>0</v>
      </c>
      <c r="D167" s="294" t="e">
        <f>IF(C165=C166,D165,FORECAST(C167,D165:D166,C165:C166))</f>
        <v>#N/A</v>
      </c>
      <c r="E167" s="294" t="e">
        <f>IF(C165=C166,E165,FORECAST(C167,E165:E166,C165:C166))</f>
        <v>#N/A</v>
      </c>
      <c r="F167" s="303" t="e">
        <f>D167+E167</f>
        <v>#N/A</v>
      </c>
      <c r="G167" s="304">
        <f>'3c. Calculateur MEÉ 2-3-4'!$I$71</f>
        <v>0</v>
      </c>
      <c r="H167" s="294" t="e">
        <f>IF(G165=G166,H165,FORECAST(G167,H165:H166,G165:G166))</f>
        <v>#N/A</v>
      </c>
      <c r="I167" s="294" t="e">
        <f>IF(G165=G166,I165,FORECAST(G167,I165:I166,G165:G166))</f>
        <v>#N/A</v>
      </c>
      <c r="J167" s="305" t="e">
        <f>H167+I167</f>
        <v>#N/A</v>
      </c>
    </row>
    <row r="168" spans="2:11" ht="15.75" thickTop="1">
      <c r="C168" s="2377" t="s">
        <v>128</v>
      </c>
      <c r="D168" s="2378"/>
      <c r="E168" s="2378"/>
      <c r="F168" s="2379"/>
      <c r="G168" s="2378" t="s">
        <v>129</v>
      </c>
      <c r="H168" s="2378"/>
      <c r="I168" s="2378"/>
      <c r="J168" s="2384"/>
    </row>
    <row r="169" spans="2:11" ht="60">
      <c r="B169" s="151" t="s">
        <v>141</v>
      </c>
      <c r="C169" s="9" t="s">
        <v>142</v>
      </c>
      <c r="D169" s="13" t="s">
        <v>143</v>
      </c>
      <c r="E169" s="13" t="s">
        <v>144</v>
      </c>
      <c r="F169" s="252" t="s">
        <v>145</v>
      </c>
      <c r="G169" s="274" t="s">
        <v>142</v>
      </c>
      <c r="H169" s="13" t="s">
        <v>143</v>
      </c>
      <c r="I169" s="13" t="s">
        <v>144</v>
      </c>
      <c r="J169" s="13" t="s">
        <v>145</v>
      </c>
    </row>
    <row r="170" spans="2:11">
      <c r="B170" s="14" t="s">
        <v>377</v>
      </c>
      <c r="C170" s="146"/>
      <c r="D170" s="15"/>
      <c r="E170" s="15"/>
      <c r="F170" s="292"/>
      <c r="G170" s="15"/>
      <c r="H170" s="15"/>
      <c r="I170" s="15"/>
      <c r="J170" s="16"/>
    </row>
    <row r="171" spans="2:11">
      <c r="B171" s="10" t="s">
        <v>146</v>
      </c>
      <c r="C171" s="11">
        <f>LOOKUP(C173,'Tables vapeur'!$D$6:$D$61)</f>
        <v>184.09</v>
      </c>
      <c r="D171" s="11">
        <f>VLOOKUP($C$171,'Tables vapeur'!$D$6:$G$61,2,FALSE)</f>
        <v>781.34</v>
      </c>
      <c r="E171" s="11">
        <f>VLOOKUP(C171,'Tables vapeur'!$D$6:$G$61,3,FALSE)</f>
        <v>2000.4</v>
      </c>
      <c r="F171" s="293">
        <f>D171+E171</f>
        <v>2781.7400000000002</v>
      </c>
      <c r="G171" s="11">
        <f>LOOKUP(G173,'Tables vapeur'!$D$6:$D$61)</f>
        <v>184.09</v>
      </c>
      <c r="H171" s="11">
        <f>VLOOKUP($G$171,'Tables vapeur'!$D$6:$G$61,2,FALSE)</f>
        <v>781.34</v>
      </c>
      <c r="I171" s="11">
        <f>VLOOKUP(G171,'Tables vapeur'!$D$6:$G$61,3,FALSE)</f>
        <v>2000.4</v>
      </c>
      <c r="J171" s="12">
        <f>H171+I171</f>
        <v>2781.7400000000002</v>
      </c>
    </row>
    <row r="172" spans="2:11">
      <c r="B172" s="10" t="s">
        <v>147</v>
      </c>
      <c r="C172" s="11">
        <f>IF(($C$146-C173)=0,C173,INDEX('Tables vapeur'!$D$6:$D$61,RANK(LOOKUP(C173,'Tables vapeur'!$D$6:$D$61),'Tables vapeur'!$D$6:$D$61,1)+1))</f>
        <v>187.99</v>
      </c>
      <c r="D172" s="11">
        <f>VLOOKUP($C$172,'Tables vapeur'!$D$6:$G$61,2,FALSE)</f>
        <v>798.65</v>
      </c>
      <c r="E172" s="11">
        <f>VLOOKUP(C172,'Tables vapeur'!$D$6:$G$61,3,FALSE)</f>
        <v>1986.2</v>
      </c>
      <c r="F172" s="293">
        <f>D172+E172</f>
        <v>2784.85</v>
      </c>
      <c r="G172" s="11">
        <f>IF(($C$146-G173)=0,G173,INDEX('Tables vapeur'!$D$6:$D$61,RANK(LOOKUP(G173,'Tables vapeur'!$D$6:$D$61),'Tables vapeur'!$D$6:$D$61,1)+1))</f>
        <v>187.99</v>
      </c>
      <c r="H172" s="11">
        <f>VLOOKUP($G$172,'Tables vapeur'!$D$6:$G$61,2,FALSE)</f>
        <v>798.65</v>
      </c>
      <c r="I172" s="11">
        <f>VLOOKUP(G172,'Tables vapeur'!$D$6:$G$61,3,FALSE)</f>
        <v>1986.2</v>
      </c>
      <c r="J172" s="12">
        <f>H172+I172</f>
        <v>2784.85</v>
      </c>
    </row>
    <row r="173" spans="2:11">
      <c r="B173" s="17" t="s">
        <v>148</v>
      </c>
      <c r="C173" s="1732">
        <f>IF(F13=1,'Combustion_Chaud3 (Micro)'!$AB$5,Hypothèses!F53)</f>
        <v>185</v>
      </c>
      <c r="D173" s="12">
        <f>IF(C171=C172,D171,FORECAST(C173,D171:D172,C171:C172))</f>
        <v>785.37899999999991</v>
      </c>
      <c r="E173" s="12">
        <f>IF(C171=C172,E171,FORECAST(C173,E171:E172,C171:C172))</f>
        <v>1997.0866666666668</v>
      </c>
      <c r="F173" s="301">
        <f>D173+E173</f>
        <v>2782.4656666666669</v>
      </c>
      <c r="G173" s="1733">
        <f>IF(G13=1,'Combustion_Chaud4 (Micro)'!$AB$5,Hypothèses!G53)</f>
        <v>185</v>
      </c>
      <c r="H173" s="12">
        <f>IF(G171=G172,H171,FORECAST(G173,H171:H172,G171:G172))</f>
        <v>785.37899999999991</v>
      </c>
      <c r="I173" s="12">
        <f>IF(G171=G172,I171,FORECAST(G173,I171:I172,G171:G172))</f>
        <v>1997.0866666666668</v>
      </c>
      <c r="J173" s="299">
        <f>H173+I173</f>
        <v>2782.4656666666669</v>
      </c>
    </row>
    <row r="174" spans="2:11">
      <c r="B174" s="14" t="s">
        <v>378</v>
      </c>
      <c r="C174" s="146"/>
      <c r="D174" s="15"/>
      <c r="E174" s="15"/>
      <c r="F174" s="292"/>
      <c r="G174" s="15"/>
      <c r="H174" s="15"/>
      <c r="I174" s="15"/>
      <c r="J174" s="16"/>
    </row>
    <row r="175" spans="2:11">
      <c r="B175" s="10" t="s">
        <v>146</v>
      </c>
      <c r="C175" s="11" t="e">
        <f>LOOKUP('3c. Calculateur MEÉ 2-3-4'!$K$71,'Tables vapeur'!$D$6:$D$61)</f>
        <v>#N/A</v>
      </c>
      <c r="D175" s="11" t="e">
        <f>VLOOKUP($C$175,'Tables vapeur'!$D$6:$G$61,2,FALSE)</f>
        <v>#N/A</v>
      </c>
      <c r="E175" s="11" t="e">
        <f>VLOOKUP($C$175,'Tables vapeur'!$D$6:$G$61,3,FALSE)</f>
        <v>#N/A</v>
      </c>
      <c r="F175" s="293" t="e">
        <f>D175+E175</f>
        <v>#N/A</v>
      </c>
      <c r="G175" s="283" t="e">
        <f>LOOKUP('3c. Calculateur MEÉ 2-3-4'!$M$71,'Tables vapeur'!$D$6:$D$61)</f>
        <v>#N/A</v>
      </c>
      <c r="H175" s="11" t="e">
        <f>VLOOKUP($G$175,'Tables vapeur'!$D$6:$G$61,2,FALSE)</f>
        <v>#N/A</v>
      </c>
      <c r="I175" s="11" t="e">
        <f>VLOOKUP($G$175,'Tables vapeur'!$D$6:$G$61,3,FALSE)</f>
        <v>#N/A</v>
      </c>
      <c r="J175" s="12" t="e">
        <f>H175+I175</f>
        <v>#N/A</v>
      </c>
    </row>
    <row r="176" spans="2:11">
      <c r="B176" s="10" t="s">
        <v>147</v>
      </c>
      <c r="C176" s="11" t="e">
        <f>IF(($C$175-'3c. Calculateur MEÉ 2-3-4'!$K$71)=0,'3c. Calculateur MEÉ 2-3-4'!$K$71,INDEX('Tables vapeur'!$D$6:$D$61,RANK(LOOKUP('3c. Calculateur MEÉ 2-3-4'!$K$71,'Tables vapeur'!$D$6:$D$61),'Tables vapeur'!$D$6:$D$61,1)+1))</f>
        <v>#N/A</v>
      </c>
      <c r="D176" s="11" t="e">
        <f>VLOOKUP($C$176,'Tables vapeur'!$D$6:$G$61,2,FALSE)</f>
        <v>#N/A</v>
      </c>
      <c r="E176" s="11" t="e">
        <f>VLOOKUP($C$176,'Tables vapeur'!$D$6:$G$61,3,FALSE)</f>
        <v>#N/A</v>
      </c>
      <c r="F176" s="293" t="e">
        <f>D176+E176</f>
        <v>#N/A</v>
      </c>
      <c r="G176" s="283" t="e">
        <f>IF(($G$175-'3c. Calculateur MEÉ 2-3-4'!$M$71)=0,'3c. Calculateur MEÉ 2-3-4'!$M$71,INDEX('Tables vapeur'!$D$6:$D$61,RANK(LOOKUP('3c. Calculateur MEÉ 2-3-4'!$M$71,'Tables vapeur'!$D$6:$D$61),'Tables vapeur'!$D$6:$D$61,1)+1))</f>
        <v>#N/A</v>
      </c>
      <c r="H176" s="11" t="e">
        <f>VLOOKUP($G$176,'Tables vapeur'!$D$6:$G$61,2,FALSE)</f>
        <v>#N/A</v>
      </c>
      <c r="I176" s="11" t="e">
        <f>VLOOKUP($G$176,'Tables vapeur'!$D$6:$G$61,3,FALSE)</f>
        <v>#N/A</v>
      </c>
      <c r="J176" s="12" t="e">
        <f>H176+I176</f>
        <v>#N/A</v>
      </c>
    </row>
    <row r="177" spans="2:26">
      <c r="B177" s="17" t="s">
        <v>148</v>
      </c>
      <c r="C177" s="298">
        <f>'3c. Calculateur MEÉ 2-3-4'!$K$71</f>
        <v>0</v>
      </c>
      <c r="D177" s="12" t="e">
        <f>IF(C175=C176,D175,FORECAST(C177,D175:D176,C175:C176))</f>
        <v>#N/A</v>
      </c>
      <c r="E177" s="12" t="e">
        <f>IF(C175=C176,E175,FORECAST(C177,E175:E176,C175:C176))</f>
        <v>#N/A</v>
      </c>
      <c r="F177" s="301" t="e">
        <f>D177+E177</f>
        <v>#N/A</v>
      </c>
      <c r="G177" s="300">
        <f>'3c. Calculateur MEÉ 2-3-4'!$M$71</f>
        <v>0</v>
      </c>
      <c r="H177" s="12" t="e">
        <f>IF(G175=G176,H175,FORECAST(G177,H175:H176,G175:G176))</f>
        <v>#N/A</v>
      </c>
      <c r="I177" s="12" t="e">
        <f>IF(G175=G176,I175,FORECAST(G177,I175:I176,G175:G176))</f>
        <v>#N/A</v>
      </c>
      <c r="J177" s="299" t="e">
        <f>H177+I177</f>
        <v>#N/A</v>
      </c>
    </row>
    <row r="179" spans="2:26">
      <c r="B179" s="5" t="s">
        <v>383</v>
      </c>
      <c r="C179" s="145"/>
      <c r="D179" s="6"/>
      <c r="E179" s="6"/>
      <c r="F179" s="6"/>
      <c r="G179" s="6"/>
      <c r="H179" s="6"/>
      <c r="I179" s="6"/>
      <c r="J179" s="6"/>
      <c r="K179" s="6"/>
      <c r="L179" s="6"/>
    </row>
    <row r="180" spans="2:26">
      <c r="I180" t="s">
        <v>398</v>
      </c>
    </row>
    <row r="181" spans="2:26">
      <c r="B181" s="188"/>
      <c r="C181" s="166" t="s">
        <v>46</v>
      </c>
      <c r="D181" s="166" t="s">
        <v>1</v>
      </c>
      <c r="E181" s="166" t="s">
        <v>2</v>
      </c>
      <c r="F181" s="166" t="s">
        <v>3</v>
      </c>
      <c r="G181" s="166" t="s">
        <v>4</v>
      </c>
      <c r="H181" s="165" t="s">
        <v>47</v>
      </c>
    </row>
    <row r="182" spans="2:26">
      <c r="B182" s="3"/>
      <c r="C182" s="161"/>
      <c r="D182" s="161"/>
      <c r="E182" s="161"/>
      <c r="F182" s="161"/>
      <c r="G182" s="161"/>
      <c r="H182" s="4"/>
    </row>
    <row r="183" spans="2:26">
      <c r="B183" s="165" t="s">
        <v>149</v>
      </c>
      <c r="C183" s="168"/>
      <c r="D183" s="167"/>
      <c r="E183" s="167"/>
      <c r="F183" s="167"/>
      <c r="G183" s="167"/>
      <c r="H183" s="167"/>
      <c r="Y183" s="7"/>
      <c r="Z183" s="7"/>
    </row>
    <row r="184" spans="2:26">
      <c r="B184" s="167" t="s">
        <v>150</v>
      </c>
      <c r="C184" s="168"/>
      <c r="D184" s="181">
        <f>$C$149*C163</f>
        <v>185.92499999999998</v>
      </c>
      <c r="E184" s="168">
        <f>$C$149*G163</f>
        <v>185.92499999999998</v>
      </c>
      <c r="F184" s="168">
        <f>$C$149*C173</f>
        <v>185.92499999999998</v>
      </c>
      <c r="G184" s="168">
        <f>$C$149*G173</f>
        <v>185.92499999999998</v>
      </c>
      <c r="H184" s="167" t="s">
        <v>54</v>
      </c>
      <c r="Y184" s="7"/>
      <c r="Z184" s="7"/>
    </row>
    <row r="185" spans="2:26">
      <c r="B185" s="167" t="s">
        <v>151</v>
      </c>
      <c r="C185" s="168"/>
      <c r="D185" s="181" t="e">
        <f>IF(C163&lt;99.63,D154*(C150*C163+C152),D154*$F$163)</f>
        <v>#DIV/0!</v>
      </c>
      <c r="E185" s="181" t="e">
        <f>IF(G163&lt;99.63,E154*($C$150*G163+$C$152),E154*$J$163)</f>
        <v>#DIV/0!</v>
      </c>
      <c r="F185" s="181" t="e">
        <f>IF(C173&lt;99.63,F154*($C$150*C173+$C$152),F154*$F$173)</f>
        <v>#DIV/0!</v>
      </c>
      <c r="G185" s="181" t="e">
        <f>IF(G173&lt;99.63,G154*($C$150*G173+$C$152),G154*$J$173)</f>
        <v>#DIV/0!</v>
      </c>
      <c r="H185" s="167" t="s">
        <v>54</v>
      </c>
      <c r="Y185" s="7"/>
      <c r="Z185" s="7"/>
    </row>
    <row r="186" spans="2:26">
      <c r="B186" s="167" t="s">
        <v>152</v>
      </c>
      <c r="C186" s="168"/>
      <c r="D186" s="181" t="e">
        <f>D184+D185</f>
        <v>#DIV/0!</v>
      </c>
      <c r="E186" s="181" t="e">
        <f t="shared" ref="E186:G186" si="7">E184+E185</f>
        <v>#DIV/0!</v>
      </c>
      <c r="F186" s="181" t="e">
        <f t="shared" si="7"/>
        <v>#DIV/0!</v>
      </c>
      <c r="G186" s="181" t="e">
        <f t="shared" si="7"/>
        <v>#DIV/0!</v>
      </c>
      <c r="H186" s="167" t="s">
        <v>54</v>
      </c>
      <c r="Y186" s="7"/>
      <c r="Z186" s="7"/>
    </row>
    <row r="187" spans="2:26">
      <c r="B187" s="167"/>
      <c r="C187" s="168"/>
      <c r="D187" s="167"/>
      <c r="E187" s="167"/>
      <c r="F187" s="167"/>
      <c r="G187" s="167"/>
      <c r="H187" s="167"/>
      <c r="U187" s="7"/>
      <c r="V187" s="7"/>
    </row>
    <row r="188" spans="2:26">
      <c r="B188" s="165" t="s">
        <v>158</v>
      </c>
      <c r="C188" s="168"/>
      <c r="D188" s="167"/>
      <c r="E188" s="167"/>
      <c r="F188" s="167"/>
      <c r="G188" s="167"/>
      <c r="H188" s="167"/>
      <c r="U188" s="7"/>
      <c r="V188" s="7"/>
    </row>
    <row r="189" spans="2:26">
      <c r="B189" s="167" t="s">
        <v>150</v>
      </c>
      <c r="C189" s="181">
        <f>C139*C149</f>
        <v>121.60499999999999</v>
      </c>
      <c r="D189" s="167"/>
      <c r="E189" s="167"/>
      <c r="F189" s="167"/>
      <c r="G189" s="167"/>
      <c r="H189" s="167" t="s">
        <v>54</v>
      </c>
      <c r="U189" s="7"/>
      <c r="V189" s="7"/>
    </row>
    <row r="190" spans="2:26">
      <c r="B190" s="167" t="s">
        <v>399</v>
      </c>
      <c r="C190" s="306">
        <f>_xlfn.FORECAST.LINEAR(121,'Tables vapeur'!G10:G11,'Tables vapeur'!D10:D11)</f>
        <v>2707.7070026525203</v>
      </c>
      <c r="D190" s="167"/>
      <c r="E190" s="167"/>
      <c r="F190" s="167"/>
      <c r="G190" s="167"/>
      <c r="H190" s="167" t="s">
        <v>54</v>
      </c>
      <c r="U190" s="7"/>
      <c r="V190" s="7"/>
    </row>
    <row r="191" spans="2:26">
      <c r="B191" s="167" t="s">
        <v>151</v>
      </c>
      <c r="C191" s="168"/>
      <c r="D191" s="181" t="e">
        <f>D154*$C$190</f>
        <v>#DIV/0!</v>
      </c>
      <c r="E191" s="181" t="e">
        <f t="shared" ref="E191:G191" si="8">E154*$C$190</f>
        <v>#DIV/0!</v>
      </c>
      <c r="F191" s="181" t="e">
        <f>F154*$C$190</f>
        <v>#DIV/0!</v>
      </c>
      <c r="G191" s="181" t="e">
        <f t="shared" si="8"/>
        <v>#DIV/0!</v>
      </c>
      <c r="H191" s="167" t="s">
        <v>54</v>
      </c>
      <c r="I191" s="1"/>
      <c r="U191" s="7"/>
      <c r="V191" s="7"/>
    </row>
    <row r="192" spans="2:26">
      <c r="B192" s="167" t="s">
        <v>152</v>
      </c>
      <c r="C192" s="168"/>
      <c r="D192" s="181" t="e">
        <f>$C$189+D191</f>
        <v>#DIV/0!</v>
      </c>
      <c r="E192" s="181" t="e">
        <f t="shared" ref="E192:G192" si="9">$C$189+E191</f>
        <v>#DIV/0!</v>
      </c>
      <c r="F192" s="181" t="e">
        <f>$C$189+F191</f>
        <v>#DIV/0!</v>
      </c>
      <c r="G192" s="181" t="e">
        <f t="shared" si="9"/>
        <v>#DIV/0!</v>
      </c>
      <c r="H192" s="167" t="s">
        <v>54</v>
      </c>
      <c r="U192" s="7"/>
      <c r="V192" s="7"/>
    </row>
    <row r="193" spans="2:26">
      <c r="B193" s="167"/>
      <c r="C193" s="181"/>
      <c r="D193" s="167"/>
      <c r="E193" s="167"/>
      <c r="F193" s="167"/>
      <c r="G193" s="167"/>
      <c r="H193" s="167"/>
      <c r="J193" s="7"/>
      <c r="K193" s="7"/>
      <c r="L193" s="7"/>
      <c r="M193" s="7"/>
      <c r="N193" s="7"/>
      <c r="O193" s="7"/>
      <c r="P193" s="7"/>
      <c r="Q193" s="7"/>
      <c r="R193" s="7"/>
      <c r="S193" s="7"/>
      <c r="T193" s="7"/>
      <c r="U193" s="7"/>
      <c r="V193" s="7"/>
    </row>
    <row r="194" spans="2:26">
      <c r="B194" s="165" t="s">
        <v>159</v>
      </c>
      <c r="C194" s="181"/>
      <c r="D194" s="167"/>
      <c r="E194" s="167"/>
      <c r="F194" s="167"/>
      <c r="G194" s="167"/>
      <c r="H194" s="167"/>
      <c r="J194" s="7"/>
      <c r="K194" s="7"/>
    </row>
    <row r="195" spans="2:26">
      <c r="B195" s="167" t="s">
        <v>150</v>
      </c>
      <c r="C195" s="181">
        <f>C139*C149</f>
        <v>121.60499999999999</v>
      </c>
      <c r="D195" s="167"/>
      <c r="E195" s="167"/>
      <c r="F195" s="167"/>
      <c r="G195" s="167"/>
      <c r="H195" s="167" t="s">
        <v>54</v>
      </c>
    </row>
    <row r="196" spans="2:26">
      <c r="B196" s="167" t="s">
        <v>399</v>
      </c>
      <c r="C196" s="306">
        <f>_xlfn.FORECAST.LINEAR(121,'Tables vapeur'!G10:G11,'Tables vapeur'!D10:D11)</f>
        <v>2707.7070026525203</v>
      </c>
      <c r="D196" s="167"/>
      <c r="E196" s="167"/>
      <c r="F196" s="167"/>
      <c r="G196" s="167"/>
      <c r="H196" s="167" t="s">
        <v>54</v>
      </c>
      <c r="U196" s="7"/>
      <c r="V196" s="7"/>
    </row>
    <row r="197" spans="2:26">
      <c r="B197" s="167" t="s">
        <v>151</v>
      </c>
      <c r="D197" s="181" t="e">
        <f>D155*$C$196</f>
        <v>#DIV/0!</v>
      </c>
      <c r="E197" s="181" t="e">
        <f t="shared" ref="E197:G197" si="10">E155*$C$196</f>
        <v>#DIV/0!</v>
      </c>
      <c r="F197" s="181" t="e">
        <f t="shared" si="10"/>
        <v>#DIV/0!</v>
      </c>
      <c r="G197" s="181" t="e">
        <f t="shared" si="10"/>
        <v>#DIV/0!</v>
      </c>
      <c r="H197" s="167" t="s">
        <v>54</v>
      </c>
      <c r="I197" s="1"/>
    </row>
    <row r="198" spans="2:26">
      <c r="B198" s="167" t="s">
        <v>152</v>
      </c>
      <c r="C198" s="168"/>
      <c r="D198" s="181" t="e">
        <f>$C$195+D197</f>
        <v>#DIV/0!</v>
      </c>
      <c r="E198" s="181" t="e">
        <f t="shared" ref="E198:G198" si="11">$C$195+E197</f>
        <v>#DIV/0!</v>
      </c>
      <c r="F198" s="181" t="e">
        <f t="shared" si="11"/>
        <v>#DIV/0!</v>
      </c>
      <c r="G198" s="181" t="e">
        <f t="shared" si="11"/>
        <v>#DIV/0!</v>
      </c>
      <c r="H198" s="167" t="s">
        <v>54</v>
      </c>
    </row>
    <row r="199" spans="2:26">
      <c r="B199" s="167"/>
      <c r="C199" s="168"/>
      <c r="D199" s="167"/>
      <c r="E199" s="167"/>
      <c r="F199" s="167"/>
      <c r="G199" s="167"/>
      <c r="H199" s="167"/>
    </row>
    <row r="200" spans="2:26">
      <c r="B200" s="165" t="s">
        <v>160</v>
      </c>
      <c r="C200" s="166"/>
      <c r="D200" s="167"/>
      <c r="E200" s="167"/>
      <c r="F200" s="167"/>
      <c r="G200" s="167"/>
      <c r="H200" s="167"/>
    </row>
    <row r="201" spans="2:26">
      <c r="B201" s="167" t="s">
        <v>150</v>
      </c>
      <c r="C201" s="168"/>
      <c r="D201" s="181">
        <f>$C$149*'3c. Calculateur MEÉ 2-3-4'!G71</f>
        <v>0</v>
      </c>
      <c r="E201" s="181">
        <f>$C$149*'3c. Calculateur MEÉ 2-3-4'!I71</f>
        <v>0</v>
      </c>
      <c r="F201" s="181">
        <f>$C$149*'3c. Calculateur MEÉ 2-3-4'!K71</f>
        <v>0</v>
      </c>
      <c r="G201" s="181">
        <f>$C$149*'3c. Calculateur MEÉ 2-3-4'!M71</f>
        <v>0</v>
      </c>
      <c r="H201" s="167" t="s">
        <v>54</v>
      </c>
      <c r="Y201" s="7"/>
      <c r="Z201" s="7"/>
    </row>
    <row r="202" spans="2:26">
      <c r="B202" s="167" t="s">
        <v>151</v>
      </c>
      <c r="C202" s="168"/>
      <c r="D202" s="181" t="e">
        <f>IF('3c. Calculateur MEÉ 2-3-4'!G71&lt;99.63,D155*(C150*'3c. Calculateur MEÉ 2-3-4'!G71+C152),D155*$F$167)</f>
        <v>#DIV/0!</v>
      </c>
      <c r="E202" s="181" t="e">
        <f>IF('3c. Calculateur MEÉ 2-3-4'!I71&lt;99.63,E155*(C150*'3c. Calculateur MEÉ 2-3-4'!I71+C152),E155*$J$167)</f>
        <v>#DIV/0!</v>
      </c>
      <c r="F202" s="181" t="e">
        <f>IF('3c. Calculateur MEÉ 2-3-4'!K71&lt;99.63,F155*(C150*'3c. Calculateur MEÉ 2-3-4'!K71+C152),F155*$F$177)</f>
        <v>#DIV/0!</v>
      </c>
      <c r="G202" s="181" t="e">
        <f>IF('3c. Calculateur MEÉ 2-3-4'!M71&lt;99.63,G155*(C150*'3c. Calculateur MEÉ 2-3-4'!M71+C152),G155*$J$177)</f>
        <v>#DIV/0!</v>
      </c>
      <c r="H202" s="167" t="s">
        <v>54</v>
      </c>
      <c r="Y202" s="7"/>
      <c r="Z202" s="7"/>
    </row>
    <row r="203" spans="2:26">
      <c r="B203" s="167" t="s">
        <v>152</v>
      </c>
      <c r="C203" s="168"/>
      <c r="D203" s="181" t="e">
        <f>D201+D202</f>
        <v>#DIV/0!</v>
      </c>
      <c r="E203" s="181" t="e">
        <f t="shared" ref="E203:G203" si="12">E201+E202</f>
        <v>#DIV/0!</v>
      </c>
      <c r="F203" s="181" t="e">
        <f t="shared" si="12"/>
        <v>#DIV/0!</v>
      </c>
      <c r="G203" s="181" t="e">
        <f t="shared" si="12"/>
        <v>#DIV/0!</v>
      </c>
      <c r="H203" s="167" t="s">
        <v>54</v>
      </c>
      <c r="Y203" s="7"/>
      <c r="Z203" s="7"/>
    </row>
    <row r="204" spans="2:26">
      <c r="B204" s="167"/>
      <c r="C204" s="168"/>
      <c r="D204" s="181"/>
      <c r="E204" s="181"/>
      <c r="F204" s="181"/>
      <c r="G204" s="181"/>
      <c r="H204" s="167"/>
      <c r="Y204" s="7"/>
      <c r="Z204" s="7"/>
    </row>
    <row r="205" spans="2:26">
      <c r="B205" s="165" t="s">
        <v>161</v>
      </c>
      <c r="C205" s="194">
        <v>2199.7350000000001</v>
      </c>
      <c r="D205" s="167"/>
      <c r="E205" s="167"/>
      <c r="F205" s="167"/>
      <c r="G205" s="167"/>
      <c r="H205" s="167" t="s">
        <v>54</v>
      </c>
    </row>
    <row r="206" spans="2:26">
      <c r="Y206" s="7"/>
      <c r="Z206" s="7"/>
    </row>
    <row r="207" spans="2:26">
      <c r="B207" s="2377" t="s">
        <v>115</v>
      </c>
      <c r="C207" s="2378"/>
      <c r="D207" s="2378"/>
      <c r="E207" s="2378"/>
      <c r="F207" s="2378"/>
      <c r="G207" s="2378"/>
      <c r="Y207" s="7"/>
      <c r="Z207" s="7"/>
    </row>
    <row r="208" spans="2:26">
      <c r="B208" s="2391" t="s">
        <v>1304</v>
      </c>
      <c r="C208" s="2391"/>
      <c r="D208" s="2391"/>
      <c r="E208" s="2392" t="e">
        <f>D142/3600*(D186-D192)</f>
        <v>#DIV/0!</v>
      </c>
      <c r="F208" s="2392"/>
      <c r="G208" s="153" t="s">
        <v>5</v>
      </c>
    </row>
    <row r="209" spans="2:26">
      <c r="B209" s="2391" t="s">
        <v>162</v>
      </c>
      <c r="C209" s="2391"/>
      <c r="D209" s="2391"/>
      <c r="E209" s="2392">
        <f>(1-Hypothèses!$D$188)*D143*C205/3600</f>
        <v>0</v>
      </c>
      <c r="F209" s="2392"/>
      <c r="G209" s="153" t="s">
        <v>5</v>
      </c>
      <c r="H209" s="1"/>
    </row>
    <row r="210" spans="2:26">
      <c r="B210" s="2391" t="s">
        <v>163</v>
      </c>
      <c r="C210" s="2391"/>
      <c r="D210" s="2391"/>
      <c r="E210" s="2392" t="e">
        <f>D147/3600*(D198-D203)</f>
        <v>#DIV/0!</v>
      </c>
      <c r="F210" s="2392"/>
      <c r="G210" s="153" t="s">
        <v>5</v>
      </c>
    </row>
    <row r="211" spans="2:26">
      <c r="B211" s="2391" t="s">
        <v>428</v>
      </c>
      <c r="C211" s="2391"/>
      <c r="D211" s="2391"/>
      <c r="E211" s="2393" t="str">
        <f>IFERROR(IF(D9=2,E209+E210,E208+E209+E210),"Erreur")</f>
        <v>Erreur</v>
      </c>
      <c r="F211" s="2393"/>
      <c r="G211" s="153" t="s">
        <v>5</v>
      </c>
      <c r="Y211" s="7"/>
      <c r="Z211" s="7"/>
    </row>
    <row r="212" spans="2:26">
      <c r="H212" s="160"/>
      <c r="Y212" s="7"/>
      <c r="Z212" s="7"/>
    </row>
    <row r="213" spans="2:26">
      <c r="B213" s="2377" t="s">
        <v>127</v>
      </c>
      <c r="C213" s="2378"/>
      <c r="D213" s="2378"/>
      <c r="E213" s="2378"/>
      <c r="F213" s="2378"/>
      <c r="G213" s="2378"/>
      <c r="Y213" s="7"/>
      <c r="Z213" s="7"/>
    </row>
    <row r="214" spans="2:26">
      <c r="B214" s="2391" t="s">
        <v>1304</v>
      </c>
      <c r="C214" s="2391"/>
      <c r="D214" s="2391"/>
      <c r="E214" s="2392" t="e">
        <f>E142/3600*(E186-E192)</f>
        <v>#DIV/0!</v>
      </c>
      <c r="F214" s="2392"/>
      <c r="G214" s="153" t="s">
        <v>5</v>
      </c>
    </row>
    <row r="215" spans="2:26">
      <c r="B215" s="2391" t="s">
        <v>162</v>
      </c>
      <c r="C215" s="2391"/>
      <c r="D215" s="2391"/>
      <c r="E215" s="2394">
        <f>(1-Hypothèses!$D$188)*E143*C205/3600</f>
        <v>0</v>
      </c>
      <c r="F215" s="2395"/>
      <c r="G215" s="153" t="s">
        <v>5</v>
      </c>
    </row>
    <row r="216" spans="2:26">
      <c r="B216" s="2391" t="s">
        <v>163</v>
      </c>
      <c r="C216" s="2391"/>
      <c r="D216" s="2391"/>
      <c r="E216" s="2392" t="e">
        <f>E147/3600*(E198-E203)</f>
        <v>#DIV/0!</v>
      </c>
      <c r="F216" s="2392"/>
      <c r="G216" s="153" t="s">
        <v>5</v>
      </c>
    </row>
    <row r="217" spans="2:26">
      <c r="B217" s="2391" t="s">
        <v>428</v>
      </c>
      <c r="C217" s="2391"/>
      <c r="D217" s="2391"/>
      <c r="E217" s="2393" t="str">
        <f>IFERROR(IF(E9=2,E215+E216,E214+E215+E216),"Erreur")</f>
        <v>Erreur</v>
      </c>
      <c r="F217" s="2393"/>
      <c r="G217" s="153" t="s">
        <v>5</v>
      </c>
      <c r="H217" s="160"/>
      <c r="Y217" s="7"/>
      <c r="Z217" s="7"/>
    </row>
    <row r="218" spans="2:26">
      <c r="Y218" s="7"/>
      <c r="Z218" s="7"/>
    </row>
    <row r="219" spans="2:26">
      <c r="B219" s="2377" t="s">
        <v>128</v>
      </c>
      <c r="C219" s="2378"/>
      <c r="D219" s="2378"/>
      <c r="E219" s="2378"/>
      <c r="F219" s="2378"/>
      <c r="G219" s="2378"/>
      <c r="Y219" s="7"/>
      <c r="Z219" s="7"/>
    </row>
    <row r="220" spans="2:26">
      <c r="B220" s="2391" t="s">
        <v>1304</v>
      </c>
      <c r="C220" s="2391"/>
      <c r="D220" s="2391"/>
      <c r="E220" s="2392" t="e">
        <f>F142/3600*(F186-F192)</f>
        <v>#DIV/0!</v>
      </c>
      <c r="F220" s="2392"/>
      <c r="G220" s="153" t="s">
        <v>5</v>
      </c>
    </row>
    <row r="221" spans="2:26">
      <c r="B221" s="2391" t="s">
        <v>162</v>
      </c>
      <c r="C221" s="2391"/>
      <c r="D221" s="2391"/>
      <c r="E221" s="2394">
        <f>(1-Hypothèses!$D$188)*F143*C205/3600</f>
        <v>0</v>
      </c>
      <c r="F221" s="2395"/>
      <c r="G221" s="153" t="s">
        <v>5</v>
      </c>
    </row>
    <row r="222" spans="2:26">
      <c r="B222" s="2391" t="s">
        <v>163</v>
      </c>
      <c r="C222" s="2391"/>
      <c r="D222" s="2391"/>
      <c r="E222" s="2392" t="e">
        <f>F147/3600*(F198-F203)</f>
        <v>#DIV/0!</v>
      </c>
      <c r="F222" s="2392"/>
      <c r="G222" s="153" t="s">
        <v>5</v>
      </c>
    </row>
    <row r="223" spans="2:26">
      <c r="B223" s="2391" t="s">
        <v>428</v>
      </c>
      <c r="C223" s="2391"/>
      <c r="D223" s="2391"/>
      <c r="E223" s="2393" t="str">
        <f>IFERROR(IF(F9=2,E221+E222,E220+E221+E222),"Erreur")</f>
        <v>Erreur</v>
      </c>
      <c r="F223" s="2393"/>
      <c r="G223" s="153" t="s">
        <v>5</v>
      </c>
      <c r="H223" s="160"/>
      <c r="Y223" s="7"/>
      <c r="Z223" s="7"/>
    </row>
    <row r="224" spans="2:26">
      <c r="Y224" s="7"/>
      <c r="Z224" s="7"/>
    </row>
    <row r="225" spans="2:26">
      <c r="B225" s="2377" t="s">
        <v>129</v>
      </c>
      <c r="C225" s="2378"/>
      <c r="D225" s="2378"/>
      <c r="E225" s="2378"/>
      <c r="F225" s="2378"/>
      <c r="G225" s="2378"/>
      <c r="Y225" s="7"/>
      <c r="Z225" s="7"/>
    </row>
    <row r="226" spans="2:26">
      <c r="B226" s="2391" t="s">
        <v>1304</v>
      </c>
      <c r="C226" s="2391"/>
      <c r="D226" s="2391"/>
      <c r="E226" s="2392" t="e">
        <f>G142/3600*(G186-G192)</f>
        <v>#DIV/0!</v>
      </c>
      <c r="F226" s="2392"/>
      <c r="G226" s="153" t="s">
        <v>5</v>
      </c>
    </row>
    <row r="227" spans="2:26">
      <c r="B227" s="2391" t="s">
        <v>162</v>
      </c>
      <c r="C227" s="2391"/>
      <c r="D227" s="2391"/>
      <c r="E227" s="2394">
        <f>(1-Hypothèses!$D$188)*G143*C205/3600</f>
        <v>0</v>
      </c>
      <c r="F227" s="2395"/>
      <c r="G227" s="153" t="s">
        <v>5</v>
      </c>
    </row>
    <row r="228" spans="2:26">
      <c r="B228" s="2391" t="s">
        <v>163</v>
      </c>
      <c r="C228" s="2391"/>
      <c r="D228" s="2391"/>
      <c r="E228" s="2392" t="e">
        <f>G147/3600*(G198-G203)</f>
        <v>#DIV/0!</v>
      </c>
      <c r="F228" s="2392"/>
      <c r="G228" s="153" t="s">
        <v>5</v>
      </c>
    </row>
    <row r="229" spans="2:26">
      <c r="B229" s="2391" t="s">
        <v>428</v>
      </c>
      <c r="C229" s="2391"/>
      <c r="D229" s="2391"/>
      <c r="E229" s="2393" t="str">
        <f>IFERROR(IF(G9=2,E227+E228,E226+E227+E228),"Erreur")</f>
        <v>Erreur</v>
      </c>
      <c r="F229" s="2393"/>
      <c r="G229" s="153" t="s">
        <v>5</v>
      </c>
      <c r="H229" s="160"/>
      <c r="Y229" s="7"/>
      <c r="Z229" s="7"/>
    </row>
  </sheetData>
  <mergeCells count="49">
    <mergeCell ref="B219:G219"/>
    <mergeCell ref="B223:D223"/>
    <mergeCell ref="B208:D208"/>
    <mergeCell ref="E208:F208"/>
    <mergeCell ref="B209:D209"/>
    <mergeCell ref="E209:F209"/>
    <mergeCell ref="B210:D210"/>
    <mergeCell ref="E210:F210"/>
    <mergeCell ref="B222:D222"/>
    <mergeCell ref="E216:F216"/>
    <mergeCell ref="B220:D220"/>
    <mergeCell ref="E220:F220"/>
    <mergeCell ref="B221:D221"/>
    <mergeCell ref="E221:F221"/>
    <mergeCell ref="E222:F222"/>
    <mergeCell ref="B213:G213"/>
    <mergeCell ref="B225:G225"/>
    <mergeCell ref="B229:D229"/>
    <mergeCell ref="E229:F229"/>
    <mergeCell ref="E223:F223"/>
    <mergeCell ref="B226:D226"/>
    <mergeCell ref="E226:F226"/>
    <mergeCell ref="B227:D227"/>
    <mergeCell ref="E227:F227"/>
    <mergeCell ref="B228:D228"/>
    <mergeCell ref="E228:F228"/>
    <mergeCell ref="B217:D217"/>
    <mergeCell ref="E217:F217"/>
    <mergeCell ref="B215:D215"/>
    <mergeCell ref="E215:F215"/>
    <mergeCell ref="B216:D216"/>
    <mergeCell ref="B214:D214"/>
    <mergeCell ref="E214:F214"/>
    <mergeCell ref="B207:G207"/>
    <mergeCell ref="B211:D211"/>
    <mergeCell ref="E211:F211"/>
    <mergeCell ref="C168:F168"/>
    <mergeCell ref="C158:F158"/>
    <mergeCell ref="G158:J158"/>
    <mergeCell ref="G168:J168"/>
    <mergeCell ref="B1:H1"/>
    <mergeCell ref="C118:F118"/>
    <mergeCell ref="G118:J118"/>
    <mergeCell ref="C126:F126"/>
    <mergeCell ref="G126:J126"/>
    <mergeCell ref="C93:E93"/>
    <mergeCell ref="F93:H93"/>
    <mergeCell ref="C88:E88"/>
    <mergeCell ref="F88:H88"/>
  </mergeCells>
  <pageMargins left="0.7" right="0.7" top="0.75" bottom="0.75" header="0.3" footer="0.3"/>
  <pageSetup orientation="portrait" horizontalDpi="4294967293"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66DF-AE0C-4FF7-8179-13B24B014B60}">
  <sheetPr codeName="Feuil71">
    <tabColor theme="5" tint="0.79998168889431442"/>
  </sheetPr>
  <dimension ref="B1:Z201"/>
  <sheetViews>
    <sheetView workbookViewId="0">
      <selection activeCell="C52" sqref="C52:H53"/>
    </sheetView>
  </sheetViews>
  <sheetFormatPr baseColWidth="10" defaultColWidth="11.42578125" defaultRowHeight="15"/>
  <cols>
    <col min="1" max="1" width="12" customWidth="1"/>
    <col min="2" max="2" width="85.85546875" customWidth="1"/>
    <col min="3" max="3" width="22.5703125" style="142" customWidth="1"/>
    <col min="4" max="6" width="14" customWidth="1"/>
    <col min="7" max="7" width="16.42578125" customWidth="1"/>
    <col min="8" max="8" width="21.42578125" customWidth="1"/>
    <col min="9" max="9" width="20.5703125" customWidth="1"/>
    <col min="10" max="10" width="16.5703125" customWidth="1"/>
    <col min="11" max="11" width="15.85546875" bestFit="1" customWidth="1"/>
    <col min="12" max="12" width="21.85546875" bestFit="1" customWidth="1"/>
    <col min="13" max="14" width="11.42578125" customWidth="1"/>
    <col min="17" max="17" width="11.42578125" customWidth="1"/>
  </cols>
  <sheetData>
    <row r="1" spans="2:14">
      <c r="B1" s="2307" t="s">
        <v>400</v>
      </c>
      <c r="C1" s="2307"/>
      <c r="D1" s="2307"/>
      <c r="E1" s="2307"/>
      <c r="F1" s="2307"/>
      <c r="G1" s="2307"/>
      <c r="H1" s="2307"/>
    </row>
    <row r="2" spans="2:14">
      <c r="B2" s="5" t="s">
        <v>937</v>
      </c>
      <c r="C2" s="145"/>
      <c r="D2" s="6"/>
      <c r="E2" s="6"/>
      <c r="F2" s="6"/>
      <c r="G2" s="6"/>
      <c r="H2" s="6"/>
    </row>
    <row r="3" spans="2:14" ht="15" customHeight="1">
      <c r="B3" s="165"/>
      <c r="C3" s="166" t="s">
        <v>46</v>
      </c>
      <c r="D3" s="166" t="s">
        <v>1</v>
      </c>
      <c r="E3" s="166" t="s">
        <v>2</v>
      </c>
      <c r="F3" s="166" t="s">
        <v>3</v>
      </c>
      <c r="G3" s="166" t="s">
        <v>4</v>
      </c>
      <c r="H3" s="165" t="s">
        <v>47</v>
      </c>
      <c r="I3" s="142"/>
    </row>
    <row r="4" spans="2:14" ht="15" customHeight="1">
      <c r="B4" s="165" t="s">
        <v>370</v>
      </c>
      <c r="C4" s="165"/>
      <c r="D4" s="166"/>
      <c r="E4" s="166"/>
      <c r="F4" s="166"/>
      <c r="G4" s="166"/>
      <c r="H4" s="165"/>
      <c r="J4" s="148" t="s">
        <v>510</v>
      </c>
      <c r="K4" s="148"/>
      <c r="L4" s="148"/>
      <c r="M4" s="148"/>
    </row>
    <row r="5" spans="2:14" ht="15" customHeight="1">
      <c r="B5" s="167" t="s">
        <v>414</v>
      </c>
      <c r="C5" s="165"/>
      <c r="D5" s="446" t="str">
        <f>'3c. Calculateur MEÉ 2-3-4'!G68</f>
        <v>&lt; sélectionner &gt;</v>
      </c>
      <c r="E5" s="446" t="str">
        <f>'3c. Calculateur MEÉ 2-3-4'!I68</f>
        <v>&lt; sélectionner &gt;</v>
      </c>
      <c r="F5" s="446" t="str">
        <f>'3c. Calculateur MEÉ 2-3-4'!K68</f>
        <v>&lt; sélectionner &gt;</v>
      </c>
      <c r="G5" s="446" t="str">
        <f>'3c. Calculateur MEÉ 2-3-4'!M68</f>
        <v>&lt; sélectionner &gt;</v>
      </c>
      <c r="H5" s="165"/>
      <c r="J5" s="443" t="s">
        <v>15</v>
      </c>
      <c r="K5" s="443">
        <v>0</v>
      </c>
      <c r="L5" s="443" t="s">
        <v>15</v>
      </c>
      <c r="M5" s="443">
        <v>0</v>
      </c>
    </row>
    <row r="6" spans="2:14" ht="15" customHeight="1">
      <c r="B6" s="308" t="s">
        <v>415</v>
      </c>
      <c r="C6" s="168"/>
      <c r="D6" s="307">
        <f>LOOKUP(D5,$L$5:$L$11,$M$5:$M$11)</f>
        <v>0</v>
      </c>
      <c r="E6" s="307">
        <f>LOOKUP(E5,$L$5:$L$11,$M$5:$M$11)</f>
        <v>0</v>
      </c>
      <c r="F6" s="307">
        <f>LOOKUP(F5,$L$5:$L$11,$M$5:$M$11)</f>
        <v>0</v>
      </c>
      <c r="G6" s="307">
        <f>LOOKUP(G5,$L$5:$L$11,$M$5:$M$11)</f>
        <v>0</v>
      </c>
      <c r="H6" s="167"/>
      <c r="J6" s="443" t="s">
        <v>516</v>
      </c>
      <c r="K6" s="443">
        <v>1</v>
      </c>
      <c r="L6" s="443" t="s">
        <v>512</v>
      </c>
      <c r="M6" s="443">
        <v>1</v>
      </c>
    </row>
    <row r="7" spans="2:14" ht="15" customHeight="1">
      <c r="B7" s="308" t="s">
        <v>403</v>
      </c>
      <c r="C7" s="168"/>
      <c r="D7" s="307">
        <f>LOOKUP(D5,$J$5:$J$11,$K$5:$K$11)</f>
        <v>0</v>
      </c>
      <c r="E7" s="307">
        <f>LOOKUP(E5,$J$5:$J$11,$K$5:$K$11)</f>
        <v>0</v>
      </c>
      <c r="F7" s="307">
        <f>LOOKUP(F5,$J$5:$J$11,$K$5:$K$11)</f>
        <v>0</v>
      </c>
      <c r="G7" s="307">
        <f>LOOKUP(G5,$J$5:$J$11,$K$5:$K$11)</f>
        <v>0</v>
      </c>
      <c r="H7" s="167"/>
      <c r="J7" s="443" t="s">
        <v>517</v>
      </c>
      <c r="K7" s="443">
        <v>2</v>
      </c>
      <c r="L7" s="443" t="s">
        <v>513</v>
      </c>
      <c r="M7" s="443">
        <v>2</v>
      </c>
    </row>
    <row r="8" spans="2:14" ht="15" customHeight="1">
      <c r="B8" s="867" t="s">
        <v>1301</v>
      </c>
      <c r="C8" s="868"/>
      <c r="D8" s="869" t="str">
        <f>'3c. Calculateur MEÉ 2-3-4'!$G$75</f>
        <v>&lt; sélectionner &gt;</v>
      </c>
      <c r="E8" s="869" t="str">
        <f>'3c. Calculateur MEÉ 2-3-4'!$I$75</f>
        <v>&lt; sélectionner &gt;</v>
      </c>
      <c r="F8" s="869" t="str">
        <f>'3c. Calculateur MEÉ 2-3-4'!$K$75</f>
        <v>&lt; sélectionner &gt;</v>
      </c>
      <c r="G8" s="869" t="str">
        <f>'3c. Calculateur MEÉ 2-3-4'!$M$75</f>
        <v>&lt; sélectionner &gt;</v>
      </c>
      <c r="H8" s="167"/>
      <c r="J8" s="443" t="s">
        <v>518</v>
      </c>
      <c r="K8" s="443">
        <v>3</v>
      </c>
      <c r="L8" s="443" t="s">
        <v>514</v>
      </c>
      <c r="M8" s="443">
        <v>3</v>
      </c>
    </row>
    <row r="9" spans="2:14" ht="28.5" customHeight="1">
      <c r="B9" s="169" t="s">
        <v>1302</v>
      </c>
      <c r="C9" s="168"/>
      <c r="D9" s="446" t="str">
        <f>'3c. Calculateur MEÉ 2-3-4'!G87</f>
        <v>&lt; sélectionner &gt;</v>
      </c>
      <c r="E9" s="446" t="str">
        <f>'3c. Calculateur MEÉ 2-3-4'!I87</f>
        <v>&lt; sélectionner &gt;</v>
      </c>
      <c r="F9" s="446" t="str">
        <f>'3c. Calculateur MEÉ 2-3-4'!K87</f>
        <v>&lt; sélectionner &gt;</v>
      </c>
      <c r="G9" s="446" t="str">
        <f>'3c. Calculateur MEÉ 2-3-4'!M87</f>
        <v>&lt; sélectionner &gt;</v>
      </c>
      <c r="H9" s="167"/>
      <c r="J9" s="443" t="s">
        <v>519</v>
      </c>
      <c r="K9" s="443">
        <v>4</v>
      </c>
      <c r="L9" s="443" t="s">
        <v>515</v>
      </c>
      <c r="M9" s="443">
        <v>4</v>
      </c>
    </row>
    <row r="10" spans="2:14" ht="15" customHeight="1">
      <c r="B10" s="308" t="s">
        <v>415</v>
      </c>
      <c r="C10" s="168"/>
      <c r="D10" s="307">
        <f>LOOKUP(D9,$L$5:$L$11,$M$5:$M$11)</f>
        <v>0</v>
      </c>
      <c r="E10" s="307">
        <f>LOOKUP(E9,$L$5:$L$11,$M$5:$M$11)</f>
        <v>0</v>
      </c>
      <c r="F10" s="307">
        <f>LOOKUP(F9,$L$5:$L$11,$M$5:$M$11)</f>
        <v>0</v>
      </c>
      <c r="G10" s="307">
        <f>LOOKUP(G9,$L$5:$L$11,$M$5:$M$11)</f>
        <v>0</v>
      </c>
      <c r="H10" s="167"/>
      <c r="J10" s="444" t="s">
        <v>520</v>
      </c>
      <c r="K10" s="444">
        <v>0</v>
      </c>
      <c r="L10" s="443" t="s">
        <v>337</v>
      </c>
      <c r="M10" s="443">
        <v>0</v>
      </c>
    </row>
    <row r="11" spans="2:14" ht="38.25" customHeight="1">
      <c r="B11" t="s">
        <v>565</v>
      </c>
      <c r="C11" s="161"/>
      <c r="D11" s="446" t="str">
        <f>'3c. Calculateur MEÉ 2-3-4'!G94</f>
        <v>&lt; sélectionner &gt;</v>
      </c>
      <c r="E11" s="446" t="str">
        <f>'3c. Calculateur MEÉ 2-3-4'!I94</f>
        <v>&lt; sélectionner &gt;</v>
      </c>
      <c r="F11" s="446" t="str">
        <f>'3c. Calculateur MEÉ 2-3-4'!K94</f>
        <v>&lt; sélectionner &gt;</v>
      </c>
      <c r="G11" s="446" t="str">
        <f>'3c. Calculateur MEÉ 2-3-4'!M94</f>
        <v>&lt; sélectionner &gt;</v>
      </c>
      <c r="H11" s="167"/>
      <c r="J11" s="443" t="s">
        <v>337</v>
      </c>
      <c r="K11" s="443">
        <v>0</v>
      </c>
      <c r="L11" s="443"/>
      <c r="N11" s="148"/>
    </row>
    <row r="12" spans="2:14" ht="15" customHeight="1">
      <c r="C12" s="165"/>
      <c r="D12" s="455">
        <f>IF(D11&lt;&gt;$J$5,1,0)</f>
        <v>0</v>
      </c>
      <c r="E12" s="455">
        <f>IF(E11&lt;&gt;$J$5,1,0)</f>
        <v>0</v>
      </c>
      <c r="F12" s="455">
        <f>IF(F11&lt;&gt;$J$5,1,0)</f>
        <v>0</v>
      </c>
      <c r="G12" s="455">
        <f>IF(G11&lt;&gt;$J$5,1,0)</f>
        <v>0</v>
      </c>
      <c r="H12" s="165"/>
    </row>
    <row r="13" spans="2:14" ht="15" customHeight="1">
      <c r="C13"/>
    </row>
    <row r="14" spans="2:14" ht="15" customHeight="1">
      <c r="B14" s="165" t="s">
        <v>346</v>
      </c>
      <c r="C14" s="165"/>
      <c r="D14" s="166"/>
      <c r="E14" s="166"/>
      <c r="F14" s="166"/>
      <c r="G14" s="166"/>
      <c r="H14" s="165"/>
    </row>
    <row r="15" spans="2:14" ht="15" customHeight="1">
      <c r="B15" t="s">
        <v>345</v>
      </c>
      <c r="C15" s="177">
        <f>'3c. Calculateur MEÉ 2-3-4'!G30+'3c. Calculateur MEÉ 2-3-4'!I30+'3c. Calculateur MEÉ 2-3-4'!K30+'3c. Calculateur MEÉ 2-3-4'!M30</f>
        <v>0</v>
      </c>
      <c r="D15" s="235"/>
      <c r="E15" s="168"/>
      <c r="F15" s="168"/>
      <c r="G15" s="168"/>
      <c r="H15" s="167" t="s">
        <v>5</v>
      </c>
    </row>
    <row r="16" spans="2:14" ht="15" customHeight="1">
      <c r="B16" s="167" t="s">
        <v>19</v>
      </c>
      <c r="C16" s="168"/>
      <c r="D16" s="236" t="e">
        <f>'3c. Calculateur MEÉ 2-3-4'!G30/'Économiseur non-condensant'!$C$15</f>
        <v>#DIV/0!</v>
      </c>
      <c r="E16" s="236" t="e">
        <f>'3c. Calculateur MEÉ 2-3-4'!I30/'Économiseur non-condensant'!$C$15</f>
        <v>#DIV/0!</v>
      </c>
      <c r="F16" s="236" t="e">
        <f>'3c. Calculateur MEÉ 2-3-4'!K30/'Économiseur non-condensant'!$C$15</f>
        <v>#DIV/0!</v>
      </c>
      <c r="G16" s="236" t="e">
        <f>'3c. Calculateur MEÉ 2-3-4'!M30/'Économiseur non-condensant'!$C$15</f>
        <v>#DIV/0!</v>
      </c>
      <c r="H16" s="167"/>
    </row>
    <row r="17" spans="2:9" ht="15" customHeight="1">
      <c r="B17" s="240"/>
      <c r="C17" s="168"/>
      <c r="D17" s="167"/>
      <c r="E17" s="167"/>
      <c r="F17" s="167"/>
      <c r="G17" s="167"/>
      <c r="H17" s="193"/>
    </row>
    <row r="18" spans="2:9" ht="15" customHeight="1">
      <c r="B18" s="165" t="s">
        <v>416</v>
      </c>
      <c r="C18" s="165"/>
      <c r="D18" s="166"/>
      <c r="E18" s="166"/>
      <c r="F18" s="166"/>
      <c r="G18" s="166"/>
      <c r="H18" s="165"/>
      <c r="I18" s="142"/>
    </row>
    <row r="19" spans="2:9" ht="15" customHeight="1">
      <c r="B19" s="265" t="s">
        <v>35</v>
      </c>
      <c r="C19" s="263">
        <f>Hypothèses!D28</f>
        <v>10.889082170509718</v>
      </c>
      <c r="D19" s="265"/>
      <c r="E19" s="265"/>
      <c r="F19" s="265"/>
      <c r="G19" s="265"/>
      <c r="H19" s="265" t="s">
        <v>18</v>
      </c>
      <c r="I19" s="142"/>
    </row>
    <row r="20" spans="2:9" ht="15" customHeight="1">
      <c r="B20" s="265" t="s">
        <v>413</v>
      </c>
      <c r="C20" s="312">
        <f>'P opération brûleur - éco'!C27</f>
        <v>10.889082170509718</v>
      </c>
      <c r="D20" s="265"/>
      <c r="E20" s="265"/>
      <c r="F20" s="265"/>
      <c r="G20" s="265"/>
      <c r="H20" s="265" t="s">
        <v>18</v>
      </c>
      <c r="I20" s="142"/>
    </row>
    <row r="21" spans="2:9" ht="15" customHeight="1">
      <c r="B21" s="280" t="s">
        <v>423</v>
      </c>
      <c r="C21" s="313">
        <f>IF(SUM($D$7:$G$7)&lt;1,C19,C20)</f>
        <v>10.889082170509718</v>
      </c>
      <c r="D21" s="280"/>
      <c r="E21" s="280"/>
      <c r="F21" s="280"/>
      <c r="G21" s="280"/>
      <c r="H21" s="280" t="s">
        <v>16</v>
      </c>
      <c r="I21" s="142"/>
    </row>
    <row r="22" spans="2:9" ht="15" customHeight="1">
      <c r="B22" s="169" t="s">
        <v>67</v>
      </c>
      <c r="C22" s="177">
        <f>ROUND(4.18*(C21),3)</f>
        <v>45.515999999999998</v>
      </c>
      <c r="D22" s="167"/>
      <c r="E22" s="167"/>
      <c r="F22" s="167"/>
      <c r="G22" s="167"/>
      <c r="H22" s="167" t="s">
        <v>54</v>
      </c>
    </row>
    <row r="23" spans="2:9" ht="15" customHeight="1">
      <c r="B23" s="280"/>
      <c r="C23" s="315"/>
      <c r="D23" s="280"/>
      <c r="E23" s="280"/>
      <c r="F23" s="280"/>
      <c r="G23" s="280"/>
      <c r="H23" s="280"/>
      <c r="I23" s="142"/>
    </row>
    <row r="24" spans="2:9" ht="15" customHeight="1">
      <c r="B24" s="316" t="s">
        <v>417</v>
      </c>
      <c r="C24" s="315"/>
      <c r="D24" s="280"/>
      <c r="E24" s="280"/>
      <c r="F24" s="280"/>
      <c r="G24" s="280"/>
      <c r="H24" s="280"/>
      <c r="I24" s="142"/>
    </row>
    <row r="25" spans="2:9" ht="15" customHeight="1">
      <c r="B25" s="167" t="s">
        <v>36</v>
      </c>
      <c r="C25" s="178">
        <f>Hypothèses!D31</f>
        <v>80</v>
      </c>
      <c r="D25" s="167"/>
      <c r="E25" s="167"/>
      <c r="F25" s="167"/>
      <c r="G25" s="167"/>
      <c r="H25" s="167" t="s">
        <v>18</v>
      </c>
      <c r="I25" s="142"/>
    </row>
    <row r="26" spans="2:9" ht="15" customHeight="1">
      <c r="B26" s="167" t="s">
        <v>37</v>
      </c>
      <c r="C26" s="179">
        <f>Hypothèses!D32</f>
        <v>0.8</v>
      </c>
      <c r="D26" s="167"/>
      <c r="E26" s="167"/>
      <c r="F26" s="167"/>
      <c r="G26" s="167"/>
      <c r="H26" s="167"/>
      <c r="I26" s="142"/>
    </row>
    <row r="27" spans="2:9" ht="15" customHeight="1">
      <c r="B27" s="167" t="s">
        <v>51</v>
      </c>
      <c r="C27" s="177">
        <f>Hypothèses!D84</f>
        <v>4.1853360036591161</v>
      </c>
      <c r="D27" s="167"/>
      <c r="E27" s="167"/>
      <c r="F27" s="167"/>
      <c r="G27" s="167"/>
      <c r="H27" s="167" t="s">
        <v>52</v>
      </c>
      <c r="I27" s="142"/>
    </row>
    <row r="28" spans="2:9" ht="15" customHeight="1">
      <c r="B28" s="169" t="s">
        <v>53</v>
      </c>
      <c r="C28" s="178">
        <f>ROUND(C27*C25,3)</f>
        <v>334.827</v>
      </c>
      <c r="D28" s="167"/>
      <c r="E28" s="167"/>
      <c r="F28" s="167"/>
      <c r="G28" s="167"/>
      <c r="H28" s="167" t="s">
        <v>54</v>
      </c>
      <c r="I28" s="142"/>
    </row>
    <row r="29" spans="2:9" ht="15" customHeight="1">
      <c r="C29"/>
    </row>
    <row r="30" spans="2:9" ht="15" customHeight="1">
      <c r="B30" s="165" t="s">
        <v>55</v>
      </c>
      <c r="C30" s="168"/>
      <c r="D30" s="167"/>
      <c r="E30" s="167"/>
      <c r="F30" s="167"/>
      <c r="G30" s="167"/>
      <c r="H30" s="166"/>
      <c r="I30" s="142"/>
    </row>
    <row r="31" spans="2:9" ht="15" customHeight="1">
      <c r="B31" s="280" t="s">
        <v>418</v>
      </c>
      <c r="C31" s="1179">
        <f>IF(OR('3c. Calculateur MEÉ 2-3-4'!$G$13="Eau chaude",'3c. Calculateur MEÉ 2-3-4'!$G$19&lt;&gt;"Oui"),C32,C33)</f>
        <v>66.177816434101942</v>
      </c>
      <c r="D31" s="319"/>
      <c r="E31" s="167"/>
      <c r="F31" s="167"/>
      <c r="G31" s="167"/>
      <c r="H31" s="167" t="s">
        <v>18</v>
      </c>
    </row>
    <row r="32" spans="2:9" ht="15" customHeight="1">
      <c r="B32" s="1165" t="s">
        <v>1900</v>
      </c>
      <c r="C32" s="1178">
        <f>C25*C26+(1-C26)*C21</f>
        <v>66.177816434101942</v>
      </c>
      <c r="D32" s="214"/>
      <c r="E32" s="167"/>
      <c r="F32" s="167"/>
      <c r="G32" s="167"/>
      <c r="H32" s="217" t="s">
        <v>16</v>
      </c>
    </row>
    <row r="33" spans="2:9" ht="15" customHeight="1">
      <c r="B33" s="1165" t="s">
        <v>1896</v>
      </c>
      <c r="C33" s="1178">
        <f>G84</f>
        <v>127.99931999999998</v>
      </c>
      <c r="D33" s="214"/>
      <c r="E33" s="167"/>
      <c r="F33" s="167"/>
      <c r="G33" s="167"/>
      <c r="H33" s="217" t="s">
        <v>16</v>
      </c>
    </row>
    <row r="34" spans="2:9" ht="15" customHeight="1">
      <c r="B34" s="169" t="s">
        <v>57</v>
      </c>
      <c r="C34" s="1179">
        <f>IF(OR('3c. Calculateur MEÉ 2-3-4'!$G$13="Eau chaude",'3c. Calculateur MEÉ 2-3-4'!$G$19&lt;&gt;"Oui"),C35,C36)</f>
        <v>276.976</v>
      </c>
      <c r="D34" s="214"/>
      <c r="E34" s="167"/>
      <c r="F34" s="167"/>
      <c r="G34" s="167"/>
      <c r="H34" s="167" t="s">
        <v>54</v>
      </c>
    </row>
    <row r="35" spans="2:9" ht="15" customHeight="1">
      <c r="B35" s="1165" t="s">
        <v>1900</v>
      </c>
      <c r="C35" s="1178">
        <f>ROUND(C27*C32,3)</f>
        <v>276.976</v>
      </c>
      <c r="D35" s="214"/>
      <c r="E35" s="167"/>
      <c r="F35" s="167"/>
      <c r="G35" s="167"/>
      <c r="H35" s="217" t="s">
        <v>54</v>
      </c>
    </row>
    <row r="36" spans="2:9" ht="15" customHeight="1">
      <c r="B36" s="1165" t="s">
        <v>1896</v>
      </c>
      <c r="C36" s="1178">
        <f>D84</f>
        <v>537.76303999999993</v>
      </c>
      <c r="D36" s="214"/>
      <c r="E36" s="167"/>
      <c r="F36" s="167"/>
      <c r="G36" s="167"/>
      <c r="H36" s="217" t="s">
        <v>54</v>
      </c>
    </row>
    <row r="37" spans="2:9" ht="15" customHeight="1">
      <c r="B37" s="169" t="s">
        <v>58</v>
      </c>
      <c r="C37" s="178">
        <f>SUM(D37:G37)</f>
        <v>0</v>
      </c>
      <c r="D37" s="178">
        <f>ROUND('3c. Calculateur MEÉ 2-3-4'!G30*3600/((1-$C$44)*($C$68-$C$34)+$C$44*($C$45-$C$34)),2)</f>
        <v>0</v>
      </c>
      <c r="E37" s="178">
        <f>ROUND('3c. Calculateur MEÉ 2-3-4'!I30*3600/((1-$C$44)*($C$68-$C$34)+$C$44*($C$45-$C$34)),2)</f>
        <v>0</v>
      </c>
      <c r="F37" s="178">
        <f>ROUND('3c. Calculateur MEÉ 2-3-4'!K30*3600/((1-$C$44)*($C$68-$C$34)+$C$44*($C$45-$C$34)),2)</f>
        <v>0</v>
      </c>
      <c r="G37" s="178">
        <f>ROUND('3c. Calculateur MEÉ 2-3-4'!M30*3600/((1-$C$44)*($C$68-$C$34)+$C$44*($C$45-$C$34)),2)</f>
        <v>0</v>
      </c>
      <c r="H37" s="167" t="s">
        <v>59</v>
      </c>
      <c r="I37" s="211" t="s">
        <v>60</v>
      </c>
    </row>
    <row r="38" spans="2:9" ht="15" customHeight="1">
      <c r="B38" s="169"/>
      <c r="C38" s="168"/>
      <c r="D38" s="245">
        <f>D37/'Facteurs conversion'!$C$14</f>
        <v>0</v>
      </c>
      <c r="E38" s="245">
        <f>E37/'Facteurs conversion'!$C$14</f>
        <v>0</v>
      </c>
      <c r="F38" s="245">
        <f>F37/'Facteurs conversion'!$C$14</f>
        <v>0</v>
      </c>
      <c r="G38" s="245">
        <f>G37/'Facteurs conversion'!$C$14</f>
        <v>0</v>
      </c>
      <c r="H38" s="246" t="s">
        <v>61</v>
      </c>
      <c r="I38" s="212" t="s">
        <v>62</v>
      </c>
    </row>
    <row r="39" spans="2:9" ht="15" customHeight="1">
      <c r="B39" s="169" t="s">
        <v>63</v>
      </c>
      <c r="C39" s="168"/>
      <c r="D39" s="177">
        <f>ROUND($C$34*D37/3600,0)</f>
        <v>0</v>
      </c>
      <c r="E39" s="177">
        <f t="shared" ref="E39:G39" si="0">ROUND($C$34*E37/3600,0)</f>
        <v>0</v>
      </c>
      <c r="F39" s="177">
        <f t="shared" si="0"/>
        <v>0</v>
      </c>
      <c r="G39" s="177">
        <f t="shared" si="0"/>
        <v>0</v>
      </c>
      <c r="H39" s="167" t="s">
        <v>5</v>
      </c>
      <c r="I39" s="212" t="s">
        <v>64</v>
      </c>
    </row>
    <row r="40" spans="2:9" ht="15" customHeight="1">
      <c r="C40"/>
      <c r="I40" s="212" t="s">
        <v>65</v>
      </c>
    </row>
    <row r="41" spans="2:9" ht="15" customHeight="1">
      <c r="B41" s="165" t="s">
        <v>66</v>
      </c>
      <c r="C41" s="168"/>
      <c r="D41" s="167"/>
      <c r="E41" s="167"/>
      <c r="F41" s="167"/>
      <c r="G41" s="167"/>
      <c r="H41" s="167"/>
    </row>
    <row r="42" spans="2:9" ht="15" customHeight="1">
      <c r="C42"/>
    </row>
    <row r="43" spans="2:9" ht="15" customHeight="1">
      <c r="B43" s="165" t="s">
        <v>68</v>
      </c>
      <c r="C43" s="170"/>
      <c r="D43" s="167"/>
      <c r="E43" s="167"/>
      <c r="F43" s="167"/>
      <c r="G43" s="167"/>
      <c r="H43" s="167"/>
    </row>
    <row r="44" spans="2:9" ht="15" customHeight="1">
      <c r="B44" s="167" t="s">
        <v>38</v>
      </c>
      <c r="C44" s="179">
        <f>Hypothèses!D33</f>
        <v>0.06</v>
      </c>
      <c r="D44" s="167"/>
      <c r="E44" s="167"/>
      <c r="F44" s="167"/>
      <c r="G44" s="167"/>
      <c r="H44" s="167"/>
    </row>
    <row r="45" spans="2:9" ht="15" customHeight="1">
      <c r="B45" s="167" t="s">
        <v>70</v>
      </c>
      <c r="C45" s="177">
        <f>D74</f>
        <v>741.05921800149713</v>
      </c>
      <c r="D45" s="167"/>
      <c r="E45" s="167"/>
      <c r="F45" s="167"/>
      <c r="G45" s="167"/>
      <c r="H45" s="167" t="s">
        <v>54</v>
      </c>
    </row>
    <row r="46" spans="2:9" ht="15" customHeight="1">
      <c r="B46" s="167" t="s">
        <v>71</v>
      </c>
      <c r="C46" s="168"/>
      <c r="D46" s="177">
        <f>ROUND(D47*'Facteurs conversion'!$C$14,2)</f>
        <v>0</v>
      </c>
      <c r="E46" s="177">
        <f>ROUND(E47*'Facteurs conversion'!$C$14,2)</f>
        <v>0</v>
      </c>
      <c r="F46" s="177">
        <f>ROUND(F47*'Facteurs conversion'!$C$14,2)</f>
        <v>0</v>
      </c>
      <c r="G46" s="177">
        <f>ROUND(G47*'Facteurs conversion'!$C$14,2)</f>
        <v>0</v>
      </c>
      <c r="H46" s="167" t="s">
        <v>59</v>
      </c>
    </row>
    <row r="47" spans="2:9" ht="15" customHeight="1">
      <c r="B47" s="167"/>
      <c r="C47" s="168"/>
      <c r="D47" s="245">
        <f>ROUND(D38*$C$44,2)</f>
        <v>0</v>
      </c>
      <c r="E47" s="245">
        <f>ROUND(E38*$C$44,2)</f>
        <v>0</v>
      </c>
      <c r="F47" s="245">
        <f>ROUND(F38*$C$44,2)</f>
        <v>0</v>
      </c>
      <c r="G47" s="245">
        <f>ROUND(G38*$C$44,2)</f>
        <v>0</v>
      </c>
      <c r="H47" s="246" t="s">
        <v>61</v>
      </c>
    </row>
    <row r="48" spans="2:9" ht="15" customHeight="1">
      <c r="B48" s="167" t="s">
        <v>72</v>
      </c>
      <c r="C48" s="168"/>
      <c r="D48" s="177">
        <f>ROUND(D46*($C$45)/3600,2)</f>
        <v>0</v>
      </c>
      <c r="E48" s="177">
        <f t="shared" ref="E48:G48" si="1">ROUND(E46*($C$45)/3600,2)</f>
        <v>0</v>
      </c>
      <c r="F48" s="177">
        <f t="shared" si="1"/>
        <v>0</v>
      </c>
      <c r="G48" s="177">
        <f t="shared" si="1"/>
        <v>0</v>
      </c>
      <c r="H48" s="167" t="s">
        <v>5</v>
      </c>
    </row>
    <row r="49" spans="2:12" ht="15" customHeight="1">
      <c r="C49"/>
    </row>
    <row r="50" spans="2:12" ht="15" customHeight="1">
      <c r="B50" s="165" t="s">
        <v>73</v>
      </c>
      <c r="C50" s="167"/>
      <c r="D50" s="167"/>
      <c r="E50" s="167"/>
      <c r="F50" s="167"/>
      <c r="G50" s="167"/>
      <c r="H50" s="167"/>
      <c r="I50" s="148" t="s">
        <v>74</v>
      </c>
    </row>
    <row r="51" spans="2:12" ht="15" customHeight="1">
      <c r="B51" s="169" t="s">
        <v>39</v>
      </c>
      <c r="C51" s="177">
        <f>Hypothèses!D34</f>
        <v>153.1</v>
      </c>
      <c r="D51" s="167"/>
      <c r="E51" s="167"/>
      <c r="F51" s="167"/>
      <c r="G51" s="167"/>
      <c r="H51" s="167" t="s">
        <v>40</v>
      </c>
      <c r="I51" s="142"/>
    </row>
    <row r="52" spans="2:12" ht="15" customHeight="1">
      <c r="B52" s="167" t="s">
        <v>75</v>
      </c>
      <c r="C52" s="237">
        <f>C37*(D84-C35)/(C68-D84)/(1-C53)</f>
        <v>0</v>
      </c>
      <c r="D52" s="177" t="e">
        <f>$C$52*D16</f>
        <v>#DIV/0!</v>
      </c>
      <c r="E52" s="177" t="e">
        <f>$C$52*E16</f>
        <v>#DIV/0!</v>
      </c>
      <c r="F52" s="177" t="e">
        <f>$C$52*F16</f>
        <v>#DIV/0!</v>
      </c>
      <c r="G52" s="177" t="e">
        <f>$C$52*G16</f>
        <v>#DIV/0!</v>
      </c>
      <c r="H52" s="167" t="s">
        <v>59</v>
      </c>
      <c r="I52" s="962" t="s">
        <v>347</v>
      </c>
    </row>
    <row r="53" spans="2:12" ht="15" customHeight="1">
      <c r="B53" s="171" t="s">
        <v>41</v>
      </c>
      <c r="C53" s="180">
        <f>Hypothèses!D35</f>
        <v>9.5000000000000001E-2</v>
      </c>
      <c r="D53" s="172"/>
      <c r="E53" s="172"/>
      <c r="F53" s="172"/>
      <c r="G53" s="172"/>
      <c r="H53" s="167"/>
      <c r="I53" s="239" t="s">
        <v>76</v>
      </c>
    </row>
    <row r="54" spans="2:12" ht="15" customHeight="1">
      <c r="B54" s="169" t="s">
        <v>77</v>
      </c>
      <c r="C54" s="238">
        <f>IF('3c. Calculateur MEÉ 2-3-4'!G19&lt;&gt;"Oui",0,C53*C52)</f>
        <v>0</v>
      </c>
      <c r="D54" s="182">
        <f>IF('3c. Calculateur MEÉ 2-3-4'!G19&lt;&gt;"Oui",0,D52*$C$53)</f>
        <v>0</v>
      </c>
      <c r="E54" s="182">
        <f>IF('3c. Calculateur MEÉ 2-3-4'!G19&lt;&gt;"Oui",0,E52*$C$53)</f>
        <v>0</v>
      </c>
      <c r="F54" s="182">
        <f>IF('3c. Calculateur MEÉ 2-3-4'!G19&lt;&gt;"Oui",0,F52*$C$53)</f>
        <v>0</v>
      </c>
      <c r="G54" s="182">
        <f>IF('3c. Calculateur MEÉ 2-3-4'!G19&lt;&gt;"Oui",0,G52*$C$53)</f>
        <v>0</v>
      </c>
      <c r="H54" s="167" t="s">
        <v>59</v>
      </c>
    </row>
    <row r="55" spans="2:12" ht="15" customHeight="1">
      <c r="B55" s="169"/>
      <c r="C55" s="168"/>
      <c r="D55" s="247">
        <f>D54/'Facteurs conversion'!$C$14</f>
        <v>0</v>
      </c>
      <c r="E55" s="247">
        <f>E54/'Facteurs conversion'!$C$14</f>
        <v>0</v>
      </c>
      <c r="F55" s="247">
        <f>F54/'Facteurs conversion'!$C$14</f>
        <v>0</v>
      </c>
      <c r="G55" s="247">
        <f>G54/'Facteurs conversion'!$C$14</f>
        <v>0</v>
      </c>
      <c r="H55" s="246" t="s">
        <v>61</v>
      </c>
    </row>
    <row r="56" spans="2:12" ht="15" customHeight="1">
      <c r="B56" s="169" t="s">
        <v>78</v>
      </c>
      <c r="C56" s="238">
        <f>C54*F84/3600</f>
        <v>0</v>
      </c>
      <c r="D56" s="182">
        <f>$F$84*D54/3600</f>
        <v>0</v>
      </c>
      <c r="E56" s="182">
        <f t="shared" ref="E56:G56" si="2">$F$84*E54/3600</f>
        <v>0</v>
      </c>
      <c r="F56" s="182">
        <f t="shared" si="2"/>
        <v>0</v>
      </c>
      <c r="G56" s="182">
        <f t="shared" si="2"/>
        <v>0</v>
      </c>
      <c r="H56" s="167" t="s">
        <v>5</v>
      </c>
    </row>
    <row r="57" spans="2:12" ht="15" customHeight="1">
      <c r="C57"/>
    </row>
    <row r="58" spans="2:12" ht="15" customHeight="1">
      <c r="B58" s="165" t="s">
        <v>79</v>
      </c>
      <c r="C58" s="174"/>
      <c r="D58" s="167"/>
      <c r="E58" s="167"/>
      <c r="F58" s="167"/>
      <c r="G58" s="167"/>
      <c r="H58" s="167"/>
    </row>
    <row r="59" spans="2:12" ht="15" customHeight="1">
      <c r="B59" s="171" t="s">
        <v>80</v>
      </c>
      <c r="C59" s="168"/>
      <c r="D59" s="177">
        <f>D37-D46</f>
        <v>0</v>
      </c>
      <c r="E59" s="177">
        <f t="shared" ref="D59:G60" si="3">E37-E46</f>
        <v>0</v>
      </c>
      <c r="F59" s="177">
        <f t="shared" si="3"/>
        <v>0</v>
      </c>
      <c r="G59" s="177">
        <f t="shared" si="3"/>
        <v>0</v>
      </c>
      <c r="H59" s="167" t="s">
        <v>59</v>
      </c>
    </row>
    <row r="60" spans="2:12" ht="15" customHeight="1">
      <c r="B60" s="171"/>
      <c r="C60" s="168"/>
      <c r="D60" s="324">
        <f t="shared" si="3"/>
        <v>0</v>
      </c>
      <c r="E60" s="324">
        <f t="shared" si="3"/>
        <v>0</v>
      </c>
      <c r="F60" s="324">
        <f t="shared" si="3"/>
        <v>0</v>
      </c>
      <c r="G60" s="324">
        <f t="shared" si="3"/>
        <v>0</v>
      </c>
      <c r="H60" s="217" t="s">
        <v>61</v>
      </c>
    </row>
    <row r="61" spans="2:12" ht="15" customHeight="1">
      <c r="B61" s="171" t="s">
        <v>81</v>
      </c>
      <c r="C61" s="168"/>
      <c r="D61" s="183">
        <f>D59-D54</f>
        <v>0</v>
      </c>
      <c r="E61" s="183">
        <f t="shared" ref="D61:G62" si="4">E59-E54</f>
        <v>0</v>
      </c>
      <c r="F61" s="183">
        <f t="shared" si="4"/>
        <v>0</v>
      </c>
      <c r="G61" s="183">
        <f t="shared" si="4"/>
        <v>0</v>
      </c>
      <c r="H61" s="167" t="s">
        <v>59</v>
      </c>
    </row>
    <row r="62" spans="2:12" ht="15" customHeight="1">
      <c r="B62" s="171"/>
      <c r="C62" s="168"/>
      <c r="D62" s="325">
        <f t="shared" si="4"/>
        <v>0</v>
      </c>
      <c r="E62" s="325">
        <f t="shared" si="4"/>
        <v>0</v>
      </c>
      <c r="F62" s="325">
        <f t="shared" si="4"/>
        <v>0</v>
      </c>
      <c r="G62" s="325">
        <f t="shared" si="4"/>
        <v>0</v>
      </c>
      <c r="H62" s="217" t="s">
        <v>61</v>
      </c>
    </row>
    <row r="63" spans="2:12" ht="15" customHeight="1">
      <c r="B63" s="171" t="s">
        <v>82</v>
      </c>
      <c r="C63" s="168"/>
      <c r="D63" s="177">
        <f>ROUND(D61*$C$68/3600,0)</f>
        <v>0</v>
      </c>
      <c r="E63" s="177">
        <f t="shared" ref="E63:G63" si="5">ROUND(E61*$C$68/3600,0)</f>
        <v>0</v>
      </c>
      <c r="F63" s="177">
        <f t="shared" si="5"/>
        <v>0</v>
      </c>
      <c r="G63" s="177">
        <f t="shared" si="5"/>
        <v>0</v>
      </c>
      <c r="H63" s="167" t="s">
        <v>5</v>
      </c>
    </row>
    <row r="64" spans="2:12" ht="15" customHeight="1">
      <c r="C64"/>
      <c r="L64" s="214"/>
    </row>
    <row r="65" spans="2:9" ht="15" customHeight="1">
      <c r="B65" s="165" t="s">
        <v>83</v>
      </c>
      <c r="C65" s="168"/>
      <c r="D65" s="167"/>
      <c r="E65" s="167"/>
      <c r="F65" s="167"/>
      <c r="G65" s="167"/>
      <c r="H65" s="167"/>
    </row>
    <row r="66" spans="2:9" ht="15" customHeight="1">
      <c r="B66" s="175" t="s">
        <v>42</v>
      </c>
      <c r="C66" s="178">
        <f>'3c. Calculateur MEÉ 2-3-4'!G17</f>
        <v>0</v>
      </c>
      <c r="D66" s="167"/>
      <c r="E66" s="167"/>
      <c r="F66" s="167"/>
      <c r="G66" s="167"/>
      <c r="H66" s="167" t="s">
        <v>18</v>
      </c>
      <c r="I66" s="8"/>
    </row>
    <row r="67" spans="2:9" ht="15" customHeight="1">
      <c r="B67" s="175" t="s">
        <v>84</v>
      </c>
      <c r="C67" s="177">
        <f>Hypothèses!D36</f>
        <v>790.33012724550895</v>
      </c>
      <c r="D67" s="1"/>
      <c r="E67" s="167"/>
      <c r="F67" s="167"/>
      <c r="G67" s="167"/>
      <c r="H67" s="167" t="s">
        <v>40</v>
      </c>
      <c r="I67" s="8"/>
    </row>
    <row r="68" spans="2:9" ht="15" customHeight="1">
      <c r="B68" s="176" t="s">
        <v>86</v>
      </c>
      <c r="C68" s="177">
        <f>IF(C66=0,F74,D79)</f>
        <v>2773.5444668787422</v>
      </c>
      <c r="D68" s="167"/>
      <c r="E68" s="167"/>
      <c r="F68" s="167"/>
      <c r="G68" s="167"/>
      <c r="H68" s="167" t="s">
        <v>54</v>
      </c>
    </row>
    <row r="69" spans="2:9" ht="15" customHeight="1">
      <c r="B69" s="167" t="s">
        <v>87</v>
      </c>
      <c r="C69" s="177">
        <f>E74</f>
        <v>2032.4852488772453</v>
      </c>
      <c r="D69" s="167"/>
      <c r="E69" s="167"/>
      <c r="F69" s="167"/>
      <c r="G69" s="167"/>
      <c r="H69" s="167" t="s">
        <v>54</v>
      </c>
    </row>
    <row r="70" spans="2:9" ht="15" customHeight="1">
      <c r="C70" s="143"/>
    </row>
    <row r="71" spans="2:9" ht="15" customHeight="1">
      <c r="B71" s="150" t="s">
        <v>88</v>
      </c>
      <c r="C71" s="150" t="s">
        <v>89</v>
      </c>
      <c r="D71" s="150" t="s">
        <v>90</v>
      </c>
      <c r="E71" s="150" t="s">
        <v>91</v>
      </c>
      <c r="F71" s="150" t="s">
        <v>92</v>
      </c>
      <c r="G71" s="13" t="s">
        <v>1894</v>
      </c>
    </row>
    <row r="72" spans="2:9" ht="15" customHeight="1">
      <c r="B72" s="155" t="s">
        <v>93</v>
      </c>
      <c r="C72" s="21">
        <f>LOOKUP(C67,'Tables vapeur'!C6:C61)</f>
        <v>748.67499999999995</v>
      </c>
      <c r="D72" s="21">
        <f>VLOOKUP(C72,'Tables vapeur'!C6:G61,3,FALSE)</f>
        <v>732.22</v>
      </c>
      <c r="E72" s="21">
        <f>VLOOKUP(C72,'Tables vapeur'!C6:G61,4,FALSE)</f>
        <v>2039.4</v>
      </c>
      <c r="F72" s="21">
        <f>VLOOKUP(C72,'Tables vapeur'!C6:G61,5,FALSE)</f>
        <v>2771.62</v>
      </c>
      <c r="G72" s="21">
        <f>VLOOKUP(C72,'Tables vapeur'!$C$6:$G$61,2,FALSE)</f>
        <v>172.96</v>
      </c>
    </row>
    <row r="73" spans="2:9" ht="15" customHeight="1">
      <c r="B73" s="155" t="s">
        <v>94</v>
      </c>
      <c r="C73" s="21">
        <f>IF((C72-C67)=0,C67,INDEX('Tables vapeur'!C6:C61,RANK(LOOKUP(C67,'Tables vapeur'!C6:C61),'Tables vapeur'!C6:C61,1)+1))</f>
        <v>798.67499999999995</v>
      </c>
      <c r="D73" s="21">
        <f>VLOOKUP(C73,'Tables vapeur'!C6:G61,3,FALSE)</f>
        <v>742.83</v>
      </c>
      <c r="E73" s="21">
        <f>VLOOKUP(C73,'Tables vapeur'!C6:G61,4,FALSE)</f>
        <v>2031.1</v>
      </c>
      <c r="F73" s="21">
        <f>VLOOKUP(C73,'Tables vapeur'!C6:G61,5,FALSE)</f>
        <v>2773.93</v>
      </c>
      <c r="G73" s="21">
        <f>VLOOKUP(C73,'Tables vapeur'!$C$6:$G$61,2,FALSE)</f>
        <v>175.38</v>
      </c>
    </row>
    <row r="74" spans="2:9" ht="15" customHeight="1">
      <c r="B74" s="155" t="s">
        <v>95</v>
      </c>
      <c r="C74" s="21">
        <f>C67</f>
        <v>790.33012724550895</v>
      </c>
      <c r="D74" s="21">
        <f>IF(C72=C73,D72,FORECAST(C74,D72:D73,C72:C73))</f>
        <v>741.05921800149713</v>
      </c>
      <c r="E74" s="21">
        <f>IF(C72=C73,E72,FORECAST(C74,E72:E73,C72:C73))</f>
        <v>2032.4852488772453</v>
      </c>
      <c r="F74" s="21">
        <f>IF(C72=C73,F72,FORECAST(C74,F72:F73,C72:C73))</f>
        <v>2773.5444668787422</v>
      </c>
      <c r="G74" s="21">
        <f>IF(C72=C73,G72,FORECAST(C74,G72:G73,C72:C73))</f>
        <v>174.97610815868268</v>
      </c>
    </row>
    <row r="75" spans="2:9" ht="15" customHeight="1">
      <c r="F75" s="8"/>
    </row>
    <row r="76" spans="2:9" ht="45" customHeight="1">
      <c r="B76" s="150" t="s">
        <v>96</v>
      </c>
      <c r="C76" s="13" t="s">
        <v>97</v>
      </c>
      <c r="D76" s="13" t="s">
        <v>98</v>
      </c>
      <c r="E76" s="142"/>
      <c r="F76" s="142"/>
    </row>
    <row r="77" spans="2:9" ht="15" customHeight="1">
      <c r="B77" s="155" t="s">
        <v>93</v>
      </c>
      <c r="C77" s="156">
        <f>LOOKUP(C67,'Tables vapeur'!M7:M34)</f>
        <v>698.67499999999995</v>
      </c>
      <c r="D77" s="156">
        <f>VLOOKUP(C77,'Tables vapeur'!M7:R34,3,FALSE)</f>
        <v>2743.043408</v>
      </c>
      <c r="E77" s="142"/>
      <c r="F77" s="142"/>
    </row>
    <row r="78" spans="2:9" ht="15" customHeight="1">
      <c r="B78" s="155" t="s">
        <v>94</v>
      </c>
      <c r="C78" s="156">
        <f>IF((C77-C67)=0,C67,INDEX('Tables vapeur'!M7:M34,RANK(LOOKUP(C67,'Tables vapeur'!M7:M34),'Tables vapeur'!M7:M34,1)+1))</f>
        <v>898.67499999999995</v>
      </c>
      <c r="D78" s="156">
        <f>VLOOKUP(C78,'Tables vapeur'!M7:R34,3,FALSE)</f>
        <v>2757.347722</v>
      </c>
      <c r="E78" s="159"/>
      <c r="F78" s="159"/>
      <c r="G78" s="159"/>
      <c r="H78" s="159"/>
    </row>
    <row r="79" spans="2:9" ht="15" customHeight="1">
      <c r="B79" s="155" t="s">
        <v>95</v>
      </c>
      <c r="C79" s="156">
        <f>C67</f>
        <v>790.33012724550895</v>
      </c>
      <c r="D79" s="156">
        <f>IF(C77=C78,D77,FORECAST(C79,D77:D78,C77:C78))</f>
        <v>2749.5987265991484</v>
      </c>
      <c r="E79" s="159"/>
      <c r="F79" s="159"/>
      <c r="G79" s="159"/>
      <c r="H79" s="159"/>
    </row>
    <row r="80" spans="2:9" ht="15" customHeight="1">
      <c r="C80"/>
    </row>
    <row r="81" spans="2:13" ht="15" customHeight="1">
      <c r="B81" s="150" t="s">
        <v>99</v>
      </c>
      <c r="C81" s="9" t="s">
        <v>89</v>
      </c>
      <c r="D81" s="9" t="s">
        <v>90</v>
      </c>
      <c r="E81" s="9" t="s">
        <v>91</v>
      </c>
      <c r="F81" s="9" t="s">
        <v>92</v>
      </c>
      <c r="G81" s="13" t="s">
        <v>1894</v>
      </c>
    </row>
    <row r="82" spans="2:13" ht="15" customHeight="1">
      <c r="B82" s="157" t="s">
        <v>93</v>
      </c>
      <c r="C82" s="156">
        <f>LOOKUP(C51,'Tables vapeur'!C6:C61)</f>
        <v>148.67500000000001</v>
      </c>
      <c r="D82" s="156">
        <f>VLOOKUP(C82,'Tables vapeur'!C6:G61,3,FALSE)</f>
        <v>535.37</v>
      </c>
      <c r="E82" s="156">
        <f>VLOOKUP(C82,'Tables vapeur'!C6:G61,4,FALSE)</f>
        <v>2181.5</v>
      </c>
      <c r="F82" s="156">
        <f>VLOOKUP(C82,'Tables vapeur'!C6:G61,5,FALSE)</f>
        <v>2716.87</v>
      </c>
      <c r="G82" s="21">
        <f>VLOOKUP(C82,'Tables vapeur'!$C$6:$G$61,2,FALSE)</f>
        <v>127.44</v>
      </c>
    </row>
    <row r="83" spans="2:13" ht="15" customHeight="1">
      <c r="B83" s="157" t="s">
        <v>94</v>
      </c>
      <c r="C83" s="156">
        <f>IF((C82-C51)=0,C51,INDEX('Tables vapeur'!C6:C61,RANK(LOOKUP(C51,'Tables vapeur'!C6:C61),'Tables vapeur'!C6:C61,1)+1))</f>
        <v>173.67500000000001</v>
      </c>
      <c r="D83" s="156">
        <f>VLOOKUP(C83,'Tables vapeur'!C6:G61,3,FALSE)</f>
        <v>548.89</v>
      </c>
      <c r="E83" s="156">
        <f>VLOOKUP(C83,'Tables vapeur'!C6:G61,4,FALSE)</f>
        <v>2172.4</v>
      </c>
      <c r="F83" s="156">
        <f>VLOOKUP(C83,'Tables vapeur'!C6:G61,5,FALSE)</f>
        <v>2721.29</v>
      </c>
      <c r="G83" s="21">
        <f>VLOOKUP(C83,'Tables vapeur'!$C$6:$G$61,2,FALSE)</f>
        <v>130.6</v>
      </c>
      <c r="M83" s="214"/>
    </row>
    <row r="84" spans="2:13" ht="15" customHeight="1">
      <c r="B84" s="157" t="s">
        <v>95</v>
      </c>
      <c r="C84" s="156">
        <f>C51</f>
        <v>153.1</v>
      </c>
      <c r="D84" s="156">
        <f>IF(C82=C83,D82,FORECAST(C84,D82:D83,C82:C83))</f>
        <v>537.76303999999993</v>
      </c>
      <c r="E84" s="156">
        <f>IF(C82=C83,E82,FORECAST(C84,E82:E83,C82:C83))</f>
        <v>2179.8892999999998</v>
      </c>
      <c r="F84" s="156">
        <f>IF(C82=C83,F82,FORECAST(C84,F82:F83,C82:C83))</f>
        <v>2717.6523400000001</v>
      </c>
      <c r="G84" s="21">
        <f>IF(C82=C83,G82,FORECAST(C84,G82:G83,C82:C83))</f>
        <v>127.99931999999998</v>
      </c>
    </row>
    <row r="85" spans="2:13" ht="15" customHeight="1">
      <c r="B85" s="158"/>
      <c r="C85" s="159"/>
      <c r="D85" s="159"/>
      <c r="E85" s="159"/>
      <c r="F85" s="159"/>
    </row>
    <row r="86" spans="2:13" ht="15" customHeight="1">
      <c r="B86" s="165" t="s">
        <v>12</v>
      </c>
      <c r="C86" s="174"/>
      <c r="D86" s="167"/>
      <c r="E86" s="167"/>
      <c r="F86" s="167"/>
      <c r="G86" s="167"/>
      <c r="H86" s="167"/>
    </row>
    <row r="87" spans="2:13" ht="15" customHeight="1">
      <c r="B87" s="171" t="s">
        <v>355</v>
      </c>
      <c r="C87" s="168"/>
      <c r="D87" s="179">
        <f>IF(D12=1,'Micromodulation et sonde O2'!D64,Combustion_Chaud1!G2)</f>
        <v>0.83747950019628004</v>
      </c>
      <c r="E87" s="179">
        <f>IF(E12=1,'Micromodulation et sonde O2'!E64,Combustion_Chaud2!G2)</f>
        <v>0.83747950019628004</v>
      </c>
      <c r="F87" s="179">
        <f>IF(F12=1,'Micromodulation et sonde O2'!F64,Combustion_Chaud3!G2)</f>
        <v>0.83747950019628004</v>
      </c>
      <c r="G87" s="179">
        <f>IF(G12=1,'Micromodulation et sonde O2'!G64,Combustion_Chaud4!G2)</f>
        <v>0.83747950019628004</v>
      </c>
      <c r="H87" s="167"/>
      <c r="I87" s="215" t="s">
        <v>352</v>
      </c>
    </row>
    <row r="88" spans="2:13" ht="15" customHeight="1">
      <c r="B88" s="171" t="s">
        <v>353</v>
      </c>
      <c r="C88" s="168"/>
      <c r="D88" s="180">
        <f>IF('3c. Calculateur MEÉ 2-3-4'!$G$27&lt;=Hypothèses!$C$58,Hypothèses!$D$58,'Économiseur non-condensant'!E95)</f>
        <v>2.5999999999999999E-2</v>
      </c>
      <c r="E88" s="180">
        <f>IF('3c. Calculateur MEÉ 2-3-4'!$I$27&lt;=Hypothèses!$C$58,Hypothèses!$D$58,'Économiseur non-condensant'!H95)</f>
        <v>2.5999999999999999E-2</v>
      </c>
      <c r="F88" s="180">
        <f>IF('3c. Calculateur MEÉ 2-3-4'!$K$27&lt;=Hypothèses!$C$58,Hypothèses!$D$58,'Économiseur non-condensant'!$E$100)</f>
        <v>2.5999999999999999E-2</v>
      </c>
      <c r="G88" s="180">
        <f>IF('3c. Calculateur MEÉ 2-3-4'!$M$27&lt;=Hypothèses!$C$58,Hypothèses!$D$58,'Économiseur non-condensant'!$H$100)</f>
        <v>2.5999999999999999E-2</v>
      </c>
      <c r="H88" s="167"/>
    </row>
    <row r="89" spans="2:13" ht="15" customHeight="1">
      <c r="B89" s="171" t="s">
        <v>354</v>
      </c>
      <c r="C89" s="168"/>
      <c r="D89" s="261">
        <f>D87-D88</f>
        <v>0.81147950019628001</v>
      </c>
      <c r="E89" s="261">
        <f t="shared" ref="E89:G89" si="6">E87-E88</f>
        <v>0.81147950019628001</v>
      </c>
      <c r="F89" s="261">
        <f t="shared" si="6"/>
        <v>0.81147950019628001</v>
      </c>
      <c r="G89" s="261">
        <f t="shared" si="6"/>
        <v>0.81147950019628001</v>
      </c>
      <c r="H89" s="167"/>
      <c r="I89" s="216" t="s">
        <v>13</v>
      </c>
    </row>
    <row r="90" spans="2:13" ht="15" customHeight="1">
      <c r="B90" s="158"/>
      <c r="C90" s="159"/>
      <c r="D90" s="159"/>
      <c r="E90" s="159"/>
      <c r="F90" s="159"/>
    </row>
    <row r="91" spans="2:13" ht="15" customHeight="1">
      <c r="B91" s="258"/>
      <c r="C91" s="2324" t="s">
        <v>279</v>
      </c>
      <c r="D91" s="2325"/>
      <c r="E91" s="2326"/>
      <c r="F91" s="2324" t="s">
        <v>280</v>
      </c>
      <c r="G91" s="2325"/>
      <c r="H91" s="2325"/>
    </row>
    <row r="92" spans="2:13" ht="28.5" customHeight="1">
      <c r="B92" s="150" t="s">
        <v>361</v>
      </c>
      <c r="C92" s="249" t="s">
        <v>364</v>
      </c>
      <c r="D92" s="13" t="s">
        <v>365</v>
      </c>
      <c r="E92" s="252" t="s">
        <v>366</v>
      </c>
      <c r="F92" s="249" t="s">
        <v>364</v>
      </c>
      <c r="G92" s="13" t="s">
        <v>365</v>
      </c>
      <c r="H92" s="13" t="s">
        <v>366</v>
      </c>
    </row>
    <row r="93" spans="2:13" ht="15" customHeight="1">
      <c r="B93" s="157" t="s">
        <v>362</v>
      </c>
      <c r="C93" s="250" t="e">
        <f>LOOKUP(C95,Hypothèses!$C$58:$C$82)</f>
        <v>#N/A</v>
      </c>
      <c r="D93" s="248" t="e">
        <f>LOOKUP(C93,Hypothèses!$C$58:$C$82,Hypothèses!$D$58:$D$82)</f>
        <v>#N/A</v>
      </c>
      <c r="E93" s="253" t="e">
        <f>D93/'3c. Calculateur MEÉ 2-3-4'!$G$32</f>
        <v>#N/A</v>
      </c>
      <c r="F93" s="250" t="e">
        <f>LOOKUP(F95,Hypothèses!$C$58:$C$82)</f>
        <v>#N/A</v>
      </c>
      <c r="G93" s="248" t="e">
        <f>LOOKUP(F93,Hypothèses!$C$58:$C$82,Hypothèses!$D$58:$D$82)</f>
        <v>#N/A</v>
      </c>
      <c r="H93" s="248" t="e">
        <f>G93/'3c. Calculateur MEÉ 2-3-4'!$I$32</f>
        <v>#N/A</v>
      </c>
      <c r="I93" s="260"/>
    </row>
    <row r="94" spans="2:13" ht="15" customHeight="1">
      <c r="B94" s="157" t="s">
        <v>363</v>
      </c>
      <c r="C94" s="250" t="e">
        <f>IF((C93-C95)=0,C95,INDEX(Hypothèses!$C$58:$C$82,RANK(LOOKUP(C95,Hypothèses!$C$58:$C$82),Hypothèses!$C$58:$C$82,1)+1))</f>
        <v>#N/A</v>
      </c>
      <c r="D94" s="248" t="e">
        <f>LOOKUP(C94,Hypothèses!$C$58:$C$82,Hypothèses!$D$58:$D$82)</f>
        <v>#N/A</v>
      </c>
      <c r="E94" s="253" t="e">
        <f>D94/'3c. Calculateur MEÉ 2-3-4'!$G$32</f>
        <v>#N/A</v>
      </c>
      <c r="F94" s="250" t="e">
        <f>IF((F93-F95)=0,F95,INDEX(Hypothèses!$C$58:$C$82,RANK(LOOKUP(F95,Hypothèses!$C$58:$C$82),Hypothèses!$C$58:$C$82,1)+1))</f>
        <v>#N/A</v>
      </c>
      <c r="G94" s="248" t="e">
        <f>LOOKUP(F94,Hypothèses!$C$58:$C$82,Hypothèses!$D$58:$D$82)</f>
        <v>#N/A</v>
      </c>
      <c r="H94" s="248" t="e">
        <f>G94/'3c. Calculateur MEÉ 2-3-4'!$I$32</f>
        <v>#N/A</v>
      </c>
    </row>
    <row r="95" spans="2:13" ht="15" customHeight="1" thickBot="1">
      <c r="B95" s="157" t="s">
        <v>95</v>
      </c>
      <c r="C95" s="257">
        <f>'3c. Calculateur MEÉ 2-3-4'!$G$27</f>
        <v>0</v>
      </c>
      <c r="D95" s="255" t="e">
        <f>LOOKUP(C95,Hypothèses!$C$58:$C$82,Hypothèses!$D$58:$D$82)</f>
        <v>#N/A</v>
      </c>
      <c r="E95" s="256" t="e">
        <f>D95/'3c. Calculateur MEÉ 2-3-4'!$G$32</f>
        <v>#N/A</v>
      </c>
      <c r="F95" s="257">
        <f>'3c. Calculateur MEÉ 2-3-4'!$I$27</f>
        <v>0</v>
      </c>
      <c r="G95" s="255" t="e">
        <f>LOOKUP(F95,Hypothèses!$C$58:$C$82,Hypothèses!$D$58:$D$82)</f>
        <v>#N/A</v>
      </c>
      <c r="H95" s="259" t="e">
        <f>G95/'3c. Calculateur MEÉ 2-3-4'!$I$32</f>
        <v>#N/A</v>
      </c>
    </row>
    <row r="96" spans="2:13" ht="15" customHeight="1" thickTop="1">
      <c r="B96" s="258"/>
      <c r="C96" s="2321" t="s">
        <v>281</v>
      </c>
      <c r="D96" s="2322"/>
      <c r="E96" s="2323"/>
      <c r="F96" s="2321" t="s">
        <v>282</v>
      </c>
      <c r="G96" s="2322"/>
      <c r="H96" s="2322"/>
    </row>
    <row r="97" spans="2:12" ht="28.5" customHeight="1">
      <c r="B97" s="150" t="s">
        <v>361</v>
      </c>
      <c r="C97" s="249" t="s">
        <v>364</v>
      </c>
      <c r="D97" s="13" t="s">
        <v>365</v>
      </c>
      <c r="E97" s="252" t="s">
        <v>366</v>
      </c>
      <c r="F97" s="249" t="s">
        <v>364</v>
      </c>
      <c r="G97" s="13" t="s">
        <v>365</v>
      </c>
      <c r="H97" s="13" t="s">
        <v>366</v>
      </c>
    </row>
    <row r="98" spans="2:12" ht="15" customHeight="1">
      <c r="B98" s="157" t="s">
        <v>362</v>
      </c>
      <c r="C98" s="250" t="e">
        <f>LOOKUP(C100,Hypothèses!$C$58:$C$82)</f>
        <v>#N/A</v>
      </c>
      <c r="D98" s="248" t="e">
        <f>LOOKUP(C98,Hypothèses!$C$58:$C$82,Hypothèses!$D$58:$D$82)</f>
        <v>#N/A</v>
      </c>
      <c r="E98" s="253" t="e">
        <f>D98/'3c. Calculateur MEÉ 2-3-4'!$K$32</f>
        <v>#N/A</v>
      </c>
      <c r="F98" s="250" t="e">
        <f>LOOKUP(F100,Hypothèses!$C$58:$C$82)</f>
        <v>#N/A</v>
      </c>
      <c r="G98" s="248" t="e">
        <f>LOOKUP(F98,Hypothèses!$C$58:$C$82,Hypothèses!$D$58:$D$82)</f>
        <v>#N/A</v>
      </c>
      <c r="H98" s="327" t="e">
        <f>G98/'3c. Calculateur MEÉ 2-3-4'!$M$32</f>
        <v>#N/A</v>
      </c>
    </row>
    <row r="99" spans="2:12" ht="15" customHeight="1">
      <c r="B99" s="157" t="s">
        <v>363</v>
      </c>
      <c r="C99" s="250" t="e">
        <f>IF((C98-C100)=0,C100,INDEX(Hypothèses!$C$58:$C$82,RANK(LOOKUP(C100,Hypothèses!$C$58:$C$82),Hypothèses!$C$58:$C$82,1)+1))</f>
        <v>#N/A</v>
      </c>
      <c r="D99" s="248" t="e">
        <f>LOOKUP(C99,Hypothèses!$C$58:$C$82,Hypothèses!$D$58:$D$82)</f>
        <v>#N/A</v>
      </c>
      <c r="E99" s="253" t="e">
        <f>D99/'3c. Calculateur MEÉ 2-3-4'!$K$32</f>
        <v>#N/A</v>
      </c>
      <c r="F99" s="250" t="e">
        <f>IF((F98-F100)=0,F100,INDEX(Hypothèses!$C$58:$C$82,RANK(LOOKUP(F100,Hypothèses!$C$58:$C$82),Hypothèses!$C$58:$C$82,1)+1))</f>
        <v>#N/A</v>
      </c>
      <c r="G99" s="248" t="e">
        <f>LOOKUP(F99,Hypothèses!$C$58:$C$82,Hypothèses!$D$58:$D$82)</f>
        <v>#N/A</v>
      </c>
      <c r="H99" s="248" t="e">
        <f>G99/'3c. Calculateur MEÉ 2-3-4'!$M$32</f>
        <v>#N/A</v>
      </c>
    </row>
    <row r="100" spans="2:12" ht="15" customHeight="1">
      <c r="B100" s="157" t="s">
        <v>95</v>
      </c>
      <c r="C100" s="250">
        <f>'3c. Calculateur MEÉ 2-3-4'!$K$27</f>
        <v>0</v>
      </c>
      <c r="D100" s="248" t="e">
        <f>LOOKUP(C100,Hypothèses!$C$58:$C$82,Hypothèses!$D$58:$D$82)</f>
        <v>#N/A</v>
      </c>
      <c r="E100" s="254" t="e">
        <f>D100/'3c. Calculateur MEÉ 2-3-4'!$K$32</f>
        <v>#N/A</v>
      </c>
      <c r="F100" s="250">
        <f>'3c. Calculateur MEÉ 2-3-4'!$M$27</f>
        <v>0</v>
      </c>
      <c r="G100" s="248" t="e">
        <f>LOOKUP(F100,Hypothèses!$C$58:$C$82,Hypothèses!$D$58:$D$82)</f>
        <v>#N/A</v>
      </c>
      <c r="H100" s="251" t="e">
        <f>G100/'3c. Calculateur MEÉ 2-3-4'!$M$32</f>
        <v>#N/A</v>
      </c>
    </row>
    <row r="101" spans="2:12" ht="15" customHeight="1">
      <c r="B101" s="158"/>
      <c r="C101" s="159"/>
      <c r="D101" s="159"/>
      <c r="E101" s="159"/>
      <c r="F101" s="159"/>
    </row>
    <row r="102" spans="2:12" ht="15" customHeight="1">
      <c r="B102" s="165"/>
      <c r="C102" s="166" t="s">
        <v>46</v>
      </c>
      <c r="D102" s="166" t="s">
        <v>1</v>
      </c>
      <c r="E102" s="166" t="s">
        <v>2</v>
      </c>
      <c r="F102" s="166" t="s">
        <v>3</v>
      </c>
      <c r="G102" s="166" t="s">
        <v>4</v>
      </c>
      <c r="H102" s="165" t="s">
        <v>47</v>
      </c>
    </row>
    <row r="103" spans="2:12" ht="15" customHeight="1">
      <c r="B103" s="4"/>
      <c r="C103" s="161"/>
      <c r="D103" s="161"/>
      <c r="E103" s="161"/>
      <c r="F103" s="161"/>
      <c r="G103" s="161"/>
      <c r="H103" s="4"/>
    </row>
    <row r="104" spans="2:12" ht="15" customHeight="1">
      <c r="B104" s="165" t="s">
        <v>100</v>
      </c>
      <c r="C104" s="167"/>
      <c r="D104" s="167"/>
      <c r="E104" s="167"/>
      <c r="F104" s="167"/>
      <c r="G104" s="167"/>
      <c r="H104" s="167"/>
    </row>
    <row r="105" spans="2:12" ht="18">
      <c r="B105" s="167" t="s">
        <v>101</v>
      </c>
      <c r="C105" s="168"/>
      <c r="D105" s="173">
        <f>D63</f>
        <v>0</v>
      </c>
      <c r="E105" s="173">
        <f>E63</f>
        <v>0</v>
      </c>
      <c r="F105" s="173">
        <f>F63</f>
        <v>0</v>
      </c>
      <c r="G105" s="173">
        <f>G63</f>
        <v>0</v>
      </c>
      <c r="H105" s="184" t="s">
        <v>5</v>
      </c>
      <c r="J105" s="140"/>
    </row>
    <row r="106" spans="2:12" ht="18">
      <c r="B106" s="167" t="s">
        <v>102</v>
      </c>
      <c r="C106" s="168"/>
      <c r="D106" s="170">
        <f>D48</f>
        <v>0</v>
      </c>
      <c r="E106" s="170">
        <f>E48</f>
        <v>0</v>
      </c>
      <c r="F106" s="170">
        <f>F48</f>
        <v>0</v>
      </c>
      <c r="G106" s="170">
        <f>G48</f>
        <v>0</v>
      </c>
      <c r="H106" s="184" t="s">
        <v>5</v>
      </c>
      <c r="J106" s="140"/>
      <c r="L106" s="139"/>
    </row>
    <row r="107" spans="2:12" ht="18">
      <c r="B107" s="167" t="s">
        <v>103</v>
      </c>
      <c r="C107" s="168"/>
      <c r="D107" s="170">
        <f>D56</f>
        <v>0</v>
      </c>
      <c r="E107" s="170">
        <f>E56</f>
        <v>0</v>
      </c>
      <c r="F107" s="170">
        <f>F56</f>
        <v>0</v>
      </c>
      <c r="G107" s="170">
        <f>G56</f>
        <v>0</v>
      </c>
      <c r="H107" s="184" t="s">
        <v>5</v>
      </c>
      <c r="J107" s="140"/>
      <c r="L107" s="139"/>
    </row>
    <row r="108" spans="2:12" ht="18">
      <c r="B108" s="167" t="s">
        <v>104</v>
      </c>
      <c r="C108" s="168"/>
      <c r="D108" s="173">
        <f>D39</f>
        <v>0</v>
      </c>
      <c r="E108" s="173">
        <f>E39</f>
        <v>0</v>
      </c>
      <c r="F108" s="173">
        <f>F39</f>
        <v>0</v>
      </c>
      <c r="G108" s="173">
        <f>G39</f>
        <v>0</v>
      </c>
      <c r="H108" s="184" t="s">
        <v>5</v>
      </c>
      <c r="J108" s="140"/>
      <c r="L108" s="139"/>
    </row>
    <row r="109" spans="2:12" ht="18">
      <c r="B109" s="165" t="s">
        <v>105</v>
      </c>
      <c r="C109" s="168"/>
      <c r="D109" s="185">
        <f>D105+D106+D107-D108</f>
        <v>0</v>
      </c>
      <c r="E109" s="185">
        <f t="shared" ref="E109:G109" si="7">E105+E106+E107-E108</f>
        <v>0</v>
      </c>
      <c r="F109" s="185">
        <f t="shared" si="7"/>
        <v>0</v>
      </c>
      <c r="G109" s="185">
        <f t="shared" si="7"/>
        <v>0</v>
      </c>
      <c r="H109" s="184" t="s">
        <v>5</v>
      </c>
      <c r="I109" s="148" t="s">
        <v>106</v>
      </c>
    </row>
    <row r="110" spans="2:12">
      <c r="B110" s="165"/>
      <c r="C110" s="168"/>
      <c r="D110" s="173">
        <f>ROUND(D109*'Facteurs conversion'!$C$10,2)</f>
        <v>0</v>
      </c>
      <c r="E110" s="173">
        <f>ROUND(E109*'Facteurs conversion'!$C$10,2)</f>
        <v>0</v>
      </c>
      <c r="F110" s="173">
        <f>ROUND(F109*'Facteurs conversion'!$C$10,2)</f>
        <v>0</v>
      </c>
      <c r="G110" s="173">
        <f>ROUND(G109*'Facteurs conversion'!$C$10,2)</f>
        <v>0</v>
      </c>
      <c r="H110" s="184" t="s">
        <v>10</v>
      </c>
    </row>
    <row r="111" spans="2:12" ht="18">
      <c r="B111" s="165" t="s">
        <v>107</v>
      </c>
      <c r="C111" s="168"/>
      <c r="D111" s="233">
        <f>D109/D89</f>
        <v>0</v>
      </c>
      <c r="E111" s="185">
        <f t="shared" ref="E111:G111" si="8">E109/E89</f>
        <v>0</v>
      </c>
      <c r="F111" s="185">
        <f t="shared" si="8"/>
        <v>0</v>
      </c>
      <c r="G111" s="185">
        <f t="shared" si="8"/>
        <v>0</v>
      </c>
      <c r="H111" s="184" t="s">
        <v>5</v>
      </c>
    </row>
    <row r="112" spans="2:12">
      <c r="B112" s="165"/>
      <c r="C112" s="168"/>
      <c r="D112" s="170">
        <f>D111*'Facteurs conversion'!$C$10</f>
        <v>0</v>
      </c>
      <c r="E112" s="170">
        <f>E111*'Facteurs conversion'!$C$10</f>
        <v>0</v>
      </c>
      <c r="F112" s="170">
        <f>F111*'Facteurs conversion'!$C$10</f>
        <v>0</v>
      </c>
      <c r="G112" s="170">
        <f>G111*'Facteurs conversion'!$C$10</f>
        <v>0</v>
      </c>
      <c r="H112" s="184" t="s">
        <v>10</v>
      </c>
    </row>
    <row r="113" spans="2:12">
      <c r="B113" s="165"/>
      <c r="C113" s="168"/>
      <c r="D113" s="170">
        <f>D112*10^6/'Facteurs conversion'!$C$11</f>
        <v>0</v>
      </c>
      <c r="E113" s="170">
        <f>E112*10^6/'Facteurs conversion'!$C$11</f>
        <v>0</v>
      </c>
      <c r="F113" s="170">
        <f>F112*10^6/'Facteurs conversion'!$C$11</f>
        <v>0</v>
      </c>
      <c r="G113" s="170">
        <f>G112*10^6/'Facteurs conversion'!$C$11</f>
        <v>0</v>
      </c>
      <c r="H113" s="184" t="s">
        <v>109</v>
      </c>
    </row>
    <row r="114" spans="2:12">
      <c r="B114" s="4"/>
      <c r="C114" s="143"/>
      <c r="D114" s="276"/>
      <c r="E114" s="2"/>
      <c r="F114" s="2"/>
      <c r="G114" s="2"/>
      <c r="H114" s="2"/>
    </row>
    <row r="115" spans="2:12">
      <c r="B115" s="5" t="s">
        <v>380</v>
      </c>
    </row>
    <row r="116" spans="2:12">
      <c r="B116" s="5" t="s">
        <v>381</v>
      </c>
      <c r="C116" s="145"/>
      <c r="D116" s="6"/>
      <c r="E116" s="6"/>
      <c r="F116" s="6"/>
      <c r="G116" s="6"/>
      <c r="H116" s="6"/>
      <c r="I116" s="6"/>
      <c r="J116" s="6"/>
      <c r="K116" s="6"/>
      <c r="L116" s="6"/>
    </row>
    <row r="117" spans="2:12">
      <c r="C117"/>
    </row>
    <row r="118" spans="2:12">
      <c r="B118" s="175" t="s">
        <v>376</v>
      </c>
      <c r="C118" s="168"/>
      <c r="D118" s="223">
        <f>D113</f>
        <v>0</v>
      </c>
      <c r="E118" s="223">
        <f t="shared" ref="E118:G118" si="9">E113</f>
        <v>0</v>
      </c>
      <c r="F118" s="223">
        <f t="shared" si="9"/>
        <v>0</v>
      </c>
      <c r="G118" s="223">
        <f t="shared" si="9"/>
        <v>0</v>
      </c>
      <c r="H118" s="184" t="s">
        <v>109</v>
      </c>
    </row>
    <row r="119" spans="2:12">
      <c r="B119" s="175"/>
      <c r="C119" s="168"/>
      <c r="D119" s="223">
        <f>ROUND(D118/(8.31451*(273.15+'3c. Calculateur MEÉ 2-3-4'!$G$40)/101325),1)</f>
        <v>0</v>
      </c>
      <c r="E119" s="223">
        <f>ROUND(E118/(8.31451*(273.15+'3c. Calculateur MEÉ 2-3-4'!$I$40)/101325),1)</f>
        <v>0</v>
      </c>
      <c r="F119" s="223">
        <f>ROUND(F118/(8.31451*(273.15+'3c. Calculateur MEÉ 2-3-4'!$K$40)/101325),1)</f>
        <v>0</v>
      </c>
      <c r="G119" s="223">
        <f>ROUND(G118/(8.31451*(273.15+'3c. Calculateur MEÉ 2-3-4'!$M$40)/101325),1)</f>
        <v>0</v>
      </c>
      <c r="H119" s="184" t="s">
        <v>113</v>
      </c>
      <c r="I119" s="148" t="s">
        <v>114</v>
      </c>
      <c r="J119" s="2"/>
    </row>
    <row r="120" spans="2:12">
      <c r="B120" s="135"/>
      <c r="C120" s="144"/>
      <c r="I120" s="1"/>
    </row>
    <row r="121" spans="2:12">
      <c r="C121" s="2380" t="s">
        <v>115</v>
      </c>
      <c r="D121" s="2381"/>
      <c r="E121" s="2381"/>
      <c r="F121" s="2382"/>
      <c r="G121" s="2381" t="s">
        <v>127</v>
      </c>
      <c r="H121" s="2381"/>
      <c r="I121" s="2381"/>
      <c r="J121" s="2383"/>
    </row>
    <row r="122" spans="2:12" ht="30">
      <c r="B122" s="150" t="s">
        <v>116</v>
      </c>
      <c r="C122" s="13" t="s">
        <v>117</v>
      </c>
      <c r="D122" s="9" t="s">
        <v>118</v>
      </c>
      <c r="E122" s="9" t="s">
        <v>119</v>
      </c>
      <c r="F122" s="284" t="s">
        <v>120</v>
      </c>
      <c r="G122" s="249" t="s">
        <v>117</v>
      </c>
      <c r="H122" s="9" t="s">
        <v>118</v>
      </c>
      <c r="I122" s="9" t="s">
        <v>119</v>
      </c>
      <c r="J122" s="9" t="s">
        <v>120</v>
      </c>
    </row>
    <row r="123" spans="2:12" ht="15" customHeight="1">
      <c r="B123" s="136" t="s">
        <v>121</v>
      </c>
      <c r="C123" s="21">
        <v>44.009500000000003</v>
      </c>
      <c r="D123" s="137">
        <f>IF(D12=1,'Combustion_Chaud1 (Micro)'!$L$78,Combustion_Chaud1!$L$78)*$D$119</f>
        <v>0</v>
      </c>
      <c r="E123" s="137">
        <f>ROUND(D123*C123/('Facteurs conversion'!$C$12*1000),1)</f>
        <v>0</v>
      </c>
      <c r="F123" s="285">
        <f>ROUND(D123*C123/1000,1)</f>
        <v>0</v>
      </c>
      <c r="G123" s="21">
        <v>44.009500000000003</v>
      </c>
      <c r="H123" s="137">
        <f>IF(E12=1,'Combustion_Chaud2 (Micro)'!$L$78,Combustion_Chaud2!$L$78)*$E$119</f>
        <v>0</v>
      </c>
      <c r="I123" s="137">
        <f>ROUND(H123*G123/('Facteurs conversion'!$C$12*1000),1)</f>
        <v>0</v>
      </c>
      <c r="J123" s="137">
        <f>ROUND(H123*G123/1000,1)</f>
        <v>0</v>
      </c>
    </row>
    <row r="124" spans="2:12" ht="15" customHeight="1">
      <c r="B124" s="136" t="s">
        <v>122</v>
      </c>
      <c r="C124" s="21">
        <v>18.015280000000001</v>
      </c>
      <c r="D124" s="137">
        <f>IF(D12=1,'Combustion_Chaud1 (Micro)'!$L$81,Combustion_Chaud1!$L$81)*$D$119</f>
        <v>0</v>
      </c>
      <c r="E124" s="137">
        <f>ROUND(D124*C124/('Facteurs conversion'!$C$12*1000),1)</f>
        <v>0</v>
      </c>
      <c r="F124" s="285">
        <f>ROUND(D124*C124/1000,1)</f>
        <v>0</v>
      </c>
      <c r="G124" s="21">
        <v>18.015280000000001</v>
      </c>
      <c r="H124" s="137">
        <f>IF(E12=1,'Combustion_Chaud2 (Micro)'!$L$81,Combustion_Chaud2!$L$81)*$E$119</f>
        <v>0</v>
      </c>
      <c r="I124" s="137">
        <f>ROUND(H124*G124/('Facteurs conversion'!$C$12*1000),1)</f>
        <v>0</v>
      </c>
      <c r="J124" s="137">
        <f>ROUND(H124*G124/1000,1)</f>
        <v>0</v>
      </c>
    </row>
    <row r="125" spans="2:12" ht="15" customHeight="1">
      <c r="B125" s="136" t="s">
        <v>123</v>
      </c>
      <c r="C125" s="21">
        <v>31.998799999999999</v>
      </c>
      <c r="D125" s="137">
        <f>IF(D12=1,'Combustion_Chaud1 (Micro)'!$L$79,Combustion_Chaud1!$L$79)*$D$119</f>
        <v>0</v>
      </c>
      <c r="E125" s="137">
        <f>ROUND(D125*C125/('Facteurs conversion'!$C$12*1000),1)</f>
        <v>0</v>
      </c>
      <c r="F125" s="285">
        <f>ROUND(D125*C125/1000,1)</f>
        <v>0</v>
      </c>
      <c r="G125" s="21">
        <v>31.998799999999999</v>
      </c>
      <c r="H125" s="137">
        <f>IF(E12=1,'Combustion_Chaud2 (Micro)'!$L$79,Combustion_Chaud2!$L$79)*$E$119</f>
        <v>0</v>
      </c>
      <c r="I125" s="137">
        <f>ROUND(H125*G125/('Facteurs conversion'!$C$12*1000),1)</f>
        <v>0</v>
      </c>
      <c r="J125" s="137">
        <f>ROUND(H125*G125/1000,1)</f>
        <v>0</v>
      </c>
    </row>
    <row r="126" spans="2:12" ht="15" customHeight="1">
      <c r="B126" s="136" t="s">
        <v>124</v>
      </c>
      <c r="C126" s="21">
        <v>28.013400000000001</v>
      </c>
      <c r="D126" s="137">
        <f>IF(D12=1,'Combustion_Chaud1 (Micro)'!$L$77,Combustion_Chaud1!$L$77)*$D$119</f>
        <v>0</v>
      </c>
      <c r="E126" s="137">
        <f>ROUND(D126*C126/('Facteurs conversion'!$C$12*1000),1)</f>
        <v>0</v>
      </c>
      <c r="F126" s="285">
        <f>ROUND(D126*C126/1000,1)</f>
        <v>0</v>
      </c>
      <c r="G126" s="21">
        <v>28.013400000000001</v>
      </c>
      <c r="H126" s="137">
        <f>IF(E12=1,'Combustion_Chaud2 (Micro)'!$L$77,Combustion_Chaud2!$L$77)*$E$119</f>
        <v>0</v>
      </c>
      <c r="I126" s="137">
        <f>ROUND(H126*G126/('Facteurs conversion'!$C$12*1000),1)</f>
        <v>0</v>
      </c>
      <c r="J126" s="137">
        <f>ROUND(H126*G126/1000,1)</f>
        <v>0</v>
      </c>
    </row>
    <row r="127" spans="2:12" ht="15" customHeight="1">
      <c r="B127" s="152" t="s">
        <v>125</v>
      </c>
      <c r="C127" s="11"/>
      <c r="D127" s="137">
        <f>SUM(D123:D126)</f>
        <v>0</v>
      </c>
      <c r="E127" s="137">
        <f>SUM(E123:E126)</f>
        <v>0</v>
      </c>
      <c r="F127" s="286">
        <f>SUM(F123:F126)</f>
        <v>0</v>
      </c>
      <c r="G127" s="283"/>
      <c r="H127" s="137">
        <f>SUM(H123:H126)</f>
        <v>0</v>
      </c>
      <c r="I127" s="137">
        <f>SUM(I123:I126)</f>
        <v>0</v>
      </c>
      <c r="J127" s="138">
        <f>SUM(J123:J126)</f>
        <v>0</v>
      </c>
    </row>
    <row r="128" spans="2:12" ht="15" customHeight="1" thickBot="1">
      <c r="B128" s="152" t="s">
        <v>126</v>
      </c>
      <c r="C128" s="326"/>
      <c r="D128" s="422">
        <f>SUM(D123,D125:D126)</f>
        <v>0</v>
      </c>
      <c r="E128" s="422">
        <f>SUM(E123,E125:E126)</f>
        <v>0</v>
      </c>
      <c r="F128" s="423">
        <f>SUM(F123,F125:F126)</f>
        <v>0</v>
      </c>
      <c r="G128" s="290"/>
      <c r="H128" s="288">
        <f>SUM(H123,H125:H126)</f>
        <v>0</v>
      </c>
      <c r="I128" s="288">
        <f>SUM(I123,I125:I126)</f>
        <v>0</v>
      </c>
      <c r="J128" s="291">
        <f>SUM(J123,J125:J126)</f>
        <v>0</v>
      </c>
    </row>
    <row r="129" spans="2:12" ht="15" customHeight="1" thickTop="1">
      <c r="C129" s="2397" t="s">
        <v>128</v>
      </c>
      <c r="D129" s="2389"/>
      <c r="E129" s="2389"/>
      <c r="F129" s="2398"/>
      <c r="G129" s="2388" t="s">
        <v>129</v>
      </c>
      <c r="H129" s="2389"/>
      <c r="I129" s="2389"/>
      <c r="J129" s="2390"/>
    </row>
    <row r="130" spans="2:12" ht="15" customHeight="1">
      <c r="B130" s="150" t="s">
        <v>116</v>
      </c>
      <c r="C130" s="13" t="s">
        <v>117</v>
      </c>
      <c r="D130" s="9" t="s">
        <v>118</v>
      </c>
      <c r="E130" s="9" t="s">
        <v>119</v>
      </c>
      <c r="F130" s="284" t="s">
        <v>120</v>
      </c>
      <c r="G130" s="249" t="s">
        <v>117</v>
      </c>
      <c r="H130" s="9" t="s">
        <v>118</v>
      </c>
      <c r="I130" s="9" t="s">
        <v>119</v>
      </c>
      <c r="J130" s="9" t="s">
        <v>120</v>
      </c>
    </row>
    <row r="131" spans="2:12" ht="15" customHeight="1">
      <c r="B131" s="136" t="s">
        <v>121</v>
      </c>
      <c r="C131" s="21">
        <v>44.009500000000003</v>
      </c>
      <c r="D131" s="137">
        <f>IF(F12=1,'Combustion_Chaud3 (Micro)'!$L$78,Combustion_Chaud3!$L$78)*$F$119</f>
        <v>0</v>
      </c>
      <c r="E131" s="137">
        <f>ROUND(D131*C131/('Facteurs conversion'!$C$12*1000),1)</f>
        <v>0</v>
      </c>
      <c r="F131" s="285">
        <f>ROUND(D131*C131/1000,1)</f>
        <v>0</v>
      </c>
      <c r="G131" s="21">
        <v>44.009500000000003</v>
      </c>
      <c r="H131" s="137">
        <f>IF(G12=1,'Combustion_Chaud4 (Micro)'!$L$78,Combustion_Chaud4!$L$78)*$G$119</f>
        <v>0</v>
      </c>
      <c r="I131" s="137">
        <f>ROUND(H131*G131/('Facteurs conversion'!$C$12*1000),1)</f>
        <v>0</v>
      </c>
      <c r="J131" s="137">
        <f>ROUND(H131*G131/1000,1)</f>
        <v>0</v>
      </c>
    </row>
    <row r="132" spans="2:12" ht="15" customHeight="1">
      <c r="B132" s="136" t="s">
        <v>122</v>
      </c>
      <c r="C132" s="21">
        <v>18.015280000000001</v>
      </c>
      <c r="D132" s="137">
        <f>IF(F12=1,'Combustion_Chaud3 (Micro)'!$L$81,Combustion_Chaud3!$L$81)*$F$119</f>
        <v>0</v>
      </c>
      <c r="E132" s="137">
        <f>ROUND(D132*C132/('Facteurs conversion'!$C$12*1000),1)</f>
        <v>0</v>
      </c>
      <c r="F132" s="285">
        <f>ROUND(D132*C132/1000,1)</f>
        <v>0</v>
      </c>
      <c r="G132" s="21">
        <v>18.015280000000001</v>
      </c>
      <c r="H132" s="137">
        <f>IF(G12=1,'Combustion_Chaud4 (Micro)'!$L$81,Combustion_Chaud4!$L$81)*$G$119</f>
        <v>0</v>
      </c>
      <c r="I132" s="137">
        <f>ROUND(H132*G132/('Facteurs conversion'!$C$12*1000),1)</f>
        <v>0</v>
      </c>
      <c r="J132" s="137">
        <f>ROUND(H132*G132/1000,1)</f>
        <v>0</v>
      </c>
    </row>
    <row r="133" spans="2:12" ht="15" customHeight="1">
      <c r="B133" s="136" t="s">
        <v>123</v>
      </c>
      <c r="C133" s="21">
        <v>31.998799999999999</v>
      </c>
      <c r="D133" s="137">
        <f>IF(F12=1,'Combustion_Chaud3 (Micro)'!$L$79,Combustion_Chaud3!$L$79)*$F$119</f>
        <v>0</v>
      </c>
      <c r="E133" s="137">
        <f>ROUND(D133*C133/('Facteurs conversion'!$C$12*1000),1)</f>
        <v>0</v>
      </c>
      <c r="F133" s="285">
        <f>ROUND(D133*C133/1000,1)</f>
        <v>0</v>
      </c>
      <c r="G133" s="21">
        <v>31.998799999999999</v>
      </c>
      <c r="H133" s="137">
        <f>IF(G12=1,'Combustion_Chaud4 (Micro)'!$L$79,Combustion_Chaud4!$L$79)*$G$119</f>
        <v>0</v>
      </c>
      <c r="I133" s="137">
        <f>ROUND(H133*G133/('Facteurs conversion'!$C$12*1000),1)</f>
        <v>0</v>
      </c>
      <c r="J133" s="137">
        <f>ROUND(H133*G133/1000,1)</f>
        <v>0</v>
      </c>
    </row>
    <row r="134" spans="2:12" ht="15" customHeight="1">
      <c r="B134" s="136" t="s">
        <v>124</v>
      </c>
      <c r="C134" s="21">
        <v>28.013400000000001</v>
      </c>
      <c r="D134" s="137">
        <f>IF(F12=1,'Combustion_Chaud3 (Micro)'!$L$77,Combustion_Chaud3!$L$77)*$F$119</f>
        <v>0</v>
      </c>
      <c r="E134" s="137">
        <f>ROUND(D134*C134/('Facteurs conversion'!$C$12*1000),1)</f>
        <v>0</v>
      </c>
      <c r="F134" s="285">
        <f>ROUND(D134*C134/1000,1)</f>
        <v>0</v>
      </c>
      <c r="G134" s="21">
        <v>28.013400000000001</v>
      </c>
      <c r="H134" s="137">
        <f>IF(G12=1,'Combustion_Chaud4 (Micro)'!$L$77,Combustion_Chaud4!$L$77)*$G$119</f>
        <v>0</v>
      </c>
      <c r="I134" s="137">
        <f>ROUND(H134*G134/('Facteurs conversion'!$C$12*1000),1)</f>
        <v>0</v>
      </c>
      <c r="J134" s="137">
        <f>ROUND(H134*G134/1000,1)</f>
        <v>0</v>
      </c>
    </row>
    <row r="135" spans="2:12" ht="15" customHeight="1">
      <c r="B135" s="152" t="s">
        <v>125</v>
      </c>
      <c r="C135" s="11"/>
      <c r="D135" s="137">
        <f>SUM(D131:D134)</f>
        <v>0</v>
      </c>
      <c r="E135" s="137">
        <f>SUM(E131:E134)</f>
        <v>0</v>
      </c>
      <c r="F135" s="286">
        <f>SUM(F131:F134)</f>
        <v>0</v>
      </c>
      <c r="G135" s="283"/>
      <c r="H135" s="137">
        <f>SUM(H131:H134)</f>
        <v>0</v>
      </c>
      <c r="I135" s="137">
        <f>SUM(I131:I134)</f>
        <v>0</v>
      </c>
      <c r="J135" s="138">
        <f>SUM(J131:J134)</f>
        <v>0</v>
      </c>
    </row>
    <row r="136" spans="2:12" ht="15" customHeight="1">
      <c r="B136" s="152" t="s">
        <v>126</v>
      </c>
      <c r="C136" s="11"/>
      <c r="D136" s="137">
        <f>SUM(D131,D133:D134)</f>
        <v>0</v>
      </c>
      <c r="E136" s="137">
        <f>SUM(E131,E133:E134)</f>
        <v>0</v>
      </c>
      <c r="F136" s="286">
        <f>SUM(F131,F133:F134)</f>
        <v>0</v>
      </c>
      <c r="G136" s="283"/>
      <c r="H136" s="137">
        <f>SUM(H131,H133:H134)</f>
        <v>0</v>
      </c>
      <c r="I136" s="137">
        <f>SUM(I131,I133:I134)</f>
        <v>0</v>
      </c>
      <c r="J136" s="138">
        <f>SUM(J131,J133:J134)</f>
        <v>0</v>
      </c>
    </row>
    <row r="137" spans="2:12" ht="15" customHeight="1">
      <c r="B137" s="186"/>
      <c r="D137" s="187"/>
      <c r="E137" s="187"/>
      <c r="F137" s="187"/>
    </row>
    <row r="138" spans="2:12">
      <c r="B138" s="5" t="s">
        <v>382</v>
      </c>
      <c r="C138" s="145"/>
      <c r="D138" s="6"/>
      <c r="E138" s="6"/>
      <c r="F138" s="6"/>
      <c r="G138" s="6"/>
      <c r="H138" s="6"/>
      <c r="I138" s="6"/>
      <c r="J138" s="6"/>
      <c r="K138" s="6"/>
      <c r="L138" s="6"/>
    </row>
    <row r="139" spans="2:12">
      <c r="C139"/>
    </row>
    <row r="140" spans="2:12">
      <c r="B140" s="188"/>
      <c r="C140" s="166" t="s">
        <v>46</v>
      </c>
      <c r="D140" s="166" t="s">
        <v>1</v>
      </c>
      <c r="E140" s="166" t="s">
        <v>2</v>
      </c>
      <c r="F140" s="166" t="s">
        <v>3</v>
      </c>
      <c r="G140" s="166" t="s">
        <v>4</v>
      </c>
      <c r="H140" s="165" t="s">
        <v>47</v>
      </c>
    </row>
    <row r="141" spans="2:12">
      <c r="B141" s="3"/>
      <c r="C141" s="161"/>
      <c r="D141" s="161"/>
      <c r="E141" s="161"/>
      <c r="F141" s="161"/>
      <c r="G141" s="161"/>
      <c r="H141" s="4"/>
    </row>
    <row r="142" spans="2:12">
      <c r="B142" s="171" t="s">
        <v>130</v>
      </c>
      <c r="C142" s="168"/>
      <c r="D142" s="189">
        <f>F128</f>
        <v>0</v>
      </c>
      <c r="E142" s="190">
        <f>J128</f>
        <v>0</v>
      </c>
      <c r="F142" s="190">
        <f>F136</f>
        <v>0</v>
      </c>
      <c r="G142" s="190">
        <f>J136</f>
        <v>0</v>
      </c>
      <c r="H142" s="167" t="s">
        <v>59</v>
      </c>
    </row>
    <row r="143" spans="2:12">
      <c r="B143" s="171" t="s">
        <v>131</v>
      </c>
      <c r="C143" s="168"/>
      <c r="D143" s="189">
        <f>F127</f>
        <v>0</v>
      </c>
      <c r="E143" s="190">
        <f>J127</f>
        <v>0</v>
      </c>
      <c r="F143" s="190">
        <f>F135</f>
        <v>0</v>
      </c>
      <c r="G143" s="190">
        <f>J135</f>
        <v>0</v>
      </c>
      <c r="H143" s="167" t="s">
        <v>59</v>
      </c>
    </row>
    <row r="144" spans="2:12">
      <c r="B144" s="171" t="s">
        <v>132</v>
      </c>
      <c r="C144" s="168"/>
      <c r="D144" s="190">
        <f>D143-D142</f>
        <v>0</v>
      </c>
      <c r="E144" s="190">
        <f>E143-E142</f>
        <v>0</v>
      </c>
      <c r="F144" s="190">
        <f>F143-F142</f>
        <v>0</v>
      </c>
      <c r="G144" s="190">
        <f>G143-G142</f>
        <v>0</v>
      </c>
      <c r="H144" s="167" t="s">
        <v>59</v>
      </c>
    </row>
    <row r="145" spans="2:20">
      <c r="B145" s="167"/>
      <c r="C145" s="168"/>
      <c r="D145" s="168"/>
      <c r="E145" s="168"/>
      <c r="F145" s="168"/>
      <c r="G145" s="168"/>
      <c r="H145" s="167"/>
    </row>
    <row r="146" spans="2:20">
      <c r="B146" s="445" t="s">
        <v>133</v>
      </c>
      <c r="C146" s="168">
        <v>1.0049999999999999</v>
      </c>
      <c r="D146" s="168"/>
      <c r="E146" s="168"/>
      <c r="F146" s="168"/>
      <c r="G146" s="168"/>
      <c r="H146" s="167" t="s">
        <v>134</v>
      </c>
    </row>
    <row r="147" spans="2:20">
      <c r="B147" s="445" t="s">
        <v>135</v>
      </c>
      <c r="C147" s="168">
        <v>1.86</v>
      </c>
      <c r="D147" s="168"/>
      <c r="E147" s="168"/>
      <c r="F147" s="168"/>
      <c r="G147" s="168"/>
      <c r="H147" s="167" t="s">
        <v>134</v>
      </c>
      <c r="K147" s="4"/>
      <c r="L147" s="4"/>
      <c r="N147" s="4"/>
      <c r="P147" s="4"/>
      <c r="Q147" s="4"/>
      <c r="R147" s="4"/>
      <c r="S147" s="4"/>
      <c r="T147" s="4"/>
    </row>
    <row r="148" spans="2:20">
      <c r="B148" s="167"/>
      <c r="C148" s="168"/>
      <c r="D148" s="168"/>
      <c r="E148" s="168"/>
      <c r="F148" s="168"/>
      <c r="G148" s="168"/>
      <c r="H148" s="167"/>
    </row>
    <row r="149" spans="2:20">
      <c r="B149" s="167" t="s">
        <v>136</v>
      </c>
      <c r="C149" s="168">
        <v>2501</v>
      </c>
      <c r="D149" s="168"/>
      <c r="E149" s="168"/>
      <c r="F149" s="168"/>
      <c r="G149" s="168"/>
      <c r="H149" s="167" t="s">
        <v>54</v>
      </c>
    </row>
    <row r="150" spans="2:20">
      <c r="B150" s="167"/>
      <c r="C150" s="168"/>
      <c r="D150" s="168"/>
      <c r="E150" s="168"/>
      <c r="F150" s="168"/>
      <c r="G150" s="168"/>
      <c r="H150" s="167"/>
    </row>
    <row r="151" spans="2:20">
      <c r="B151" s="167" t="s">
        <v>137</v>
      </c>
      <c r="C151" s="168"/>
      <c r="D151" s="191" t="e">
        <f>(D143-D142)/D142</f>
        <v>#DIV/0!</v>
      </c>
      <c r="E151" s="191" t="e">
        <f>(E143-E142)/E142</f>
        <v>#DIV/0!</v>
      </c>
      <c r="F151" s="191" t="e">
        <f>(F143-F142)/F142</f>
        <v>#DIV/0!</v>
      </c>
      <c r="G151" s="191" t="e">
        <f>(G143-G142)/G142</f>
        <v>#DIV/0!</v>
      </c>
      <c r="H151" s="167" t="s">
        <v>138</v>
      </c>
    </row>
    <row r="152" spans="2:20">
      <c r="B152" s="167" t="s">
        <v>139</v>
      </c>
      <c r="C152" s="168"/>
      <c r="D152" s="191" t="e">
        <f>((D143-D142)*(Hypothèses!$D$188))/D142</f>
        <v>#DIV/0!</v>
      </c>
      <c r="E152" s="191" t="e">
        <f>((E143-E142)*(Hypothèses!$D$188))/E142</f>
        <v>#DIV/0!</v>
      </c>
      <c r="F152" s="191" t="e">
        <f>((F143-F142)*(Hypothèses!$D$188))/F142</f>
        <v>#DIV/0!</v>
      </c>
      <c r="G152" s="191" t="e">
        <f>((G143-G142)*(Hypothèses!$D$188))/G142</f>
        <v>#DIV/0!</v>
      </c>
      <c r="H152" s="167" t="s">
        <v>138</v>
      </c>
      <c r="I152" s="1"/>
    </row>
    <row r="154" spans="2:20">
      <c r="B154" s="148" t="s">
        <v>140</v>
      </c>
    </row>
    <row r="155" spans="2:20">
      <c r="C155" s="2380" t="s">
        <v>115</v>
      </c>
      <c r="D155" s="2381"/>
      <c r="E155" s="2381"/>
      <c r="F155" s="2382"/>
      <c r="G155" s="2381" t="s">
        <v>127</v>
      </c>
      <c r="H155" s="2381"/>
      <c r="I155" s="2381"/>
      <c r="J155" s="2383"/>
    </row>
    <row r="156" spans="2:20" ht="60">
      <c r="B156" s="151" t="s">
        <v>141</v>
      </c>
      <c r="C156" s="9" t="s">
        <v>142</v>
      </c>
      <c r="D156" s="13" t="s">
        <v>143</v>
      </c>
      <c r="E156" s="13" t="s">
        <v>144</v>
      </c>
      <c r="F156" s="252" t="s">
        <v>145</v>
      </c>
      <c r="G156" s="274" t="s">
        <v>142</v>
      </c>
      <c r="H156" s="13" t="s">
        <v>143</v>
      </c>
      <c r="I156" s="13" t="s">
        <v>144</v>
      </c>
      <c r="J156" s="13" t="s">
        <v>145</v>
      </c>
    </row>
    <row r="157" spans="2:20">
      <c r="B157" s="14" t="s">
        <v>377</v>
      </c>
      <c r="C157" s="146"/>
      <c r="D157" s="15"/>
      <c r="E157" s="15"/>
      <c r="F157" s="292"/>
      <c r="G157" s="15"/>
      <c r="H157" s="15"/>
      <c r="I157" s="15"/>
      <c r="J157" s="16"/>
    </row>
    <row r="158" spans="2:20">
      <c r="B158" s="10" t="s">
        <v>146</v>
      </c>
      <c r="C158" s="11">
        <f>LOOKUP(C160,'Tables vapeur'!$D$6:$D$61)</f>
        <v>184.09</v>
      </c>
      <c r="D158" s="11">
        <f>VLOOKUP($C$158,'Tables vapeur'!$D$6:$G$61,2,FALSE)</f>
        <v>781.34</v>
      </c>
      <c r="E158" s="11">
        <f>VLOOKUP(C158,'Tables vapeur'!$D$6:$G$61,3,FALSE)</f>
        <v>2000.4</v>
      </c>
      <c r="F158" s="293">
        <f>D158+E158</f>
        <v>2781.7400000000002</v>
      </c>
      <c r="G158" s="283">
        <f>LOOKUP(G160,'Tables vapeur'!$D$6:$D$61)</f>
        <v>184.09</v>
      </c>
      <c r="H158" s="11">
        <f>VLOOKUP($G$158,'Tables vapeur'!$D$6:$G$61,2,FALSE)</f>
        <v>781.34</v>
      </c>
      <c r="I158" s="11">
        <f>VLOOKUP(G158,'Tables vapeur'!$D$6:$G$61,3,FALSE)</f>
        <v>2000.4</v>
      </c>
      <c r="J158" s="12">
        <f>H158+I158</f>
        <v>2781.7400000000002</v>
      </c>
    </row>
    <row r="159" spans="2:20">
      <c r="B159" s="10" t="s">
        <v>147</v>
      </c>
      <c r="C159" s="11">
        <f>IF(($C$158-C160)=0,C160,INDEX('Tables vapeur'!$D$6:$D$61,RANK(LOOKUP(C160,'Tables vapeur'!$D$6:$D$61),'Tables vapeur'!$D$6:$D$61,1)+1))</f>
        <v>187.99</v>
      </c>
      <c r="D159" s="11">
        <f>VLOOKUP($C$159,'Tables vapeur'!$D$6:$G$61,2,FALSE)</f>
        <v>798.65</v>
      </c>
      <c r="E159" s="11">
        <f>VLOOKUP(C159,'Tables vapeur'!$D$6:$G$61,3,FALSE)</f>
        <v>1986.2</v>
      </c>
      <c r="F159" s="293">
        <f>D159+E159</f>
        <v>2784.85</v>
      </c>
      <c r="G159" s="283">
        <f>IF(($G$158-G160)=0,G160,INDEX('Tables vapeur'!$D$6:$D$61,RANK(LOOKUP(G160,'Tables vapeur'!$D$6:$D$61),'Tables vapeur'!$D$6:$D$61,1)+1))</f>
        <v>187.99</v>
      </c>
      <c r="H159" s="11">
        <f>VLOOKUP($G$159,'Tables vapeur'!$D$6:$G$61,2,FALSE)</f>
        <v>798.65</v>
      </c>
      <c r="I159" s="11">
        <f>VLOOKUP(G159,'Tables vapeur'!$D$6:$G$61,3,FALSE)</f>
        <v>1986.2</v>
      </c>
      <c r="J159" s="12">
        <f>H159+I159</f>
        <v>2784.85</v>
      </c>
    </row>
    <row r="160" spans="2:20">
      <c r="B160" s="17" t="s">
        <v>148</v>
      </c>
      <c r="C160" s="1732">
        <f>IF(D12=1,'Combustion_Chaud1 (Micro)'!$AB$5,Hypothèses!D53)</f>
        <v>185</v>
      </c>
      <c r="D160" s="12">
        <f>IF(C158=C159,D158,FORECAST(C160,D158:D159,C158:C159))</f>
        <v>785.37899999999991</v>
      </c>
      <c r="E160" s="12">
        <f>IF(C158=C159,E158,FORECAST(C160,E158:E159,C158:C159))</f>
        <v>1997.0866666666668</v>
      </c>
      <c r="F160" s="293">
        <f>D160+E160</f>
        <v>2782.4656666666669</v>
      </c>
      <c r="G160" s="1733">
        <f>IF(E12=1,'Combustion_Chaud2 (Micro)'!$AB$5,Hypothèses!E53)</f>
        <v>185</v>
      </c>
      <c r="H160" s="12">
        <f>IF(G158=G159,H158,FORECAST(G160,H158:H159,G158:G159))</f>
        <v>785.37899999999991</v>
      </c>
      <c r="I160" s="12">
        <f>IF(G158=G159,I158,FORECAST(G160,I158:I159,G158:G159))</f>
        <v>1997.0866666666668</v>
      </c>
      <c r="J160" s="12">
        <f>H160+I160</f>
        <v>2782.4656666666669</v>
      </c>
      <c r="K160" s="1"/>
    </row>
    <row r="161" spans="2:12">
      <c r="B161" s="14" t="s">
        <v>378</v>
      </c>
      <c r="C161" s="146"/>
      <c r="D161" s="15"/>
      <c r="E161" s="15"/>
      <c r="F161" s="292"/>
      <c r="G161" s="15"/>
      <c r="H161" s="15"/>
      <c r="I161" s="15"/>
      <c r="J161" s="16"/>
    </row>
    <row r="162" spans="2:12">
      <c r="B162" s="10" t="s">
        <v>146</v>
      </c>
      <c r="C162" s="11" t="e">
        <f>LOOKUP('3c. Calculateur MEÉ 2-3-4'!$G$71,'Tables vapeur'!$D$6:$D$61)</f>
        <v>#N/A</v>
      </c>
      <c r="D162" s="11" t="e">
        <f>VLOOKUP($C$162,'Tables vapeur'!$D$6:$G$61,2,FALSE)</f>
        <v>#N/A</v>
      </c>
      <c r="E162" s="11" t="e">
        <f>VLOOKUP($C$162,'Tables vapeur'!$D$6:$G$61,3,FALSE)</f>
        <v>#N/A</v>
      </c>
      <c r="F162" s="293" t="e">
        <f>D162+E162</f>
        <v>#N/A</v>
      </c>
      <c r="G162" s="283" t="e">
        <f>LOOKUP('3c. Calculateur MEÉ 2-3-4'!$I$71,'Tables vapeur'!$D$6:$D$61)</f>
        <v>#N/A</v>
      </c>
      <c r="H162" s="11" t="e">
        <f>VLOOKUP($G$162,'Tables vapeur'!$D$6:$G$61,2,FALSE)</f>
        <v>#N/A</v>
      </c>
      <c r="I162" s="11" t="e">
        <f>VLOOKUP($G$162,'Tables vapeur'!$D$6:$G$61,3,FALSE)</f>
        <v>#N/A</v>
      </c>
      <c r="J162" s="12" t="e">
        <f>H162+I162</f>
        <v>#N/A</v>
      </c>
    </row>
    <row r="163" spans="2:12">
      <c r="B163" s="10" t="s">
        <v>147</v>
      </c>
      <c r="C163" s="11" t="e">
        <f>IF(($C$162-'3c. Calculateur MEÉ 2-3-4'!$G$71)=0,'3c. Calculateur MEÉ 2-3-4'!$G$71,INDEX('Tables vapeur'!$D$6:$D$61,RANK(LOOKUP('3c. Calculateur MEÉ 2-3-4'!$G$71,'Tables vapeur'!$D$6:$D$61),'Tables vapeur'!$D$6:$D$61,1)+1))</f>
        <v>#N/A</v>
      </c>
      <c r="D163" s="11" t="e">
        <f>VLOOKUP($C$163,'Tables vapeur'!$D$6:$G$61,2,FALSE)</f>
        <v>#N/A</v>
      </c>
      <c r="E163" s="11" t="e">
        <f>VLOOKUP($C$163,'Tables vapeur'!$D$6:$G$61,3,FALSE)</f>
        <v>#N/A</v>
      </c>
      <c r="F163" s="293" t="e">
        <f>D163+E163</f>
        <v>#N/A</v>
      </c>
      <c r="G163" s="283" t="e">
        <f>IF(($G$162-'3c. Calculateur MEÉ 2-3-4'!$I$71)=0,'3c. Calculateur MEÉ 2-3-4'!$I$71,INDEX('Tables vapeur'!$D$6:$D$61,RANK(LOOKUP('3c. Calculateur MEÉ 2-3-4'!$I$71,'Tables vapeur'!$D$6:$D$61),'Tables vapeur'!$D$6:$D$61,1)+1))</f>
        <v>#N/A</v>
      </c>
      <c r="H163" s="11" t="e">
        <f>VLOOKUP($G$163,'Tables vapeur'!$D$6:$G$61,2,FALSE)</f>
        <v>#N/A</v>
      </c>
      <c r="I163" s="11" t="e">
        <f>VLOOKUP($G$163,'Tables vapeur'!$D$6:$G$61,3,FALSE)</f>
        <v>#N/A</v>
      </c>
      <c r="J163" s="12" t="e">
        <f>H163+I163</f>
        <v>#N/A</v>
      </c>
    </row>
    <row r="164" spans="2:12" ht="15.75" thickBot="1">
      <c r="B164" s="17" t="s">
        <v>148</v>
      </c>
      <c r="C164" s="287">
        <f>IF(D8=2,Hypothèses!$D$189,'3c. Calculateur MEÉ 2-3-4'!$G$71)</f>
        <v>0</v>
      </c>
      <c r="D164" s="294" t="e">
        <f>IF(C162=C163,D162,FORECAST(C164,D162:D163,C162:C163))</f>
        <v>#N/A</v>
      </c>
      <c r="E164" s="294" t="e">
        <f>IF(C162=C163,E162,FORECAST(C164,E162:E163,C162:C163))</f>
        <v>#N/A</v>
      </c>
      <c r="F164" s="295" t="e">
        <f>D164+E164</f>
        <v>#N/A</v>
      </c>
      <c r="G164" s="290">
        <f>IF(E8=2,Hypothèses!$D$189,'3c. Calculateur MEÉ 2-3-4'!$I$71)</f>
        <v>0</v>
      </c>
      <c r="H164" s="294" t="e">
        <f>IF(G162=G163,H162,FORECAST(G164,H162:H163,G162:G163))</f>
        <v>#N/A</v>
      </c>
      <c r="I164" s="294" t="e">
        <f>IF(G162=G163,I162,FORECAST(G164,I162:I163,G162:G163))</f>
        <v>#N/A</v>
      </c>
      <c r="J164" s="294" t="e">
        <f>H164+I164</f>
        <v>#N/A</v>
      </c>
    </row>
    <row r="165" spans="2:12" ht="15.75" thickTop="1">
      <c r="C165" s="2377" t="s">
        <v>128</v>
      </c>
      <c r="D165" s="2378"/>
      <c r="E165" s="2378"/>
      <c r="F165" s="2379"/>
      <c r="G165" s="2388" t="s">
        <v>129</v>
      </c>
      <c r="H165" s="2389"/>
      <c r="I165" s="2389"/>
      <c r="J165" s="2390"/>
    </row>
    <row r="166" spans="2:12" ht="60">
      <c r="B166" s="151" t="s">
        <v>141</v>
      </c>
      <c r="C166" s="9" t="s">
        <v>142</v>
      </c>
      <c r="D166" s="13" t="s">
        <v>143</v>
      </c>
      <c r="E166" s="13" t="s">
        <v>144</v>
      </c>
      <c r="F166" s="252" t="s">
        <v>145</v>
      </c>
      <c r="G166" s="274" t="s">
        <v>142</v>
      </c>
      <c r="H166" s="13" t="s">
        <v>143</v>
      </c>
      <c r="I166" s="13" t="s">
        <v>144</v>
      </c>
      <c r="J166" s="13" t="s">
        <v>145</v>
      </c>
    </row>
    <row r="167" spans="2:12">
      <c r="B167" s="14" t="s">
        <v>377</v>
      </c>
      <c r="C167" s="146"/>
      <c r="D167" s="15"/>
      <c r="E167" s="15"/>
      <c r="F167" s="292"/>
      <c r="G167" s="15"/>
      <c r="H167" s="15"/>
      <c r="I167" s="15"/>
      <c r="J167" s="16"/>
    </row>
    <row r="168" spans="2:12">
      <c r="B168" s="10" t="s">
        <v>146</v>
      </c>
      <c r="C168" s="11">
        <f>LOOKUP(C170,'Tables vapeur'!$D$6:$D$61)</f>
        <v>184.09</v>
      </c>
      <c r="D168" s="11">
        <f>VLOOKUP($C$168,'Tables vapeur'!$D$6:$G$61,2,FALSE)</f>
        <v>781.34</v>
      </c>
      <c r="E168" s="11">
        <f>VLOOKUP(C168,'Tables vapeur'!$D$6:$G$61,3,FALSE)</f>
        <v>2000.4</v>
      </c>
      <c r="F168" s="293">
        <f>D168+E168</f>
        <v>2781.7400000000002</v>
      </c>
      <c r="G168" s="283">
        <f>LOOKUP(G170,'Tables vapeur'!$D$6:$D$61)</f>
        <v>184.09</v>
      </c>
      <c r="H168" s="11">
        <f>VLOOKUP($G$168,'Tables vapeur'!$D$6:$G$61,2,FALSE)</f>
        <v>781.34</v>
      </c>
      <c r="I168" s="11">
        <f>VLOOKUP(G168,'Tables vapeur'!$D$6:$G$61,3,FALSE)</f>
        <v>2000.4</v>
      </c>
      <c r="J168" s="12">
        <f>H168+I168</f>
        <v>2781.7400000000002</v>
      </c>
    </row>
    <row r="169" spans="2:12">
      <c r="B169" s="10" t="s">
        <v>147</v>
      </c>
      <c r="C169" s="11">
        <f>IF(($C$168-C170)=0,C170,INDEX('Tables vapeur'!$D$6:$D$61,RANK(LOOKUP(C170,'Tables vapeur'!$D$6:$D$61),'Tables vapeur'!$D$6:$D$61,1)+1))</f>
        <v>187.99</v>
      </c>
      <c r="D169" s="11">
        <f>VLOOKUP($C$169,'Tables vapeur'!$D$6:$G$61,2,FALSE)</f>
        <v>798.65</v>
      </c>
      <c r="E169" s="11">
        <f>VLOOKUP(C169,'Tables vapeur'!$D$6:$G$61,3,FALSE)</f>
        <v>1986.2</v>
      </c>
      <c r="F169" s="293">
        <f>D169+E169</f>
        <v>2784.85</v>
      </c>
      <c r="G169" s="283">
        <f>IF(($G$168-G170)=0,G170,INDEX('Tables vapeur'!$D$6:$D$61,RANK(LOOKUP(G170,'Tables vapeur'!$D$6:$D$61),'Tables vapeur'!$D$6:$D$61,1)+1))</f>
        <v>187.99</v>
      </c>
      <c r="H169" s="11">
        <f>VLOOKUP($G$169,'Tables vapeur'!$D$6:$G$61,2,FALSE)</f>
        <v>798.65</v>
      </c>
      <c r="I169" s="11">
        <f>VLOOKUP(G169,'Tables vapeur'!$D$6:$G$61,3,FALSE)</f>
        <v>1986.2</v>
      </c>
      <c r="J169" s="12">
        <f>H169+I169</f>
        <v>2784.85</v>
      </c>
    </row>
    <row r="170" spans="2:12">
      <c r="B170" s="17" t="s">
        <v>148</v>
      </c>
      <c r="C170" s="1732">
        <f>IF(F12=1,'Combustion_Chaud3 (Micro)'!$AB$5,Hypothèses!F53)</f>
        <v>185</v>
      </c>
      <c r="D170" s="12">
        <f>IF(C168=C169,D168,FORECAST(C170,D168:D169,C168:C169))</f>
        <v>785.37899999999991</v>
      </c>
      <c r="E170" s="12">
        <f>IF(C168=C169,E168,FORECAST(C170,E168:E169,C168:C169))</f>
        <v>1997.0866666666668</v>
      </c>
      <c r="F170" s="293">
        <f>D170+E170</f>
        <v>2782.4656666666669</v>
      </c>
      <c r="G170" s="1733">
        <f>IF(G12=1,'Combustion_Chaud4 (Micro)'!$AB$5,Hypothèses!G53)</f>
        <v>185</v>
      </c>
      <c r="H170" s="12">
        <f>IF(G168=G169,H168,FORECAST(G170,H168:H169,G168:G169))</f>
        <v>785.37899999999991</v>
      </c>
      <c r="I170" s="12">
        <f>IF(G168=G169,I168,FORECAST(G170,I168:I169,G168:G169))</f>
        <v>1997.0866666666668</v>
      </c>
      <c r="J170" s="12">
        <f>H170+I170</f>
        <v>2782.4656666666669</v>
      </c>
    </row>
    <row r="171" spans="2:12">
      <c r="B171" s="14" t="s">
        <v>378</v>
      </c>
      <c r="C171" s="146"/>
      <c r="D171" s="15"/>
      <c r="E171" s="15"/>
      <c r="F171" s="292"/>
      <c r="G171" s="15"/>
      <c r="H171" s="15"/>
      <c r="I171" s="15"/>
      <c r="J171" s="16"/>
    </row>
    <row r="172" spans="2:12">
      <c r="B172" s="10" t="s">
        <v>146</v>
      </c>
      <c r="C172" s="11" t="e">
        <f>LOOKUP('3c. Calculateur MEÉ 2-3-4'!$K$71,'Tables vapeur'!$D$6:$D$61)</f>
        <v>#N/A</v>
      </c>
      <c r="D172" s="11" t="e">
        <f>VLOOKUP($C$172,'Tables vapeur'!$D$6:$G$61,2,FALSE)</f>
        <v>#N/A</v>
      </c>
      <c r="E172" s="11" t="e">
        <f>VLOOKUP($C$172,'Tables vapeur'!$D$6:$G$61,3,FALSE)</f>
        <v>#N/A</v>
      </c>
      <c r="F172" s="293" t="e">
        <f>D172+E172</f>
        <v>#N/A</v>
      </c>
      <c r="G172" s="283" t="e">
        <f>LOOKUP('3c. Calculateur MEÉ 2-3-4'!$M$71,'Tables vapeur'!$D$6:$D$61)</f>
        <v>#N/A</v>
      </c>
      <c r="H172" s="11" t="e">
        <f>VLOOKUP($G$172,'Tables vapeur'!$D$6:$G$61,2,FALSE)</f>
        <v>#N/A</v>
      </c>
      <c r="I172" s="11" t="e">
        <f>VLOOKUP($G$172,'Tables vapeur'!$D$6:$G$61,3,FALSE)</f>
        <v>#N/A</v>
      </c>
      <c r="J172" s="12" t="e">
        <f>H172+I172</f>
        <v>#N/A</v>
      </c>
    </row>
    <row r="173" spans="2:12">
      <c r="B173" s="10" t="s">
        <v>147</v>
      </c>
      <c r="C173" s="11" t="e">
        <f>IF(($C$172-'3c. Calculateur MEÉ 2-3-4'!$K$71)=0,'3c. Calculateur MEÉ 2-3-4'!$K$71,INDEX('Tables vapeur'!$D$6:$D$61,RANK(LOOKUP('3c. Calculateur MEÉ 2-3-4'!$K$71,'Tables vapeur'!$D$6:$D$61),'Tables vapeur'!$D$6:$D$61,1)+1))</f>
        <v>#N/A</v>
      </c>
      <c r="D173" s="11" t="e">
        <f>VLOOKUP($C$173,'Tables vapeur'!$D$6:$G$61,2,FALSE)</f>
        <v>#N/A</v>
      </c>
      <c r="E173" s="11" t="e">
        <f>VLOOKUP($C$173,'Tables vapeur'!$D$6:$G$61,3,FALSE)</f>
        <v>#N/A</v>
      </c>
      <c r="F173" s="293" t="e">
        <f>D173+E173</f>
        <v>#N/A</v>
      </c>
      <c r="G173" s="283" t="e">
        <f>IF(($G$172-'3c. Calculateur MEÉ 2-3-4'!$M$71)=0,'3c. Calculateur MEÉ 2-3-4'!$M$71,INDEX('Tables vapeur'!$D$6:$D$61,RANK(LOOKUP('3c. Calculateur MEÉ 2-3-4'!$M$71,'Tables vapeur'!$D$6:$D$61),'Tables vapeur'!$D$6:$D$61,1)+1))</f>
        <v>#N/A</v>
      </c>
      <c r="H173" s="11" t="e">
        <f>VLOOKUP($G$173,'Tables vapeur'!$D$6:$G$61,2,FALSE)</f>
        <v>#N/A</v>
      </c>
      <c r="I173" s="11" t="e">
        <f>VLOOKUP($G$173,'Tables vapeur'!$D$6:$G$61,3,FALSE)</f>
        <v>#N/A</v>
      </c>
      <c r="J173" s="12" t="e">
        <f>H173+I173</f>
        <v>#N/A</v>
      </c>
    </row>
    <row r="174" spans="2:12">
      <c r="B174" s="17" t="s">
        <v>148</v>
      </c>
      <c r="C174" s="11">
        <f>IF(F8=2,Hypothèses!$D$189,'3c. Calculateur MEÉ 2-3-4'!$K$71)</f>
        <v>0</v>
      </c>
      <c r="D174" s="12" t="e">
        <f>IF(C172=C173,D172,FORECAST(C174,D172:D173,C172:C173))</f>
        <v>#N/A</v>
      </c>
      <c r="E174" s="12" t="e">
        <f>IF(C172=C173,E172,FORECAST(C174,E172:E173,C172:C173))</f>
        <v>#N/A</v>
      </c>
      <c r="F174" s="293" t="e">
        <f>D174+E174</f>
        <v>#N/A</v>
      </c>
      <c r="G174" s="283">
        <f>IF(G8=2,Hypothèses!$D$189,'3c. Calculateur MEÉ 2-3-4'!$M$71)</f>
        <v>0</v>
      </c>
      <c r="H174" s="12" t="e">
        <f>IF(G172=G173,H172,FORECAST(G174,H172:H173,G172:G173))</f>
        <v>#N/A</v>
      </c>
      <c r="I174" s="12" t="e">
        <f>IF(G172=G173,I172,FORECAST(G174,I172:I173,G172:G173))</f>
        <v>#N/A</v>
      </c>
      <c r="J174" s="12" t="e">
        <f>H174+I174</f>
        <v>#N/A</v>
      </c>
    </row>
    <row r="176" spans="2:12">
      <c r="B176" s="5" t="s">
        <v>383</v>
      </c>
      <c r="C176" s="145"/>
      <c r="D176" s="6"/>
      <c r="E176" s="6"/>
      <c r="F176" s="6"/>
      <c r="G176" s="6"/>
      <c r="H176" s="6"/>
      <c r="I176" s="6"/>
      <c r="J176" s="6"/>
      <c r="K176" s="6"/>
      <c r="L176" s="6"/>
    </row>
    <row r="177" spans="2:26">
      <c r="J177" t="s">
        <v>398</v>
      </c>
    </row>
    <row r="178" spans="2:26">
      <c r="B178" s="188"/>
      <c r="C178" s="166" t="s">
        <v>46</v>
      </c>
      <c r="D178" s="166" t="s">
        <v>1</v>
      </c>
      <c r="E178" s="166" t="s">
        <v>2</v>
      </c>
      <c r="F178" s="166" t="s">
        <v>3</v>
      </c>
      <c r="G178" s="166" t="s">
        <v>4</v>
      </c>
      <c r="H178" s="165" t="s">
        <v>47</v>
      </c>
    </row>
    <row r="179" spans="2:26">
      <c r="B179" s="3"/>
      <c r="C179" s="161"/>
      <c r="D179" s="161"/>
      <c r="E179" s="161"/>
      <c r="F179" s="161"/>
      <c r="G179" s="161"/>
      <c r="H179" s="4"/>
    </row>
    <row r="180" spans="2:26">
      <c r="B180" s="165" t="s">
        <v>149</v>
      </c>
      <c r="C180" s="168"/>
      <c r="D180" s="167"/>
      <c r="E180" s="167"/>
      <c r="F180" s="167"/>
      <c r="G180" s="167"/>
      <c r="H180" s="167"/>
      <c r="Y180" s="7"/>
      <c r="Z180" s="7"/>
    </row>
    <row r="181" spans="2:26">
      <c r="B181" s="167" t="s">
        <v>150</v>
      </c>
      <c r="C181" s="168"/>
      <c r="D181" s="181">
        <f>$C$146*C160</f>
        <v>185.92499999999998</v>
      </c>
      <c r="E181" s="168">
        <f>$C$146*G160</f>
        <v>185.92499999999998</v>
      </c>
      <c r="F181" s="168">
        <f>$C$146*C170</f>
        <v>185.92499999999998</v>
      </c>
      <c r="G181" s="168">
        <f>$C$146*G170</f>
        <v>185.92499999999998</v>
      </c>
      <c r="H181" s="167" t="s">
        <v>54</v>
      </c>
      <c r="Y181" s="7"/>
      <c r="Z181" s="7"/>
    </row>
    <row r="182" spans="2:26">
      <c r="B182" s="167" t="s">
        <v>151</v>
      </c>
      <c r="C182" s="168"/>
      <c r="D182" s="181" t="e">
        <f>IF(C160&lt;99.63,D151*(C147*C160+C149),D151*$F$160)</f>
        <v>#DIV/0!</v>
      </c>
      <c r="E182" s="181" t="e">
        <f>IF(G160&lt;99.63,E151*($C$147*G160+$C$149),E151*$J$160)</f>
        <v>#DIV/0!</v>
      </c>
      <c r="F182" s="181" t="e">
        <f>IF(C170&lt;99.63,F151*($C$147*C170+$C$149),F151*$F$170)</f>
        <v>#DIV/0!</v>
      </c>
      <c r="G182" s="181" t="e">
        <f>IF(G170&lt;99.63,G151*($C$147*G170+$C$149),G151*$J$170)</f>
        <v>#DIV/0!</v>
      </c>
      <c r="H182" s="167" t="s">
        <v>54</v>
      </c>
      <c r="Y182" s="7"/>
      <c r="Z182" s="7"/>
    </row>
    <row r="183" spans="2:26">
      <c r="B183" s="167" t="s">
        <v>152</v>
      </c>
      <c r="C183" s="168"/>
      <c r="D183" s="181" t="e">
        <f>D181+D182</f>
        <v>#DIV/0!</v>
      </c>
      <c r="E183" s="181" t="e">
        <f>E181+E182</f>
        <v>#DIV/0!</v>
      </c>
      <c r="F183" s="181" t="e">
        <f>F181+F182</f>
        <v>#DIV/0!</v>
      </c>
      <c r="G183" s="181" t="e">
        <f>G181+G182</f>
        <v>#DIV/0!</v>
      </c>
      <c r="H183" s="167" t="s">
        <v>54</v>
      </c>
      <c r="Y183" s="7"/>
      <c r="Z183" s="7"/>
    </row>
    <row r="184" spans="2:26">
      <c r="B184" s="167"/>
      <c r="C184" s="181"/>
      <c r="D184" s="167"/>
      <c r="E184" s="167"/>
      <c r="F184" s="167"/>
      <c r="G184" s="167"/>
      <c r="H184" s="167"/>
      <c r="Y184" s="7"/>
      <c r="Z184" s="7"/>
    </row>
    <row r="185" spans="2:26">
      <c r="B185" s="165" t="s">
        <v>153</v>
      </c>
      <c r="C185" s="181"/>
      <c r="D185" s="167"/>
      <c r="E185" s="167"/>
      <c r="F185" s="167"/>
      <c r="G185" s="167"/>
      <c r="H185" s="167"/>
      <c r="Y185" s="7"/>
      <c r="Z185" s="7"/>
    </row>
    <row r="186" spans="2:26">
      <c r="B186" s="167" t="s">
        <v>150</v>
      </c>
      <c r="C186" s="168"/>
      <c r="D186" s="181">
        <f>$C$146*C164</f>
        <v>0</v>
      </c>
      <c r="E186" s="181">
        <f>$C$146*G164</f>
        <v>0</v>
      </c>
      <c r="F186" s="181">
        <f>$C$146*C174</f>
        <v>0</v>
      </c>
      <c r="G186" s="181">
        <f>$C$146*G174</f>
        <v>0</v>
      </c>
      <c r="H186" s="167" t="s">
        <v>54</v>
      </c>
      <c r="Y186" s="7"/>
      <c r="Z186" s="7"/>
    </row>
    <row r="187" spans="2:26">
      <c r="B187" s="167" t="s">
        <v>151</v>
      </c>
      <c r="C187" s="168"/>
      <c r="D187" s="181" t="e">
        <f>IF('3c. Calculateur MEÉ 2-3-4'!G71&lt;99.63,D151*(C147*'3c. Calculateur MEÉ 2-3-4'!G71+C149),D151*$F$164)</f>
        <v>#DIV/0!</v>
      </c>
      <c r="E187" s="181" t="e">
        <f>IF('3c. Calculateur MEÉ 2-3-4'!I71&lt;99.63,E151*($C$147*'3c. Calculateur MEÉ 2-3-4'!I71+$C$149),E151*$J$164)</f>
        <v>#DIV/0!</v>
      </c>
      <c r="F187" s="181" t="e">
        <f>IF('3c. Calculateur MEÉ 2-3-4'!K71&lt;99.63,F151*($C$147*'3c. Calculateur MEÉ 2-3-4'!K71+$C$149),F151*$F$174)</f>
        <v>#DIV/0!</v>
      </c>
      <c r="G187" s="181" t="e">
        <f>IF('3c. Calculateur MEÉ 2-3-4'!M71&lt;99.63,G151*($C$147*'3c. Calculateur MEÉ 2-3-4'!M71+$C$149),G151*$J$174)</f>
        <v>#DIV/0!</v>
      </c>
      <c r="H187" s="167" t="s">
        <v>54</v>
      </c>
      <c r="Y187" s="7"/>
      <c r="Z187" s="7"/>
    </row>
    <row r="188" spans="2:26">
      <c r="B188" s="167" t="s">
        <v>152</v>
      </c>
      <c r="C188" s="168"/>
      <c r="D188" s="181" t="e">
        <f>D186+D187</f>
        <v>#DIV/0!</v>
      </c>
      <c r="E188" s="181" t="e">
        <f>E186+E187</f>
        <v>#DIV/0!</v>
      </c>
      <c r="F188" s="181" t="e">
        <f>F186+F187</f>
        <v>#DIV/0!</v>
      </c>
      <c r="G188" s="181" t="e">
        <f>G186+G187</f>
        <v>#DIV/0!</v>
      </c>
      <c r="H188" s="167" t="s">
        <v>54</v>
      </c>
      <c r="Y188" s="7"/>
      <c r="Z188" s="7"/>
    </row>
    <row r="189" spans="2:26">
      <c r="Y189" s="7"/>
      <c r="Z189" s="7"/>
    </row>
    <row r="190" spans="2:26">
      <c r="B190" s="2377" t="s">
        <v>115</v>
      </c>
      <c r="C190" s="2378"/>
      <c r="D190" s="2378"/>
      <c r="E190" s="2378"/>
      <c r="F190" s="2378"/>
      <c r="G190" s="2378"/>
      <c r="H190" s="1"/>
      <c r="Y190" s="7"/>
      <c r="Z190" s="7"/>
    </row>
    <row r="191" spans="2:26">
      <c r="B191" s="2391" t="s">
        <v>154</v>
      </c>
      <c r="C191" s="2391"/>
      <c r="D191" s="2391"/>
      <c r="E191" s="2396" t="str">
        <f>IFERROR(D143*(D183-D188)/3600,"Erreur")</f>
        <v>Erreur</v>
      </c>
      <c r="F191" s="2396"/>
      <c r="G191" s="153" t="s">
        <v>5</v>
      </c>
      <c r="Y191" s="7"/>
      <c r="Z191" s="7"/>
    </row>
    <row r="192" spans="2:26">
      <c r="Y192" s="7"/>
      <c r="Z192" s="7"/>
    </row>
    <row r="193" spans="2:26">
      <c r="B193" s="2377" t="s">
        <v>127</v>
      </c>
      <c r="C193" s="2378"/>
      <c r="D193" s="2378"/>
      <c r="E193" s="2378"/>
      <c r="F193" s="2378"/>
      <c r="G193" s="2378"/>
      <c r="H193" s="1"/>
      <c r="Y193" s="7"/>
      <c r="Z193" s="7"/>
    </row>
    <row r="194" spans="2:26">
      <c r="B194" s="2391" t="s">
        <v>154</v>
      </c>
      <c r="C194" s="2391"/>
      <c r="D194" s="2391"/>
      <c r="E194" s="2393" t="str">
        <f>IFERROR(E143*(E183-E188)/3600,"Erreur")</f>
        <v>Erreur</v>
      </c>
      <c r="F194" s="2393"/>
      <c r="G194" s="153" t="s">
        <v>5</v>
      </c>
      <c r="Y194" s="7"/>
      <c r="Z194" s="7"/>
    </row>
    <row r="195" spans="2:26">
      <c r="Y195" s="7"/>
      <c r="Z195" s="7"/>
    </row>
    <row r="196" spans="2:26">
      <c r="B196" s="2377" t="s">
        <v>128</v>
      </c>
      <c r="C196" s="2378"/>
      <c r="D196" s="2378"/>
      <c r="E196" s="2378"/>
      <c r="F196" s="2378"/>
      <c r="G196" s="2378"/>
      <c r="H196" s="1"/>
      <c r="Y196" s="7"/>
      <c r="Z196" s="7"/>
    </row>
    <row r="197" spans="2:26">
      <c r="B197" s="2391" t="s">
        <v>154</v>
      </c>
      <c r="C197" s="2391"/>
      <c r="D197" s="2391"/>
      <c r="E197" s="2393" t="str">
        <f>IFERROR(F143*(F183-F188)/3600,"Erreur")</f>
        <v>Erreur</v>
      </c>
      <c r="F197" s="2393"/>
      <c r="G197" s="153" t="s">
        <v>5</v>
      </c>
      <c r="Y197" s="7"/>
      <c r="Z197" s="7"/>
    </row>
    <row r="198" spans="2:26">
      <c r="Y198" s="7"/>
      <c r="Z198" s="7"/>
    </row>
    <row r="199" spans="2:26">
      <c r="B199" s="2377" t="s">
        <v>129</v>
      </c>
      <c r="C199" s="2378"/>
      <c r="D199" s="2378"/>
      <c r="E199" s="2378"/>
      <c r="F199" s="2378"/>
      <c r="G199" s="2378"/>
      <c r="H199" s="1"/>
      <c r="Y199" s="7"/>
      <c r="Z199" s="7"/>
    </row>
    <row r="200" spans="2:26">
      <c r="B200" s="2391" t="s">
        <v>154</v>
      </c>
      <c r="C200" s="2391"/>
      <c r="D200" s="2391"/>
      <c r="E200" s="2393" t="str">
        <f>IFERROR(G143*(G183-G188)/3600,"Erreur")</f>
        <v>Erreur</v>
      </c>
      <c r="F200" s="2393"/>
      <c r="G200" s="153" t="s">
        <v>5</v>
      </c>
      <c r="Y200" s="7"/>
      <c r="Z200" s="7"/>
    </row>
    <row r="201" spans="2:26">
      <c r="D201" s="228"/>
      <c r="G201" s="2"/>
    </row>
  </sheetData>
  <mergeCells count="25">
    <mergeCell ref="B197:D197"/>
    <mergeCell ref="E197:F197"/>
    <mergeCell ref="B1:H1"/>
    <mergeCell ref="C91:E91"/>
    <mergeCell ref="F91:H91"/>
    <mergeCell ref="C96:E96"/>
    <mergeCell ref="F96:H96"/>
    <mergeCell ref="B194:D194"/>
    <mergeCell ref="E194:F194"/>
    <mergeCell ref="B200:D200"/>
    <mergeCell ref="E200:F200"/>
    <mergeCell ref="C121:F121"/>
    <mergeCell ref="B199:G199"/>
    <mergeCell ref="C165:F165"/>
    <mergeCell ref="G165:J165"/>
    <mergeCell ref="B190:G190"/>
    <mergeCell ref="B191:D191"/>
    <mergeCell ref="E191:F191"/>
    <mergeCell ref="B193:G193"/>
    <mergeCell ref="G121:J121"/>
    <mergeCell ref="C129:F129"/>
    <mergeCell ref="G129:J129"/>
    <mergeCell ref="C155:F155"/>
    <mergeCell ref="G155:J155"/>
    <mergeCell ref="B196:G196"/>
  </mergeCells>
  <phoneticPr fontId="71" type="noConversion"/>
  <pageMargins left="0.7" right="0.7" top="0.75" bottom="0.75" header="0.3" footer="0.3"/>
  <pageSetup orientation="portrait" horizontalDpi="4294967293" verticalDpi="0"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L87"/>
  <sheetViews>
    <sheetView topLeftCell="A47" workbookViewId="0">
      <selection activeCell="D60" sqref="D60"/>
    </sheetView>
  </sheetViews>
  <sheetFormatPr baseColWidth="10" defaultColWidth="11.42578125" defaultRowHeight="15"/>
  <cols>
    <col min="1" max="1" width="12" customWidth="1"/>
    <col min="2" max="2" width="49.5703125" customWidth="1"/>
    <col min="3" max="8" width="21.42578125" customWidth="1"/>
    <col min="11" max="11" width="33.140625" bestFit="1" customWidth="1"/>
  </cols>
  <sheetData>
    <row r="1" spans="1:12">
      <c r="B1" s="164" t="s">
        <v>521</v>
      </c>
      <c r="C1" s="163"/>
      <c r="D1" s="162"/>
      <c r="E1" s="162"/>
      <c r="F1" s="162"/>
      <c r="G1" s="162"/>
      <c r="H1" s="162"/>
    </row>
    <row r="2" spans="1:12">
      <c r="B2" s="5" t="s">
        <v>30</v>
      </c>
      <c r="C2" s="145"/>
      <c r="D2" s="6"/>
      <c r="E2" s="456"/>
      <c r="F2" s="6"/>
      <c r="G2" s="6"/>
      <c r="H2" s="6"/>
    </row>
    <row r="4" spans="1:12">
      <c r="B4" s="165"/>
      <c r="C4" s="166" t="s">
        <v>46</v>
      </c>
      <c r="D4" s="166" t="s">
        <v>1</v>
      </c>
      <c r="E4" s="166" t="s">
        <v>2</v>
      </c>
      <c r="F4" s="166" t="s">
        <v>3</v>
      </c>
      <c r="G4" s="166" t="s">
        <v>4</v>
      </c>
      <c r="H4" s="165" t="s">
        <v>47</v>
      </c>
    </row>
    <row r="5" spans="1:12">
      <c r="B5" s="4"/>
      <c r="C5" s="161"/>
      <c r="D5" s="161"/>
      <c r="E5" s="161"/>
      <c r="F5" s="161"/>
      <c r="G5" s="161"/>
      <c r="H5" s="4"/>
      <c r="K5" s="148" t="s">
        <v>15</v>
      </c>
      <c r="L5" s="148" t="s">
        <v>566</v>
      </c>
    </row>
    <row r="6" spans="1:12">
      <c r="B6" s="4" t="s">
        <v>540</v>
      </c>
      <c r="C6" s="161"/>
      <c r="D6" s="491" t="str">
        <f>'3c. Calculateur MEÉ 2-3-4'!G94</f>
        <v>&lt; sélectionner &gt;</v>
      </c>
      <c r="E6" s="491" t="str">
        <f>'3c. Calculateur MEÉ 2-3-4'!I94</f>
        <v>&lt; sélectionner &gt;</v>
      </c>
      <c r="F6" s="491" t="str">
        <f>'3c. Calculateur MEÉ 2-3-4'!K94</f>
        <v>&lt; sélectionner &gt;</v>
      </c>
      <c r="G6" s="491" t="str">
        <f>'3c. Calculateur MEÉ 2-3-4'!M94</f>
        <v>&lt; sélectionner &gt;</v>
      </c>
      <c r="H6" s="452"/>
      <c r="K6" s="148" t="s">
        <v>314</v>
      </c>
      <c r="L6" s="148" t="s">
        <v>542</v>
      </c>
    </row>
    <row r="7" spans="1:12" ht="18">
      <c r="B7" t="s">
        <v>542</v>
      </c>
      <c r="C7" s="161"/>
      <c r="D7" s="492">
        <f>IF(LOOKUP(D$6,$K$5:$L$8)=$B7,1,0)</f>
        <v>0</v>
      </c>
      <c r="E7" s="492">
        <f t="shared" ref="E7:G9" si="0">IF(LOOKUP(E$6,$K$5:$L$8)=$B7,1,0)</f>
        <v>0</v>
      </c>
      <c r="F7" s="492">
        <f t="shared" si="0"/>
        <v>0</v>
      </c>
      <c r="G7" s="492">
        <f t="shared" si="0"/>
        <v>0</v>
      </c>
      <c r="H7" s="4"/>
      <c r="K7" s="148" t="s">
        <v>549</v>
      </c>
      <c r="L7" s="148" t="s">
        <v>541</v>
      </c>
    </row>
    <row r="8" spans="1:12">
      <c r="B8" t="s">
        <v>541</v>
      </c>
      <c r="C8" s="161"/>
      <c r="D8" s="492">
        <f t="shared" ref="D8:D9" si="1">IF(LOOKUP(D$6,$K$5:$L$8)=$B8,1,0)</f>
        <v>0</v>
      </c>
      <c r="E8" s="492">
        <f t="shared" si="0"/>
        <v>0</v>
      </c>
      <c r="F8" s="492">
        <f t="shared" si="0"/>
        <v>0</v>
      </c>
      <c r="G8" s="492">
        <f t="shared" si="0"/>
        <v>0</v>
      </c>
      <c r="H8" s="4"/>
      <c r="K8" s="148" t="s">
        <v>547</v>
      </c>
      <c r="L8" s="148" t="s">
        <v>543</v>
      </c>
    </row>
    <row r="9" spans="1:12">
      <c r="B9" t="s">
        <v>543</v>
      </c>
      <c r="C9" s="161"/>
      <c r="D9" s="492">
        <f t="shared" si="1"/>
        <v>0</v>
      </c>
      <c r="E9" s="492">
        <f t="shared" si="0"/>
        <v>0</v>
      </c>
      <c r="F9" s="492">
        <f t="shared" si="0"/>
        <v>0</v>
      </c>
      <c r="G9" s="492">
        <f t="shared" si="0"/>
        <v>0</v>
      </c>
      <c r="H9" s="4"/>
    </row>
    <row r="10" spans="1:12">
      <c r="B10" s="4"/>
      <c r="C10" s="161"/>
      <c r="D10" s="161"/>
      <c r="E10" s="161"/>
      <c r="F10" s="161"/>
      <c r="G10" s="161"/>
      <c r="H10" s="4"/>
    </row>
    <row r="11" spans="1:12">
      <c r="A11" s="697" t="s">
        <v>609</v>
      </c>
      <c r="B11" s="4"/>
      <c r="C11" s="161"/>
      <c r="D11" s="161"/>
      <c r="E11" s="161"/>
      <c r="F11" s="161"/>
      <c r="G11" s="161"/>
      <c r="H11" s="4"/>
    </row>
    <row r="12" spans="1:12">
      <c r="B12" s="463" t="s">
        <v>1297</v>
      </c>
      <c r="C12" s="161"/>
      <c r="D12" s="161"/>
      <c r="E12" s="161"/>
      <c r="F12" s="161"/>
      <c r="G12" s="161"/>
      <c r="H12" s="4"/>
    </row>
    <row r="13" spans="1:12">
      <c r="B13" t="s">
        <v>522</v>
      </c>
      <c r="C13" s="161"/>
      <c r="D13" s="457">
        <f>'3c. Calculateur MEÉ 2-3-4'!G97</f>
        <v>0</v>
      </c>
      <c r="E13" s="457">
        <f>'3c. Calculateur MEÉ 2-3-4'!I97</f>
        <v>0</v>
      </c>
      <c r="F13" s="457">
        <f>'3c. Calculateur MEÉ 2-3-4'!K97</f>
        <v>0</v>
      </c>
      <c r="G13" s="457">
        <f>'3c. Calculateur MEÉ 2-3-4'!M97</f>
        <v>0</v>
      </c>
      <c r="H13" s="4"/>
    </row>
    <row r="14" spans="1:12">
      <c r="B14" t="s">
        <v>523</v>
      </c>
      <c r="D14" s="450">
        <f>'3c. Calculateur MEÉ 2-3-4'!G42</f>
        <v>0</v>
      </c>
      <c r="E14" s="450">
        <f>'3c. Calculateur MEÉ 2-3-4'!I42</f>
        <v>0</v>
      </c>
      <c r="F14" s="450">
        <f>'3c. Calculateur MEÉ 2-3-4'!K42</f>
        <v>0</v>
      </c>
      <c r="G14" s="450">
        <f>'3c. Calculateur MEÉ 2-3-4'!M42</f>
        <v>0</v>
      </c>
      <c r="H14" t="s">
        <v>544</v>
      </c>
    </row>
    <row r="15" spans="1:12">
      <c r="B15" s="467" t="s">
        <v>524</v>
      </c>
      <c r="C15" s="468"/>
      <c r="D15" s="469">
        <f>IF(D13=1,0,IF(D14&gt;Hypothèses!$B$103,Hypothèses!$D$103,IF(D14&lt;Hypothèses!$B$105,Hypothèses!$D$105,Hypothèses!$D$104)))</f>
        <v>6.0000000000000001E-3</v>
      </c>
      <c r="E15" s="469">
        <f>IF(E13=1,0,IF(E14&gt;Hypothèses!$B$103,Hypothèses!$D$103,IF(E14&lt;Hypothèses!$B$105,Hypothèses!$D$105,Hypothèses!$D$104)))</f>
        <v>6.0000000000000001E-3</v>
      </c>
      <c r="F15" s="469">
        <f>IF(F13=1,0,IF(F14&gt;Hypothèses!$B$103,Hypothèses!$D$103,IF(F14&lt;Hypothèses!$B$105,Hypothèses!$D$105,Hypothèses!$D$104)))</f>
        <v>6.0000000000000001E-3</v>
      </c>
      <c r="G15" s="470">
        <f>IF(G13=1,0,IF(G14&gt;Hypothèses!$B$103,Hypothèses!$D$103,IF(G14&lt;Hypothèses!$B$105,Hypothèses!$D$105,Hypothèses!$D$104)))</f>
        <v>6.0000000000000001E-3</v>
      </c>
    </row>
    <row r="16" spans="1:12">
      <c r="D16" s="139"/>
      <c r="E16" s="139"/>
      <c r="F16" s="139"/>
      <c r="G16" s="139"/>
    </row>
    <row r="17" spans="1:9">
      <c r="B17" s="463" t="s">
        <v>581</v>
      </c>
    </row>
    <row r="18" spans="1:9">
      <c r="B18" t="s">
        <v>537</v>
      </c>
    </row>
    <row r="19" spans="1:9">
      <c r="B19" s="676" t="s">
        <v>531</v>
      </c>
      <c r="C19" s="490"/>
      <c r="D19" s="677">
        <f>Combustion_Chaud1!E76</f>
        <v>0</v>
      </c>
      <c r="E19" s="678">
        <f>Combustion_Chaud2!E76</f>
        <v>0</v>
      </c>
      <c r="F19" s="678">
        <f>Combustion_Chaud3!E76</f>
        <v>0</v>
      </c>
      <c r="G19" s="678">
        <f>Combustion_Chaud4!E76</f>
        <v>0</v>
      </c>
    </row>
    <row r="20" spans="1:9">
      <c r="B20" s="218" t="s">
        <v>536</v>
      </c>
      <c r="D20" s="449">
        <f>D19-Hypothèses!$D$107</f>
        <v>-0.03</v>
      </c>
      <c r="E20" s="449">
        <f>E19-Hypothèses!$D$107</f>
        <v>-0.03</v>
      </c>
      <c r="F20" s="449">
        <f>F19-Hypothèses!$D$107</f>
        <v>-0.03</v>
      </c>
      <c r="G20" s="449">
        <f>G19-Hypothèses!$D$107</f>
        <v>-0.03</v>
      </c>
      <c r="I20" t="s">
        <v>960</v>
      </c>
    </row>
    <row r="21" spans="1:9">
      <c r="B21" s="467" t="s">
        <v>524</v>
      </c>
      <c r="C21" s="468"/>
      <c r="D21" s="469">
        <f>IF(D19&lt;Hypothèses!$D$107,0,D20*Hypothèses!$D$109)</f>
        <v>0</v>
      </c>
      <c r="E21" s="469">
        <f>IF(E19&lt;Hypothèses!$D$107,0,E20*Hypothèses!$D$109)</f>
        <v>0</v>
      </c>
      <c r="F21" s="469">
        <f>IF(F19&lt;Hypothèses!$D$107,0,F20*Hypothèses!$D$109)</f>
        <v>0</v>
      </c>
      <c r="G21" s="470">
        <f>IF(G19&lt;Hypothèses!$D$107,0,G20*Hypothèses!$D$109)</f>
        <v>0</v>
      </c>
    </row>
    <row r="22" spans="1:9">
      <c r="B22" s="8"/>
    </row>
    <row r="23" spans="1:9">
      <c r="B23" s="463" t="s">
        <v>582</v>
      </c>
    </row>
    <row r="24" spans="1:9">
      <c r="B24" t="s">
        <v>958</v>
      </c>
      <c r="C24" s="447">
        <f>Hypothèses!D126</f>
        <v>0.11298666751986337</v>
      </c>
    </row>
    <row r="25" spans="1:9">
      <c r="B25" t="s">
        <v>957</v>
      </c>
      <c r="D25" s="449">
        <f>D13^3*Hypothèses!$C$123+D13^2*Hypothèses!$D$123+D13*Hypothèses!$E$123+Hypothèses!$F$123</f>
        <v>-5.5260555422771571E-2</v>
      </c>
      <c r="E25" s="449">
        <f>E13^3*Hypothèses!$C$123+E13^2*Hypothèses!$D$123+E13*Hypothèses!$E$123+Hypothèses!$F$123</f>
        <v>-5.5260555422771571E-2</v>
      </c>
      <c r="F25" s="449">
        <f>F13^3*Hypothèses!$C$123+F13^2*Hypothèses!$D$123+F13*Hypothèses!$E$123+Hypothèses!$F$123</f>
        <v>-5.5260555422771571E-2</v>
      </c>
      <c r="G25" s="449">
        <f>G13^3*Hypothèses!$C$123+G13^2*Hypothèses!$D$123+G13*Hypothèses!$E$123+Hypothèses!$F$123</f>
        <v>-5.5260555422771571E-2</v>
      </c>
    </row>
    <row r="26" spans="1:9">
      <c r="B26" s="467" t="s">
        <v>524</v>
      </c>
      <c r="C26" s="468"/>
      <c r="D26" s="469">
        <f>MAX($C$24-D25,0)</f>
        <v>0.16824722294263494</v>
      </c>
      <c r="E26" s="469">
        <f>MAX($C$24-E25,0)</f>
        <v>0.16824722294263494</v>
      </c>
      <c r="F26" s="469">
        <f>MAX($C$24-F25,0)</f>
        <v>0.16824722294263494</v>
      </c>
      <c r="G26" s="469">
        <f>MAX($C$24-G25,0)</f>
        <v>0.16824722294263494</v>
      </c>
    </row>
    <row r="28" spans="1:9">
      <c r="B28" s="464" t="s">
        <v>610</v>
      </c>
      <c r="C28" s="465"/>
      <c r="D28" s="466">
        <f>IF(AND(D7=0,D8=0),0,D15+D21+D26)</f>
        <v>0</v>
      </c>
      <c r="E28" s="466">
        <f>IF(AND(E7=0,E8=0),0,E15+E21+E26)</f>
        <v>0</v>
      </c>
      <c r="F28" s="466">
        <f>IF(AND(F7=0,F8=0),0,F15+F21+F26)</f>
        <v>0</v>
      </c>
      <c r="G28" s="466">
        <f>IF(AND(G7=0,G8=0),0,G15+G21+G26)</f>
        <v>0</v>
      </c>
    </row>
    <row r="31" spans="1:9" ht="18">
      <c r="A31" s="698" t="s">
        <v>583</v>
      </c>
      <c r="C31" s="168"/>
      <c r="D31" s="167"/>
    </row>
    <row r="32" spans="1:9">
      <c r="B32" s="463" t="s">
        <v>584</v>
      </c>
    </row>
    <row r="33" spans="1:9">
      <c r="B33" t="s">
        <v>537</v>
      </c>
    </row>
    <row r="34" spans="1:9">
      <c r="B34" s="676" t="s">
        <v>531</v>
      </c>
      <c r="C34" s="490"/>
      <c r="D34" s="677">
        <f>Combustion_Chaud1!E76</f>
        <v>0</v>
      </c>
      <c r="E34" s="678">
        <f>Combustion_Chaud2!E76</f>
        <v>0</v>
      </c>
      <c r="F34" s="678">
        <f>Combustion_Chaud3!E76</f>
        <v>0</v>
      </c>
      <c r="G34" s="678">
        <f>Combustion_Chaud4!E76</f>
        <v>0</v>
      </c>
    </row>
    <row r="35" spans="1:9">
      <c r="B35" s="218" t="s">
        <v>536</v>
      </c>
      <c r="D35" s="449">
        <f>D34-Hypothèses!$D$108</f>
        <v>-1.4999999999999999E-2</v>
      </c>
      <c r="E35" s="449">
        <f>E34-Hypothèses!$D$108</f>
        <v>-1.4999999999999999E-2</v>
      </c>
      <c r="F35" s="449">
        <f>F34-Hypothèses!$D$108</f>
        <v>-1.4999999999999999E-2</v>
      </c>
      <c r="G35" s="449">
        <f>G34-Hypothèses!$D$108</f>
        <v>-1.4999999999999999E-2</v>
      </c>
      <c r="I35" t="s">
        <v>959</v>
      </c>
    </row>
    <row r="36" spans="1:9">
      <c r="B36" s="451" t="s">
        <v>524</v>
      </c>
      <c r="I36" t="s">
        <v>611</v>
      </c>
    </row>
    <row r="37" spans="1:9">
      <c r="B37" s="458" t="s">
        <v>550</v>
      </c>
      <c r="D37" s="459">
        <f>IF(D34&lt;Hypothèses!$D$108,0,Hypothèses!$D$109*(Hypothèses!$D$107-Hypothèses!$D$108))</f>
        <v>0</v>
      </c>
      <c r="E37" s="459">
        <f>IF(E34&lt;Hypothèses!$D$108,0,Hypothèses!$D$109*(Hypothèses!$D$107-Hypothèses!$D$108))</f>
        <v>0</v>
      </c>
      <c r="F37" s="459">
        <f>IF(F34&lt;Hypothèses!$D$108,0,Hypothèses!$D$109*(Hypothèses!$D$107-Hypothèses!$D$108))</f>
        <v>0</v>
      </c>
      <c r="G37" s="459">
        <f>IF(G34&lt;Hypothèses!$D$108,0,Hypothèses!$D$109*(Hypothèses!$D$107-Hypothèses!$D$108))</f>
        <v>0</v>
      </c>
    </row>
    <row r="38" spans="1:9">
      <c r="B38" s="458" t="s">
        <v>548</v>
      </c>
      <c r="D38" s="459">
        <f>IF(D34&lt;Hypothèses!$D$108,0,Hypothèses!$D$109*D35)</f>
        <v>0</v>
      </c>
      <c r="E38" s="459">
        <f>IF(E34&lt;Hypothèses!$D$108,0,Hypothèses!$D$109*E35)</f>
        <v>0</v>
      </c>
      <c r="F38" s="459">
        <f>IF(F34&lt;Hypothèses!$D$108,0,Hypothèses!$D$109*F35)</f>
        <v>0</v>
      </c>
      <c r="G38" s="459">
        <f>IF(G34&lt;Hypothèses!$D$108,0,Hypothèses!$D$109*G35)</f>
        <v>0</v>
      </c>
    </row>
    <row r="39" spans="1:9">
      <c r="B39" s="467" t="s">
        <v>580</v>
      </c>
      <c r="C39" s="468"/>
      <c r="D39" s="469">
        <f>IF(SUM(D7:D9)=0,0,IF(D7=1,0,IF(D9=1,D38,D37)))</f>
        <v>0</v>
      </c>
      <c r="E39" s="469">
        <f>IF(SUM(E7:E9)=0,0,IF(E7=1,0,IF(E9=1,E38,E37)))</f>
        <v>0</v>
      </c>
      <c r="F39" s="469">
        <f>IF(SUM(F7:F9)=0,0,IF(F7=1,0,IF(F9=1,F38,F37)))</f>
        <v>0</v>
      </c>
      <c r="G39" s="469">
        <f>IF(SUM(G7:G9)=0,0,IF(G7=1,0,IF(G9=1,G38,G37)))</f>
        <v>0</v>
      </c>
    </row>
    <row r="41" spans="1:9">
      <c r="A41" s="699"/>
      <c r="B41" s="463" t="s">
        <v>585</v>
      </c>
    </row>
    <row r="42" spans="1:9">
      <c r="B42" t="s">
        <v>562</v>
      </c>
      <c r="C42" s="177" t="str">
        <f>'3c. Calculateur MEÉ 2-3-4'!G21</f>
        <v>&lt; sélectionner &gt;</v>
      </c>
    </row>
    <row r="43" spans="1:9">
      <c r="B43" t="s">
        <v>579</v>
      </c>
      <c r="C43" s="454">
        <f>IF(C42="CVAC",1,0)</f>
        <v>0</v>
      </c>
    </row>
    <row r="44" spans="1:9">
      <c r="B44" t="s">
        <v>1468</v>
      </c>
      <c r="C44" s="454">
        <f>IF(OR(C42="Procédé",C42="Eau chaude sanitaire"),1,0)</f>
        <v>0</v>
      </c>
    </row>
    <row r="46" spans="1:9">
      <c r="B46" s="467" t="s">
        <v>560</v>
      </c>
      <c r="C46" s="471">
        <f>IF(C43=1,Hypothèses!D171,IF(C44=1,Hypothèses!D172,0))</f>
        <v>0</v>
      </c>
    </row>
    <row r="48" spans="1:9">
      <c r="B48" s="464" t="s">
        <v>564</v>
      </c>
      <c r="C48" s="465"/>
      <c r="D48" s="466">
        <f>D39+$C$46</f>
        <v>0</v>
      </c>
      <c r="E48" s="466">
        <f>E39+$C$46</f>
        <v>0</v>
      </c>
      <c r="F48" s="466">
        <f>F39+$C$46</f>
        <v>0</v>
      </c>
      <c r="G48" s="466">
        <f>G39+$C$46</f>
        <v>0</v>
      </c>
    </row>
    <row r="50" spans="2:11">
      <c r="B50" s="5" t="s">
        <v>569</v>
      </c>
      <c r="C50" s="6"/>
      <c r="D50" s="6"/>
      <c r="E50" s="6"/>
      <c r="F50" s="6"/>
      <c r="G50" s="6"/>
      <c r="H50" s="6"/>
      <c r="I50" s="6"/>
    </row>
    <row r="51" spans="2:11">
      <c r="B51" s="453" t="s">
        <v>24</v>
      </c>
    </row>
    <row r="52" spans="2:11">
      <c r="B52" t="s">
        <v>542</v>
      </c>
      <c r="D52" s="450">
        <f t="shared" ref="D52:G54" si="2">D7</f>
        <v>0</v>
      </c>
      <c r="E52" s="450">
        <f t="shared" si="2"/>
        <v>0</v>
      </c>
      <c r="F52" s="450">
        <f t="shared" si="2"/>
        <v>0</v>
      </c>
      <c r="G52" s="450">
        <f t="shared" si="2"/>
        <v>0</v>
      </c>
    </row>
    <row r="53" spans="2:11">
      <c r="B53" t="s">
        <v>541</v>
      </c>
      <c r="D53" s="450">
        <f t="shared" si="2"/>
        <v>0</v>
      </c>
      <c r="E53" s="450">
        <f t="shared" si="2"/>
        <v>0</v>
      </c>
      <c r="F53" s="450">
        <f t="shared" si="2"/>
        <v>0</v>
      </c>
      <c r="G53" s="450">
        <f t="shared" si="2"/>
        <v>0</v>
      </c>
    </row>
    <row r="54" spans="2:11">
      <c r="B54" t="s">
        <v>543</v>
      </c>
      <c r="D54" s="450">
        <f t="shared" si="2"/>
        <v>0</v>
      </c>
      <c r="E54" s="450">
        <f t="shared" si="2"/>
        <v>0</v>
      </c>
      <c r="F54" s="450">
        <f t="shared" si="2"/>
        <v>0</v>
      </c>
      <c r="G54" s="450">
        <f t="shared" si="2"/>
        <v>0</v>
      </c>
    </row>
    <row r="55" spans="2:11">
      <c r="D55" s="242"/>
      <c r="E55" s="242"/>
      <c r="F55" s="242"/>
      <c r="G55" s="242"/>
    </row>
    <row r="56" spans="2:11">
      <c r="B56" s="243" t="s">
        <v>17</v>
      </c>
      <c r="C56" s="243"/>
      <c r="D56" s="679">
        <f>D52+D53</f>
        <v>0</v>
      </c>
      <c r="E56" s="679">
        <f t="shared" ref="E56:G56" si="3">E52+E53</f>
        <v>0</v>
      </c>
      <c r="F56" s="679">
        <f>F52+F53</f>
        <v>0</v>
      </c>
      <c r="G56" s="679">
        <f t="shared" si="3"/>
        <v>0</v>
      </c>
      <c r="H56" s="243"/>
    </row>
    <row r="57" spans="2:11">
      <c r="B57" s="243" t="s">
        <v>573</v>
      </c>
      <c r="C57" s="243"/>
      <c r="D57" s="679">
        <f>D54+D53</f>
        <v>0</v>
      </c>
      <c r="E57" s="679">
        <f t="shared" ref="E57:G57" si="4">E54+E53</f>
        <v>0</v>
      </c>
      <c r="F57" s="679">
        <f>F54+F53</f>
        <v>0</v>
      </c>
      <c r="G57" s="679">
        <f t="shared" si="4"/>
        <v>0</v>
      </c>
      <c r="H57" s="243"/>
    </row>
    <row r="59" spans="2:11">
      <c r="B59" s="672" t="s">
        <v>1820</v>
      </c>
      <c r="C59" s="659"/>
      <c r="D59" s="659"/>
      <c r="E59" s="659"/>
      <c r="F59" s="659"/>
      <c r="G59" s="659"/>
      <c r="H59" s="659"/>
      <c r="I59" s="659"/>
    </row>
    <row r="60" spans="2:11">
      <c r="B60" t="s">
        <v>567</v>
      </c>
      <c r="D60" s="683">
        <f>'P opération brûleur - avant MEE'!D76</f>
        <v>0.83747950019628004</v>
      </c>
      <c r="E60" s="683">
        <f>'P opération brûleur - avant MEE'!E76</f>
        <v>0.83747950019628004</v>
      </c>
      <c r="F60" s="683">
        <f>'P opération brûleur - avant MEE'!F76</f>
        <v>0.83747950019628004</v>
      </c>
      <c r="G60" s="683">
        <f>'P opération brûleur - avant MEE'!G76</f>
        <v>0.83747950019628004</v>
      </c>
    </row>
    <row r="61" spans="2:11">
      <c r="B61" s="680" t="s">
        <v>570</v>
      </c>
      <c r="C61" s="680"/>
      <c r="D61" s="681">
        <f>MIN(D28,Hypothèses!$D$132-'Micromodulation et sonde O2'!D60)</f>
        <v>0</v>
      </c>
      <c r="E61" s="681">
        <f>MIN(E28,Hypothèses!$D$132-'Micromodulation et sonde O2'!E60)</f>
        <v>0</v>
      </c>
      <c r="F61" s="681">
        <f>MIN(F28,Hypothèses!$D$132-'Micromodulation et sonde O2'!F60)</f>
        <v>0</v>
      </c>
      <c r="G61" s="681">
        <f>MIN(G28,Hypothèses!$D$132-'Micromodulation et sonde O2'!G60)</f>
        <v>0</v>
      </c>
      <c r="I61" s="948"/>
      <c r="J61" s="948"/>
      <c r="K61" s="949"/>
    </row>
    <row r="62" spans="2:11">
      <c r="B62" s="680" t="s">
        <v>571</v>
      </c>
      <c r="C62" s="680"/>
      <c r="D62" s="682">
        <f>D48</f>
        <v>0</v>
      </c>
      <c r="E62" s="682">
        <f>E48</f>
        <v>0</v>
      </c>
      <c r="F62" s="682">
        <f>F48</f>
        <v>0</v>
      </c>
      <c r="G62" s="682">
        <f t="shared" ref="G62" si="5">G48</f>
        <v>0</v>
      </c>
      <c r="I62" s="948"/>
      <c r="J62" s="948"/>
      <c r="K62" s="949"/>
    </row>
    <row r="63" spans="2:11">
      <c r="B63" s="947" t="s">
        <v>572</v>
      </c>
      <c r="C63" s="460"/>
      <c r="D63" s="946">
        <f>D61*D56+D62*D57</f>
        <v>0</v>
      </c>
      <c r="E63" s="946">
        <f t="shared" ref="E63:G63" si="6">E61*E56+E62*E57</f>
        <v>0</v>
      </c>
      <c r="F63" s="946">
        <f>F61*F56+F62*F57</f>
        <v>0</v>
      </c>
      <c r="G63" s="946">
        <f t="shared" si="6"/>
        <v>0</v>
      </c>
    </row>
    <row r="64" spans="2:11">
      <c r="B64" s="655" t="s">
        <v>568</v>
      </c>
      <c r="C64" s="655"/>
      <c r="D64" s="656">
        <f>D60+D63</f>
        <v>0.83747950019628004</v>
      </c>
      <c r="E64" s="656">
        <f>E60+E63</f>
        <v>0.83747950019628004</v>
      </c>
      <c r="F64" s="656">
        <f>MIN(F60+F63,Hypothèses!$D$132)</f>
        <v>0.83747950019628004</v>
      </c>
      <c r="G64" s="656">
        <f>MIN(G60+G63,Hypothèses!$D$132)</f>
        <v>0.83747950019628004</v>
      </c>
    </row>
    <row r="65" spans="2:9">
      <c r="B65" s="218" t="s">
        <v>932</v>
      </c>
      <c r="C65" s="4"/>
      <c r="D65" s="657">
        <f>D60+D56*D61</f>
        <v>0.83747950019628004</v>
      </c>
      <c r="E65" s="657">
        <f>E60+E56*E61</f>
        <v>0.83747950019628004</v>
      </c>
      <c r="F65" s="657">
        <f>MIN(F60+F56*F61,Hypothèses!$D$132)</f>
        <v>0.83747950019628004</v>
      </c>
      <c r="G65" s="657">
        <f>MIN(G60+G56*G61,Hypothèses!$D$132)</f>
        <v>0.83747950019628004</v>
      </c>
    </row>
    <row r="66" spans="2:9">
      <c r="B66" s="458" t="s">
        <v>933</v>
      </c>
      <c r="D66" s="657">
        <f>D60+D62*D57</f>
        <v>0.83747950019628004</v>
      </c>
      <c r="E66" s="657">
        <f>E60+E62*E57</f>
        <v>0.83747950019628004</v>
      </c>
      <c r="F66" s="657">
        <f>MIN(F60+F62*F57,Hypothèses!$D$132)</f>
        <v>0.83747950019628004</v>
      </c>
      <c r="G66" s="657">
        <f>MIN(G60+G62*G57,Hypothèses!$D$132)</f>
        <v>0.83747950019628004</v>
      </c>
    </row>
    <row r="67" spans="2:9">
      <c r="B67" s="458"/>
      <c r="D67" s="657"/>
      <c r="E67" s="657"/>
      <c r="F67" s="657"/>
      <c r="G67" s="657"/>
    </row>
    <row r="68" spans="2:9">
      <c r="B68" s="460" t="s">
        <v>1583</v>
      </c>
      <c r="D68" s="657"/>
      <c r="E68" s="657"/>
      <c r="F68" s="657"/>
      <c r="G68" s="657"/>
    </row>
    <row r="69" spans="2:9">
      <c r="B69" s="218" t="s">
        <v>932</v>
      </c>
      <c r="D69" s="951">
        <f>IFERROR(D61*D56/(D61*D56+D62*D57),0)</f>
        <v>0</v>
      </c>
      <c r="E69" s="951">
        <f t="shared" ref="E69:G69" si="7">IFERROR(E61*E56/(E61*E56+E62*E57),0)</f>
        <v>0</v>
      </c>
      <c r="F69" s="951">
        <f t="shared" si="7"/>
        <v>0</v>
      </c>
      <c r="G69" s="951">
        <f t="shared" si="7"/>
        <v>0</v>
      </c>
    </row>
    <row r="70" spans="2:9">
      <c r="B70" s="458" t="s">
        <v>933</v>
      </c>
      <c r="D70" s="952">
        <f>IFERROR(D62*D57/(D61*D56+D62*D57),0)</f>
        <v>0</v>
      </c>
      <c r="E70" s="952">
        <f t="shared" ref="E70:G70" si="8">IFERROR(E62*E57/(E61*E56+E62*E57),0)</f>
        <v>0</v>
      </c>
      <c r="F70" s="952">
        <f t="shared" si="8"/>
        <v>0</v>
      </c>
      <c r="G70" s="952">
        <f t="shared" si="8"/>
        <v>0</v>
      </c>
    </row>
    <row r="71" spans="2:9">
      <c r="B71" s="458"/>
      <c r="D71" s="242"/>
      <c r="E71" s="242"/>
      <c r="F71" s="242"/>
      <c r="G71" s="242"/>
    </row>
    <row r="72" spans="2:9">
      <c r="B72" s="673" t="s">
        <v>574</v>
      </c>
      <c r="C72" s="659"/>
      <c r="D72" s="674"/>
      <c r="E72" s="674"/>
      <c r="F72" s="674"/>
      <c r="G72" s="674"/>
      <c r="H72" s="659"/>
      <c r="I72" s="659"/>
    </row>
    <row r="73" spans="2:9" ht="18">
      <c r="B73" s="167" t="s">
        <v>577</v>
      </c>
      <c r="D73" s="462">
        <f>'P opération brûleur - avant MEE'!$D$98</f>
        <v>0</v>
      </c>
      <c r="E73" s="462">
        <f>'P opération brûleur - avant MEE'!$E$98</f>
        <v>0</v>
      </c>
      <c r="F73" s="462">
        <f>'P opération brûleur - avant MEE'!$F$98</f>
        <v>0</v>
      </c>
      <c r="G73" s="462">
        <f>'P opération brûleur - avant MEE'!$G$98</f>
        <v>0</v>
      </c>
      <c r="H73" t="s">
        <v>5</v>
      </c>
    </row>
    <row r="74" spans="2:9">
      <c r="B74" s="167" t="s">
        <v>1821</v>
      </c>
      <c r="D74" s="449">
        <f>'P opération brûleur - avant MEE'!D77</f>
        <v>2.5999999999999999E-2</v>
      </c>
      <c r="E74" s="449">
        <f>'P opération brûleur - avant MEE'!E77</f>
        <v>2.5999999999999999E-2</v>
      </c>
      <c r="F74" s="449">
        <f>'P opération brûleur - avant MEE'!F77</f>
        <v>2.5999999999999999E-2</v>
      </c>
      <c r="G74" s="449">
        <f>'P opération brûleur - avant MEE'!G77</f>
        <v>2.5999999999999999E-2</v>
      </c>
    </row>
    <row r="75" spans="2:9" ht="18">
      <c r="B75" s="167" t="s">
        <v>1822</v>
      </c>
      <c r="D75" s="187"/>
      <c r="E75" s="187"/>
      <c r="F75" s="187"/>
      <c r="G75" s="187"/>
    </row>
    <row r="76" spans="2:9">
      <c r="B76" s="472" t="s">
        <v>575</v>
      </c>
      <c r="D76" s="607">
        <f>D73/(D60-D74)</f>
        <v>0</v>
      </c>
      <c r="E76" s="607">
        <f t="shared" ref="E76:G76" si="9">E73/(E60-E74)</f>
        <v>0</v>
      </c>
      <c r="F76" s="607">
        <f t="shared" si="9"/>
        <v>0</v>
      </c>
      <c r="G76" s="607">
        <f t="shared" si="9"/>
        <v>0</v>
      </c>
      <c r="H76" t="s">
        <v>5</v>
      </c>
    </row>
    <row r="77" spans="2:9">
      <c r="B77" s="651" t="s">
        <v>576</v>
      </c>
      <c r="C77" s="490"/>
      <c r="D77" s="606">
        <f>D73/(D64-D74)</f>
        <v>0</v>
      </c>
      <c r="E77" s="606">
        <f t="shared" ref="E77:G77" si="10">E73/(E64-E74)</f>
        <v>0</v>
      </c>
      <c r="F77" s="606">
        <f t="shared" si="10"/>
        <v>0</v>
      </c>
      <c r="G77" s="606">
        <f t="shared" si="10"/>
        <v>0</v>
      </c>
      <c r="H77" s="490" t="s">
        <v>5</v>
      </c>
    </row>
    <row r="78" spans="2:9">
      <c r="B78" s="653" t="s">
        <v>578</v>
      </c>
      <c r="D78" s="461">
        <f>D76-D77</f>
        <v>0</v>
      </c>
      <c r="E78" s="461">
        <f>E76-E77</f>
        <v>0</v>
      </c>
      <c r="F78" s="461">
        <f>F76-F77</f>
        <v>0</v>
      </c>
      <c r="G78" s="461">
        <f>G76-G77</f>
        <v>0</v>
      </c>
      <c r="H78" s="4" t="s">
        <v>5</v>
      </c>
      <c r="I78" t="s">
        <v>961</v>
      </c>
    </row>
    <row r="79" spans="2:9">
      <c r="B79" s="652" t="s">
        <v>927</v>
      </c>
      <c r="D79" s="696">
        <f>D78*D69</f>
        <v>0</v>
      </c>
      <c r="E79" s="696">
        <f>E78*E69</f>
        <v>0</v>
      </c>
      <c r="F79" s="696">
        <f>F78*F69</f>
        <v>0</v>
      </c>
      <c r="G79" s="696">
        <f>G78*G69</f>
        <v>0</v>
      </c>
      <c r="H79" t="s">
        <v>5</v>
      </c>
    </row>
    <row r="80" spans="2:9">
      <c r="B80" s="652" t="s">
        <v>928</v>
      </c>
      <c r="D80" s="696">
        <f>D78*D70</f>
        <v>0</v>
      </c>
      <c r="E80" s="696">
        <f>E78*E70</f>
        <v>0</v>
      </c>
      <c r="F80" s="696">
        <f t="shared" ref="F80:G80" si="11">F78*F70</f>
        <v>0</v>
      </c>
      <c r="G80" s="696">
        <f t="shared" si="11"/>
        <v>0</v>
      </c>
      <c r="H80" t="s">
        <v>5</v>
      </c>
    </row>
    <row r="81" spans="2:7">
      <c r="B81" s="650"/>
      <c r="C81" s="4"/>
    </row>
    <row r="82" spans="2:7">
      <c r="E82" s="160"/>
    </row>
    <row r="85" spans="2:7">
      <c r="D85" s="277"/>
      <c r="E85" s="277"/>
      <c r="F85" s="277"/>
      <c r="G85" s="277"/>
    </row>
    <row r="86" spans="2:7">
      <c r="D86" s="277"/>
      <c r="E86" s="277"/>
      <c r="F86" s="277"/>
      <c r="G86" s="277"/>
    </row>
    <row r="87" spans="2:7">
      <c r="E87" s="948"/>
    </row>
  </sheetData>
  <sortState xmlns:xlrd2="http://schemas.microsoft.com/office/spreadsheetml/2017/richdata2" ref="K5:L8">
    <sortCondition ref="K5:K8"/>
  </sortState>
  <pageMargins left="0.7" right="0.7" top="0.75" bottom="0.75" header="0.3" footer="0.3"/>
  <pageSetup orientation="portrait" horizontalDpi="4294967293"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workbookViewId="0"/>
  </sheetViews>
  <sheetFormatPr baseColWidth="10" defaultColWidth="11.42578125" defaultRowHeight="12.75"/>
  <cols>
    <col min="1" max="1" width="22.5703125" style="27" customWidth="1"/>
    <col min="2" max="2" width="11.42578125" style="27"/>
    <col min="3" max="3" width="29.425781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5703125" style="27" customWidth="1"/>
    <col min="16" max="16" width="12.140625" style="27" customWidth="1"/>
    <col min="17" max="18" width="10.5703125" style="27" customWidth="1"/>
    <col min="19" max="19" width="11.5703125" style="27" customWidth="1"/>
    <col min="20" max="22" width="10.5703125" style="27" customWidth="1"/>
    <col min="23" max="25" width="11.42578125" style="27"/>
    <col min="26" max="26" width="11.42578125" style="701"/>
    <col min="27" max="27" width="13.85546875" style="31" customWidth="1"/>
    <col min="28" max="29" width="13.85546875" style="27" customWidth="1"/>
    <col min="30" max="16384" width="11.42578125" style="27"/>
  </cols>
  <sheetData>
    <row r="1" spans="1:31">
      <c r="G1" s="476"/>
      <c r="AA1" s="2399" t="s">
        <v>594</v>
      </c>
      <c r="AB1" s="2399"/>
      <c r="AC1" s="2399"/>
    </row>
    <row r="2" spans="1:31" ht="15">
      <c r="B2"/>
      <c r="C2" s="700"/>
      <c r="E2" s="28" t="s">
        <v>164</v>
      </c>
      <c r="F2" s="29" t="s">
        <v>19</v>
      </c>
      <c r="G2" s="689">
        <f>1-(G4/(G5+ABS(L27)))</f>
        <v>0.83178495081709203</v>
      </c>
      <c r="AA2" s="2399"/>
      <c r="AB2" s="2399"/>
      <c r="AC2" s="2399"/>
    </row>
    <row r="3" spans="1:31" ht="13.5" thickBot="1">
      <c r="U3" s="477"/>
      <c r="AA3" s="2399"/>
      <c r="AB3" s="2399"/>
      <c r="AC3" s="2399"/>
    </row>
    <row r="4" spans="1:31" ht="13.5" thickBot="1">
      <c r="E4" s="31" t="s">
        <v>165</v>
      </c>
      <c r="F4" s="31" t="s">
        <v>166</v>
      </c>
      <c r="G4" s="373">
        <f>V27</f>
        <v>147746.41540124468</v>
      </c>
      <c r="H4" s="33"/>
      <c r="AA4" s="73" t="s">
        <v>592</v>
      </c>
      <c r="AB4" s="480">
        <f>'Micromodulation et sonde O2'!D64</f>
        <v>0.83747950019628004</v>
      </c>
      <c r="AD4" s="478"/>
    </row>
    <row r="5" spans="1:31">
      <c r="A5" s="34" t="s">
        <v>167</v>
      </c>
      <c r="E5" s="31" t="s">
        <v>168</v>
      </c>
      <c r="F5" s="31" t="s">
        <v>166</v>
      </c>
      <c r="G5" s="373">
        <f>P27+S27</f>
        <v>-4679.9930678642395</v>
      </c>
      <c r="J5" s="2351" t="s">
        <v>509</v>
      </c>
      <c r="K5" s="2352"/>
      <c r="L5" s="2352"/>
      <c r="M5" s="2353"/>
      <c r="N5" s="2400" t="s">
        <v>169</v>
      </c>
      <c r="O5" s="2401"/>
      <c r="P5" s="2401"/>
      <c r="Q5" s="2401"/>
      <c r="R5" s="2401"/>
      <c r="S5" s="2401"/>
      <c r="T5" s="2401"/>
      <c r="U5" s="2401"/>
      <c r="V5" s="2402"/>
      <c r="AA5" s="73" t="s">
        <v>586</v>
      </c>
      <c r="AB5" s="702">
        <f>(AB4-AE23)/AE22</f>
        <v>185.02594756122116</v>
      </c>
      <c r="AC5" s="479" t="s">
        <v>16</v>
      </c>
      <c r="AD5" s="704"/>
      <c r="AE5" s="701"/>
    </row>
    <row r="6" spans="1:31">
      <c r="A6" s="418" t="s">
        <v>508</v>
      </c>
      <c r="J6" s="2354" t="s">
        <v>507</v>
      </c>
      <c r="K6" s="2355"/>
      <c r="L6" s="2355"/>
      <c r="M6" s="2356"/>
      <c r="N6" s="2366" t="s">
        <v>506</v>
      </c>
      <c r="O6" s="2367"/>
      <c r="P6" s="2368"/>
      <c r="Q6" s="2366" t="s">
        <v>170</v>
      </c>
      <c r="R6" s="2367"/>
      <c r="S6" s="2368"/>
      <c r="T6" s="2366" t="s">
        <v>223</v>
      </c>
      <c r="U6" s="2367"/>
      <c r="V6" s="2368"/>
      <c r="AA6" s="73"/>
      <c r="AB6" s="475"/>
      <c r="AD6" s="701"/>
      <c r="AE6" s="701"/>
    </row>
    <row r="7" spans="1:31" ht="14.25" customHeight="1">
      <c r="C7" s="2373" t="s">
        <v>505</v>
      </c>
      <c r="D7" s="2341" t="s">
        <v>504</v>
      </c>
      <c r="E7" s="2343"/>
      <c r="F7" s="2341" t="s">
        <v>503</v>
      </c>
      <c r="G7" s="2342"/>
      <c r="H7" s="2342"/>
      <c r="I7" s="2342"/>
      <c r="J7" s="36" t="s">
        <v>171</v>
      </c>
      <c r="K7" s="37" t="s">
        <v>172</v>
      </c>
      <c r="L7" s="37" t="s">
        <v>502</v>
      </c>
      <c r="M7" s="2357" t="s">
        <v>501</v>
      </c>
      <c r="N7" s="38" t="s">
        <v>173</v>
      </c>
      <c r="O7" s="39">
        <f>'3c. Calculateur MEÉ 2-3-4'!G40</f>
        <v>0</v>
      </c>
      <c r="P7" s="40"/>
      <c r="Q7" s="41" t="s">
        <v>173</v>
      </c>
      <c r="R7" s="42">
        <f>'3c. Calculateur MEÉ 2-3-4'!G39</f>
        <v>0</v>
      </c>
      <c r="S7" s="40"/>
      <c r="T7" s="41" t="s">
        <v>173</v>
      </c>
      <c r="U7" s="489">
        <v>200</v>
      </c>
      <c r="V7" s="40"/>
      <c r="AA7" s="485" t="s">
        <v>596</v>
      </c>
      <c r="AB7" s="481" t="s">
        <v>595</v>
      </c>
      <c r="AD7" s="701"/>
      <c r="AE7" s="701"/>
    </row>
    <row r="8" spans="1:31" ht="39.75">
      <c r="C8" s="2374"/>
      <c r="D8" s="417" t="s">
        <v>500</v>
      </c>
      <c r="E8" s="416" t="s">
        <v>499</v>
      </c>
      <c r="F8" s="2349" t="s">
        <v>174</v>
      </c>
      <c r="G8" s="2350"/>
      <c r="H8" s="2350"/>
      <c r="I8" s="2350"/>
      <c r="J8" s="43" t="s">
        <v>175</v>
      </c>
      <c r="K8" s="45" t="s">
        <v>175</v>
      </c>
      <c r="L8" s="45"/>
      <c r="M8" s="2358"/>
      <c r="N8" s="45" t="s">
        <v>176</v>
      </c>
      <c r="O8" s="45" t="s">
        <v>177</v>
      </c>
      <c r="P8" s="44" t="s">
        <v>178</v>
      </c>
      <c r="Q8" s="43" t="s">
        <v>176</v>
      </c>
      <c r="R8" s="45" t="s">
        <v>177</v>
      </c>
      <c r="S8" s="44" t="s">
        <v>178</v>
      </c>
      <c r="T8" s="43" t="s">
        <v>176</v>
      </c>
      <c r="U8" s="45" t="s">
        <v>177</v>
      </c>
      <c r="V8" s="44" t="s">
        <v>178</v>
      </c>
      <c r="AA8" s="486"/>
      <c r="AB8" s="488"/>
      <c r="AD8" s="701"/>
      <c r="AE8" s="701"/>
    </row>
    <row r="9" spans="1:31" ht="22.5">
      <c r="B9" s="27" t="s">
        <v>44</v>
      </c>
      <c r="C9" s="365" t="s">
        <v>498</v>
      </c>
      <c r="D9" s="2375" t="s">
        <v>498</v>
      </c>
      <c r="E9" s="2376"/>
      <c r="F9" s="2370" t="s">
        <v>211</v>
      </c>
      <c r="G9" s="2371"/>
      <c r="H9" s="2371"/>
      <c r="I9" s="2372"/>
      <c r="J9" s="43"/>
      <c r="K9" s="45"/>
      <c r="L9" s="45"/>
      <c r="M9" s="415" t="s">
        <v>497</v>
      </c>
      <c r="N9" s="45"/>
      <c r="O9" s="45"/>
      <c r="P9" s="44"/>
      <c r="Q9" s="45"/>
      <c r="R9" s="45"/>
      <c r="S9" s="44"/>
      <c r="T9" s="45"/>
      <c r="U9" s="45"/>
      <c r="V9" s="44"/>
      <c r="AA9" s="487"/>
      <c r="AB9" s="482">
        <f>1-(G4/(G5+ABS(L27)))</f>
        <v>0.83178495081709203</v>
      </c>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483">
        <f t="dataTable" ref="AB10:AB100" dt2D="0" dtr="0" r1="U7"/>
        <v>0.83178495081709203</v>
      </c>
    </row>
    <row r="11" spans="1:31"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'Combustion_Chaud1 (Micro)'!C53/100</f>
        <v>0</v>
      </c>
      <c r="O11" s="58">
        <f>AVERAGE($F11+$G11/100*O$7+$H11/100000*O$7^2+$I11/1000000000*O$7^3,$F11+$G11/100*$B$28+$H11/100000*$B$28^2+$I11/1000000000*$B$28^3)</f>
        <v>29.189302368703927</v>
      </c>
      <c r="P11" s="60">
        <f>N11*O11*(O$7-$B$28)</f>
        <v>0</v>
      </c>
      <c r="Q11" s="59">
        <f>'Combustion_Chaud1 (Micro)'!G88</f>
        <v>1.9809999999999999</v>
      </c>
      <c r="R11" s="58">
        <f t="shared" ref="R11:R26" si="3">AVERAGE($F11+$G11/100*R$7+$H11/100000*R$7^2+$I11/1000000000*R$7^3,$F11+$G11/100*$B$28+$H11/100000*$B$28^2+$I11/1000000000*$B$28^3)</f>
        <v>29.189302368703927</v>
      </c>
      <c r="S11" s="400">
        <f>Q11*R11*(R$7-$B$28)</f>
        <v>-899.16332428185854</v>
      </c>
      <c r="T11" s="59">
        <f>'Combustion_Chaud1 (Micro)'!L79</f>
        <v>0</v>
      </c>
      <c r="U11" s="58">
        <f t="shared" ref="U11:U26" si="4">AVERAGE($F11+$G11/100*U$7+$H11/100000*U$7^2+$I11/1000000000*U$7^3,$F11+$G11/100*$B$28+$H11/100000*$B$28^2+$I11/1000000000*$B$28^3)</f>
        <v>30.231026368703926</v>
      </c>
      <c r="V11" s="400">
        <f>T11*U11*(U$7-$B$28)</f>
        <v>0</v>
      </c>
      <c r="AA11" s="62">
        <f>AA10-1</f>
        <v>199</v>
      </c>
      <c r="AB11" s="483">
        <v>0.8321652578193105</v>
      </c>
    </row>
    <row r="12" spans="1:31">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'Combustion_Chaud1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62">
        <f>AA11-1</f>
        <v>198</v>
      </c>
      <c r="AB12" s="483">
        <v>0.83254546886665315</v>
      </c>
    </row>
    <row r="13" spans="1:31" ht="15.75">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'Combustion_Chaud1 (Micro)'!C55/100</f>
        <v>6.4000000000000003E-3</v>
      </c>
      <c r="O13" s="58">
        <f t="shared" si="6"/>
        <v>36.435639363340258</v>
      </c>
      <c r="P13" s="60">
        <f>N13*O13*(O$7-$B$28)</f>
        <v>-3.6260748294396228</v>
      </c>
      <c r="Q13" s="403"/>
      <c r="R13" s="58">
        <f t="shared" si="3"/>
        <v>36.435639363340258</v>
      </c>
      <c r="S13" s="400">
        <f>Q13*R13*(R$7-$B$28)</f>
        <v>0</v>
      </c>
      <c r="T13" s="59">
        <f>'Combustion_Chaud1 (Micro)'!L78</f>
        <v>1.0020999999999998</v>
      </c>
      <c r="U13" s="58">
        <f t="shared" si="4"/>
        <v>40.12109536334026</v>
      </c>
      <c r="V13" s="400">
        <f>T13*U13*(U$7-$B$28)</f>
        <v>7415.8767454516219</v>
      </c>
      <c r="AA13" s="62">
        <f t="shared" ref="AA13:AA76" si="7">AA12-1</f>
        <v>197</v>
      </c>
      <c r="AB13" s="483">
        <v>0.8329255840013533</v>
      </c>
    </row>
    <row r="14" spans="1:31" ht="15.75">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'Combustion_Chaud1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62">
        <f t="shared" si="7"/>
        <v>196</v>
      </c>
      <c r="AB14" s="483">
        <v>0.83330560326593162</v>
      </c>
    </row>
    <row r="15" spans="1:31" ht="15.75">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'Combustion_Chaud1 (Micro)'!C57/100</f>
        <v>0</v>
      </c>
      <c r="O15" s="58">
        <f t="shared" si="6"/>
        <v>33.514404578213124</v>
      </c>
      <c r="P15" s="60">
        <f>N15*(W15+O15*(O$7-$B$28))</f>
        <v>0</v>
      </c>
      <c r="Q15" s="59">
        <f>'Combustion_Chaud1 (Micro)'!G89</f>
        <v>2.8419786239875467E-3</v>
      </c>
      <c r="R15" s="58">
        <f t="shared" si="3"/>
        <v>33.514404578213124</v>
      </c>
      <c r="S15" s="400">
        <f>Q15*(W15+R15*(R$7-$B$28))</f>
        <v>124.72549244116087</v>
      </c>
      <c r="T15" s="59">
        <f>'Combustion_Chaud1 (Micro)'!L81-T16</f>
        <v>1.9734419786239874</v>
      </c>
      <c r="U15" s="58">
        <f t="shared" si="4"/>
        <v>34.340112578213123</v>
      </c>
      <c r="V15" s="404">
        <f>((T15-G89)*$W$15)+(T15*U15*(U$7-$B$28))</f>
        <v>100010.25292597419</v>
      </c>
      <c r="W15" s="375">
        <v>44408</v>
      </c>
      <c r="X15" s="27" t="s">
        <v>195</v>
      </c>
      <c r="AA15" s="62">
        <f t="shared" si="7"/>
        <v>195</v>
      </c>
      <c r="AB15" s="483">
        <v>0.83368552670319507</v>
      </c>
    </row>
    <row r="16" spans="1:31" ht="15.75">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8">N16*O16*(O$7-$B$28)</f>
        <v>0</v>
      </c>
      <c r="Q16" s="403"/>
      <c r="R16" s="58">
        <f t="shared" si="3"/>
        <v>75.400000000000006</v>
      </c>
      <c r="S16" s="400">
        <f t="shared" ref="S16:S26" si="9">Q16*R16*(R$7-$B$28)</f>
        <v>0</v>
      </c>
      <c r="T16" s="59">
        <f>'Combustion_Chaud1 (Micro)'!L92</f>
        <v>0</v>
      </c>
      <c r="U16" s="58">
        <f t="shared" si="4"/>
        <v>75.400000000000006</v>
      </c>
      <c r="V16" s="404">
        <f t="shared" ref="V16:V26" si="10">T16*U16*(U$7-$B$28)</f>
        <v>0</v>
      </c>
      <c r="AA16" s="62">
        <f t="shared" si="7"/>
        <v>194</v>
      </c>
      <c r="AB16" s="483">
        <v>0.8340653543562383</v>
      </c>
    </row>
    <row r="17" spans="1:31" ht="15.75">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'Combustion_Chaud1 (Micro)'!C58/100</f>
        <v>0.95669999999999999</v>
      </c>
      <c r="O17" s="58">
        <f t="shared" si="6"/>
        <v>34.735636689317438</v>
      </c>
      <c r="P17" s="60">
        <f t="shared" si="8"/>
        <v>-516.75112530141848</v>
      </c>
      <c r="Q17" s="403"/>
      <c r="R17" s="58">
        <f t="shared" si="3"/>
        <v>34.735636689317438</v>
      </c>
      <c r="S17" s="400">
        <f t="shared" si="9"/>
        <v>0</v>
      </c>
      <c r="T17" s="403"/>
      <c r="U17" s="58">
        <f t="shared" si="4"/>
        <v>40.233856689317435</v>
      </c>
      <c r="V17" s="400">
        <f t="shared" si="10"/>
        <v>0</v>
      </c>
      <c r="AA17" s="62">
        <f t="shared" si="7"/>
        <v>193</v>
      </c>
      <c r="AB17" s="483">
        <v>0.83444508626844216</v>
      </c>
    </row>
    <row r="18" spans="1:31" ht="15.75">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'Combustion_Chaud1 (Micro)'!C59/100</f>
        <v>1.6200000000000003E-2</v>
      </c>
      <c r="O18" s="58">
        <f t="shared" si="6"/>
        <v>50.445262069805104</v>
      </c>
      <c r="P18" s="60">
        <f t="shared" si="8"/>
        <v>-12.707665968004607</v>
      </c>
      <c r="Q18" s="403"/>
      <c r="R18" s="58">
        <f t="shared" si="3"/>
        <v>50.445262069805104</v>
      </c>
      <c r="S18" s="400">
        <f t="shared" si="9"/>
        <v>0</v>
      </c>
      <c r="T18" s="403"/>
      <c r="U18" s="58">
        <f t="shared" si="4"/>
        <v>63.231182069805101</v>
      </c>
      <c r="V18" s="400">
        <f t="shared" si="10"/>
        <v>0</v>
      </c>
      <c r="AA18" s="62">
        <f t="shared" si="7"/>
        <v>192</v>
      </c>
      <c r="AB18" s="483">
        <v>0.83482472248347483</v>
      </c>
    </row>
    <row r="19" spans="1:31" ht="15.75">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'Combustion_Chaud1 (Micro)'!C60/100</f>
        <v>1.4000000000000002E-3</v>
      </c>
      <c r="O19" s="58">
        <f t="shared" si="6"/>
        <v>69.772581961382798</v>
      </c>
      <c r="P19" s="60">
        <f t="shared" si="8"/>
        <v>-1.5189491092993039</v>
      </c>
      <c r="Q19" s="403"/>
      <c r="R19" s="58">
        <f t="shared" si="3"/>
        <v>69.772581961382798</v>
      </c>
      <c r="S19" s="400">
        <f t="shared" si="9"/>
        <v>0</v>
      </c>
      <c r="T19" s="403"/>
      <c r="U19" s="58">
        <f t="shared" si="4"/>
        <v>89.867421961382803</v>
      </c>
      <c r="V19" s="400">
        <f t="shared" si="10"/>
        <v>0</v>
      </c>
      <c r="AA19" s="62">
        <f t="shared" si="7"/>
        <v>191</v>
      </c>
      <c r="AB19" s="483">
        <v>0.83520426304529138</v>
      </c>
    </row>
    <row r="20" spans="1:31" ht="15.75">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'Combustion_Chaud1 (Micro)'!C61/100</f>
        <v>4.0000000000000002E-4</v>
      </c>
      <c r="O20" s="58">
        <f t="shared" si="6"/>
        <v>91.779838829944993</v>
      </c>
      <c r="P20" s="60">
        <f t="shared" si="8"/>
        <v>-0.57087059752225788</v>
      </c>
      <c r="Q20" s="403"/>
      <c r="R20" s="58">
        <f t="shared" si="3"/>
        <v>91.779838829944993</v>
      </c>
      <c r="S20" s="400">
        <f t="shared" si="9"/>
        <v>0</v>
      </c>
      <c r="T20" s="403"/>
      <c r="U20" s="58">
        <f t="shared" si="4"/>
        <v>118.327318829945</v>
      </c>
      <c r="V20" s="400">
        <f t="shared" si="10"/>
        <v>0</v>
      </c>
      <c r="AA20" s="62">
        <f t="shared" si="7"/>
        <v>190</v>
      </c>
      <c r="AB20" s="483">
        <v>0.83558370799813353</v>
      </c>
      <c r="AD20" s="27" t="s">
        <v>969</v>
      </c>
    </row>
    <row r="21" spans="1:31" ht="15.75">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'Combustion_Chaud1 (Micro)'!C62/100</f>
        <v>2.0000000000000001E-4</v>
      </c>
      <c r="O21" s="58">
        <f t="shared" si="6"/>
        <v>94.449032339530021</v>
      </c>
      <c r="P21" s="60">
        <f t="shared" si="8"/>
        <v>-0.29373649057593837</v>
      </c>
      <c r="Q21" s="403"/>
      <c r="R21" s="58">
        <f t="shared" si="3"/>
        <v>94.449032339530021</v>
      </c>
      <c r="S21" s="400">
        <f t="shared" si="9"/>
        <v>0</v>
      </c>
      <c r="T21" s="403"/>
      <c r="U21" s="58">
        <f t="shared" si="4"/>
        <v>119.37495233953004</v>
      </c>
      <c r="V21" s="400">
        <f t="shared" si="10"/>
        <v>0</v>
      </c>
      <c r="AA21" s="62">
        <f t="shared" si="7"/>
        <v>189</v>
      </c>
      <c r="AB21" s="483">
        <v>0.83596305738653021</v>
      </c>
      <c r="AD21" s="703" t="s">
        <v>970</v>
      </c>
      <c r="AE21" s="703"/>
    </row>
    <row r="22" spans="1:31"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'Combustion_Chaud1 (Micro)'!C63/100</f>
        <v>0</v>
      </c>
      <c r="O22" s="58">
        <f t="shared" si="6"/>
        <v>117.42761780203513</v>
      </c>
      <c r="P22" s="60">
        <f t="shared" si="8"/>
        <v>0</v>
      </c>
      <c r="Q22" s="403"/>
      <c r="R22" s="58">
        <f t="shared" si="3"/>
        <v>117.42761780203513</v>
      </c>
      <c r="S22" s="400">
        <f t="shared" si="9"/>
        <v>0</v>
      </c>
      <c r="T22" s="403"/>
      <c r="U22" s="58">
        <f t="shared" si="4"/>
        <v>147.88865780203514</v>
      </c>
      <c r="V22" s="400">
        <f t="shared" si="10"/>
        <v>0</v>
      </c>
      <c r="AA22" s="62">
        <f t="shared" si="7"/>
        <v>188</v>
      </c>
      <c r="AB22" s="483">
        <v>0.83634231125529701</v>
      </c>
      <c r="AD22" s="27" t="s">
        <v>967</v>
      </c>
      <c r="AE22" s="27">
        <f>SLOPE(AB10:AB100,AA10:AA100)</f>
        <v>-3.7609314277824493E-4</v>
      </c>
    </row>
    <row r="23" spans="1:31" ht="15.75">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'Combustion_Chaud1 (Micro)'!C64/100</f>
        <v>0</v>
      </c>
      <c r="O23" s="58">
        <f t="shared" si="6"/>
        <v>117.42761780203513</v>
      </c>
      <c r="P23" s="60">
        <f t="shared" si="8"/>
        <v>0</v>
      </c>
      <c r="Q23" s="403"/>
      <c r="R23" s="58">
        <f t="shared" si="3"/>
        <v>117.42761780203513</v>
      </c>
      <c r="S23" s="400">
        <f t="shared" si="9"/>
        <v>0</v>
      </c>
      <c r="T23" s="403"/>
      <c r="U23" s="58">
        <f t="shared" si="4"/>
        <v>147.88865780203514</v>
      </c>
      <c r="V23" s="400">
        <f t="shared" si="10"/>
        <v>0</v>
      </c>
      <c r="AA23" s="62">
        <f t="shared" si="7"/>
        <v>187</v>
      </c>
      <c r="AB23" s="483">
        <v>0.83672146964953686</v>
      </c>
      <c r="AD23" s="27" t="s">
        <v>968</v>
      </c>
      <c r="AE23" s="27">
        <f>INTERCEPT(AB10:AB100,AA10:AA100)</f>
        <v>0.90706649031010245</v>
      </c>
    </row>
    <row r="24" spans="1:31" ht="15.75">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'Combustion_Chaud1 (Micro)'!C65/100</f>
        <v>0</v>
      </c>
      <c r="O24" s="58">
        <f t="shared" si="6"/>
        <v>140.58727632263245</v>
      </c>
      <c r="P24" s="60">
        <f t="shared" si="8"/>
        <v>0</v>
      </c>
      <c r="Q24" s="403"/>
      <c r="R24" s="58">
        <f t="shared" si="3"/>
        <v>140.58727632263245</v>
      </c>
      <c r="S24" s="400">
        <f t="shared" si="9"/>
        <v>0</v>
      </c>
      <c r="T24" s="403"/>
      <c r="U24" s="58">
        <f t="shared" si="4"/>
        <v>176.88391632263244</v>
      </c>
      <c r="V24" s="400">
        <f t="shared" si="10"/>
        <v>0</v>
      </c>
      <c r="AA24" s="62">
        <f t="shared" si="7"/>
        <v>186</v>
      </c>
      <c r="AB24" s="483">
        <v>0.83710053261463901</v>
      </c>
    </row>
    <row r="25" spans="1:31" ht="15.75">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'Combustion_Chaud1 (Micro)'!C66/100</f>
        <v>1.84E-2</v>
      </c>
      <c r="O25" s="58">
        <f t="shared" si="6"/>
        <v>29.017783745332302</v>
      </c>
      <c r="P25" s="60">
        <f t="shared" si="8"/>
        <v>-8.3025682852144786</v>
      </c>
      <c r="Q25" s="59">
        <f>'Combustion_Chaud1 (Micro)'!G87</f>
        <v>7.4501097253831423</v>
      </c>
      <c r="R25" s="58">
        <f t="shared" si="3"/>
        <v>29.017783745332302</v>
      </c>
      <c r="S25" s="400">
        <f t="shared" si="9"/>
        <v>-3361.6872134420669</v>
      </c>
      <c r="T25" s="59">
        <f>'Combustion_Chaud1 (Micro)'!L77</f>
        <v>7.4501097253831423</v>
      </c>
      <c r="U25" s="58">
        <f t="shared" si="4"/>
        <v>29.340659745332303</v>
      </c>
      <c r="V25" s="400">
        <f>T25*U25*(U$7-$B$28)</f>
        <v>40319.134761818881</v>
      </c>
      <c r="AA25" s="62">
        <f t="shared" si="7"/>
        <v>185</v>
      </c>
      <c r="AB25" s="483">
        <v>0.83747950019628004</v>
      </c>
    </row>
    <row r="26" spans="1:31">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'Combustion_Chaud1 (Micro)'!C67/100</f>
        <v>2.9999999999999997E-4</v>
      </c>
      <c r="O26" s="68">
        <f t="shared" si="6"/>
        <v>20.8</v>
      </c>
      <c r="P26" s="396">
        <f t="shared" si="8"/>
        <v>-9.7032000000000007E-2</v>
      </c>
      <c r="Q26" s="395"/>
      <c r="R26" s="68">
        <f t="shared" si="3"/>
        <v>20.8</v>
      </c>
      <c r="S26" s="393">
        <f t="shared" si="9"/>
        <v>0</v>
      </c>
      <c r="T26" s="394">
        <f>L80</f>
        <v>2.9999999999999997E-4</v>
      </c>
      <c r="U26" s="68">
        <f t="shared" si="4"/>
        <v>20.8</v>
      </c>
      <c r="V26" s="393">
        <f t="shared" si="10"/>
        <v>1.150968</v>
      </c>
      <c r="AA26" s="62">
        <f t="shared" si="7"/>
        <v>184</v>
      </c>
      <c r="AB26" s="483">
        <v>0.83785837244042349</v>
      </c>
    </row>
    <row r="27" spans="1:31">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147746.41540124468</v>
      </c>
      <c r="AA27" s="62">
        <f t="shared" si="7"/>
        <v>183</v>
      </c>
      <c r="AB27" s="483">
        <v>0.83823714939331939</v>
      </c>
    </row>
    <row r="28" spans="1:31">
      <c r="A28" s="46" t="s">
        <v>489</v>
      </c>
      <c r="B28" s="386">
        <v>15.55</v>
      </c>
      <c r="C28" s="46" t="s">
        <v>488</v>
      </c>
      <c r="D28" s="46" t="s">
        <v>295</v>
      </c>
      <c r="E28" s="386">
        <v>14.73</v>
      </c>
      <c r="F28" s="27" t="s">
        <v>487</v>
      </c>
      <c r="AA28" s="62">
        <f t="shared" si="7"/>
        <v>182</v>
      </c>
      <c r="AB28" s="483">
        <v>0.83861583110150506</v>
      </c>
    </row>
    <row r="29" spans="1:31">
      <c r="A29" s="46"/>
      <c r="B29" s="385">
        <f>B28+273.15</f>
        <v>288.7</v>
      </c>
      <c r="C29" s="46" t="s">
        <v>486</v>
      </c>
      <c r="D29" s="46"/>
      <c r="E29" s="384">
        <f>E28/0.145038*1000</f>
        <v>101559.59127952674</v>
      </c>
      <c r="F29" s="27" t="s">
        <v>255</v>
      </c>
      <c r="J29" s="2359" t="s">
        <v>485</v>
      </c>
      <c r="K29" s="2360"/>
      <c r="L29" s="2361"/>
      <c r="AA29" s="62">
        <f t="shared" si="7"/>
        <v>181</v>
      </c>
      <c r="AB29" s="483">
        <v>0.83899441761180471</v>
      </c>
    </row>
    <row r="30" spans="1:31">
      <c r="A30" s="46" t="s">
        <v>484</v>
      </c>
      <c r="J30" s="383" t="s">
        <v>483</v>
      </c>
      <c r="K30" s="382" t="s">
        <v>482</v>
      </c>
      <c r="L30" s="381"/>
      <c r="N30" s="31"/>
      <c r="U30" s="32"/>
      <c r="V30" s="32"/>
      <c r="AA30" s="62">
        <f t="shared" si="7"/>
        <v>180</v>
      </c>
      <c r="AB30" s="483">
        <v>0.83937290897132921</v>
      </c>
    </row>
    <row r="31" spans="1:31">
      <c r="D31" s="31"/>
      <c r="J31" s="380">
        <f>K31-M27/1000</f>
        <v>795.48824120000018</v>
      </c>
      <c r="K31" s="379">
        <f>ABS(L27/1000)</f>
        <v>882.99864600000012</v>
      </c>
      <c r="L31" s="74" t="s">
        <v>207</v>
      </c>
      <c r="AA31" s="62">
        <f t="shared" si="7"/>
        <v>179</v>
      </c>
      <c r="AB31" s="483">
        <v>0.83975130522747665</v>
      </c>
    </row>
    <row r="32" spans="1:31">
      <c r="A32" s="46" t="s">
        <v>481</v>
      </c>
      <c r="B32" s="45">
        <v>8.3144621000000001</v>
      </c>
      <c r="C32" s="27" t="s">
        <v>480</v>
      </c>
      <c r="J32" s="374">
        <f>J31/(J27/1000)</f>
        <v>47547.797336725132</v>
      </c>
      <c r="K32" s="373">
        <f>K31/(J27/1000)</f>
        <v>52778.455411580377</v>
      </c>
      <c r="L32" s="75" t="s">
        <v>208</v>
      </c>
      <c r="AA32" s="62">
        <f t="shared" si="7"/>
        <v>178</v>
      </c>
      <c r="AB32" s="483">
        <v>0.84012960642793177</v>
      </c>
    </row>
    <row r="33" spans="1:28" ht="14.25">
      <c r="F33" s="32"/>
      <c r="I33" s="31"/>
      <c r="J33" s="378">
        <f>(J32/1000)*K27</f>
        <v>33.656873224180529</v>
      </c>
      <c r="K33" s="377">
        <f>(K32/1000)*K27</f>
        <v>37.359412680586914</v>
      </c>
      <c r="L33" s="75" t="s">
        <v>209</v>
      </c>
      <c r="M33" s="27" t="s">
        <v>473</v>
      </c>
      <c r="AA33" s="62">
        <f t="shared" si="7"/>
        <v>177</v>
      </c>
      <c r="AB33" s="483">
        <v>0.84050781262066654</v>
      </c>
    </row>
    <row r="34" spans="1:28">
      <c r="A34" s="34" t="s">
        <v>479</v>
      </c>
      <c r="F34" s="32"/>
      <c r="I34" s="31"/>
      <c r="J34" s="376"/>
      <c r="K34" s="375"/>
      <c r="L34" s="75"/>
      <c r="AA34" s="62">
        <f t="shared" si="7"/>
        <v>176</v>
      </c>
      <c r="AB34" s="483">
        <v>0.84088592385393957</v>
      </c>
    </row>
    <row r="35" spans="1:28" ht="14.25">
      <c r="A35" s="372" t="s">
        <v>478</v>
      </c>
      <c r="F35" s="32"/>
      <c r="I35" s="32"/>
      <c r="J35" s="374">
        <f>(J33*1000)/1.055056*0.02831685</f>
        <v>903.32326488654292</v>
      </c>
      <c r="K35" s="373">
        <f>(K33*1000)/1.055056*0.02831685</f>
        <v>1002.696430297802</v>
      </c>
      <c r="L35" s="75" t="s">
        <v>477</v>
      </c>
      <c r="M35" s="27" t="s">
        <v>473</v>
      </c>
      <c r="AA35" s="62">
        <f t="shared" si="7"/>
        <v>175</v>
      </c>
      <c r="AB35" s="483">
        <v>0.84126394017629635</v>
      </c>
    </row>
    <row r="36" spans="1:28" ht="15.75">
      <c r="A36" s="372" t="s">
        <v>476</v>
      </c>
      <c r="J36" s="374">
        <f>(J32/1.055056)*0.4535924</f>
        <v>20441.871814082628</v>
      </c>
      <c r="K36" s="373">
        <f>(K32/1.055056)*0.4535924</f>
        <v>22690.649840796821</v>
      </c>
      <c r="L36" s="75" t="s">
        <v>475</v>
      </c>
      <c r="AA36" s="62">
        <f t="shared" si="7"/>
        <v>174</v>
      </c>
      <c r="AB36" s="483">
        <v>0.84164186163656951</v>
      </c>
    </row>
    <row r="37" spans="1:28">
      <c r="A37" s="372"/>
      <c r="J37" s="371">
        <f>J35/7.480519</f>
        <v>120.75676365323621</v>
      </c>
      <c r="K37" s="370">
        <f>K35/7.480519</f>
        <v>134.04102446605668</v>
      </c>
      <c r="L37" s="78" t="s">
        <v>474</v>
      </c>
      <c r="M37" s="27" t="s">
        <v>473</v>
      </c>
      <c r="AA37" s="62">
        <f t="shared" si="7"/>
        <v>173</v>
      </c>
      <c r="AB37" s="483">
        <v>0.84201968828387852</v>
      </c>
    </row>
    <row r="38" spans="1:28">
      <c r="AA38" s="62">
        <f t="shared" si="7"/>
        <v>172</v>
      </c>
      <c r="AB38" s="483">
        <v>0.84239742016762964</v>
      </c>
    </row>
    <row r="39" spans="1:28">
      <c r="B39" s="31"/>
      <c r="F39" s="46"/>
      <c r="H39" s="79"/>
      <c r="AA39" s="62">
        <f t="shared" si="7"/>
        <v>171</v>
      </c>
      <c r="AB39" s="483">
        <v>0.84277505733751623</v>
      </c>
    </row>
    <row r="40" spans="1:28">
      <c r="B40" s="31"/>
      <c r="F40" s="80" t="s">
        <v>212</v>
      </c>
      <c r="H40" s="46"/>
      <c r="AA40" s="62">
        <f t="shared" si="7"/>
        <v>170</v>
      </c>
      <c r="AB40" s="483">
        <v>0.84315259984351842</v>
      </c>
    </row>
    <row r="41" spans="1:28">
      <c r="B41" s="31"/>
      <c r="E41" s="81" t="s">
        <v>202</v>
      </c>
      <c r="F41" s="369">
        <v>0.78995048751598307</v>
      </c>
      <c r="H41" s="46"/>
      <c r="AA41" s="62">
        <f t="shared" si="7"/>
        <v>169</v>
      </c>
      <c r="AB41" s="483">
        <v>0.84353004773590323</v>
      </c>
    </row>
    <row r="42" spans="1:28">
      <c r="B42" s="31"/>
      <c r="E42" s="81" t="s">
        <v>188</v>
      </c>
      <c r="F42" s="369">
        <f>1-F41</f>
        <v>0.21004951248401693</v>
      </c>
      <c r="G42" s="82"/>
      <c r="H42" s="46"/>
      <c r="AA42" s="62">
        <f t="shared" si="7"/>
        <v>168</v>
      </c>
      <c r="AB42" s="483">
        <v>0.84390740106522488</v>
      </c>
    </row>
    <row r="43" spans="1:28">
      <c r="A43" s="34" t="s">
        <v>213</v>
      </c>
      <c r="B43" s="31"/>
      <c r="E43" s="81" t="s">
        <v>214</v>
      </c>
      <c r="F43" s="369">
        <v>0</v>
      </c>
      <c r="G43" s="82"/>
      <c r="H43" s="46"/>
      <c r="AA43" s="62">
        <f t="shared" si="7"/>
        <v>167</v>
      </c>
      <c r="AB43" s="483">
        <v>0.84428465988232415</v>
      </c>
    </row>
    <row r="44" spans="1:28">
      <c r="B44" s="31"/>
      <c r="F44" s="82"/>
      <c r="G44" s="82"/>
      <c r="H44" s="83"/>
      <c r="AA44" s="62">
        <f t="shared" si="7"/>
        <v>166</v>
      </c>
      <c r="AB44" s="483">
        <v>0.84466182423832881</v>
      </c>
    </row>
    <row r="45" spans="1:28" ht="15" thickBot="1">
      <c r="B45" s="31"/>
      <c r="G45" s="76"/>
      <c r="H45" s="84"/>
      <c r="AA45" s="62">
        <f t="shared" si="7"/>
        <v>165</v>
      </c>
      <c r="AB45" s="483">
        <v>0.84503889418465361</v>
      </c>
    </row>
    <row r="46" spans="1:28">
      <c r="A46" s="2347" t="s">
        <v>472</v>
      </c>
      <c r="B46" s="2348"/>
      <c r="C46" s="2348"/>
      <c r="D46" s="2348"/>
      <c r="E46" s="2348"/>
      <c r="F46" s="2348"/>
      <c r="G46" s="2348"/>
      <c r="H46" s="2348"/>
      <c r="I46" s="2348"/>
      <c r="J46" s="368"/>
      <c r="AA46" s="62">
        <f t="shared" si="7"/>
        <v>164</v>
      </c>
      <c r="AB46" s="483">
        <v>0.84541586977300032</v>
      </c>
    </row>
    <row r="47" spans="1:28">
      <c r="A47" s="85"/>
      <c r="B47" s="45"/>
      <c r="C47" s="45"/>
      <c r="D47" s="45"/>
      <c r="E47" s="45"/>
      <c r="J47" s="366"/>
      <c r="AA47" s="62">
        <f t="shared" si="7"/>
        <v>163</v>
      </c>
      <c r="AB47" s="483">
        <v>0.84579275105535756</v>
      </c>
    </row>
    <row r="48" spans="1:28">
      <c r="A48" s="87"/>
      <c r="B48" s="32"/>
      <c r="C48" s="35" t="s">
        <v>215</v>
      </c>
      <c r="D48" s="2341" t="s">
        <v>471</v>
      </c>
      <c r="E48" s="2342"/>
      <c r="F48" s="2342"/>
      <c r="G48" s="2342"/>
      <c r="H48" s="2343"/>
      <c r="I48" s="367" t="s">
        <v>457</v>
      </c>
      <c r="J48" s="366"/>
      <c r="AA48" s="62">
        <f t="shared" si="7"/>
        <v>162</v>
      </c>
      <c r="AB48" s="483">
        <v>0.84616953808400075</v>
      </c>
    </row>
    <row r="49" spans="1:28" ht="14.25">
      <c r="A49" s="87"/>
      <c r="B49" s="32"/>
      <c r="C49" s="365" t="s">
        <v>470</v>
      </c>
      <c r="D49" s="43" t="s">
        <v>216</v>
      </c>
      <c r="E49" s="45" t="s">
        <v>217</v>
      </c>
      <c r="F49" s="45" t="s">
        <v>205</v>
      </c>
      <c r="G49" s="45" t="s">
        <v>218</v>
      </c>
      <c r="H49" s="44" t="s">
        <v>219</v>
      </c>
      <c r="I49" s="88" t="s">
        <v>220</v>
      </c>
      <c r="AA49" s="62">
        <f t="shared" si="7"/>
        <v>161</v>
      </c>
      <c r="AB49" s="483">
        <v>0.84654623091149228</v>
      </c>
    </row>
    <row r="50" spans="1:28">
      <c r="A50" s="89" t="s">
        <v>221</v>
      </c>
      <c r="B50" s="31"/>
      <c r="C50" s="90"/>
      <c r="D50" s="43"/>
      <c r="E50" s="45"/>
      <c r="F50" s="45"/>
      <c r="G50" s="45"/>
      <c r="H50" s="44"/>
      <c r="I50" s="91"/>
      <c r="AA50" s="62">
        <f t="shared" si="7"/>
        <v>160</v>
      </c>
      <c r="AB50" s="483">
        <v>0.84692282959068144</v>
      </c>
    </row>
    <row r="51" spans="1:28">
      <c r="A51" s="89"/>
      <c r="B51" s="92" t="s">
        <v>219</v>
      </c>
      <c r="C51" s="93">
        <f>SUM(C53:C67)</f>
        <v>100.00000000000001</v>
      </c>
      <c r="D51" s="94">
        <f>SUM(D53:D67)</f>
        <v>1.0020999999999998</v>
      </c>
      <c r="E51" s="95">
        <f t="shared" ref="E51:H51" si="11">SUM(E53:E67)</f>
        <v>1.9705999999999999</v>
      </c>
      <c r="F51" s="95">
        <f t="shared" si="11"/>
        <v>2.9999999999999997E-4</v>
      </c>
      <c r="G51" s="95">
        <f t="shared" si="11"/>
        <v>1.84E-2</v>
      </c>
      <c r="H51" s="96">
        <f t="shared" si="11"/>
        <v>2.9914000000000001</v>
      </c>
      <c r="I51" s="97">
        <f>SUM(I53:I67)</f>
        <v>1.9809999999999999</v>
      </c>
      <c r="AA51" s="62">
        <f t="shared" si="7"/>
        <v>159</v>
      </c>
      <c r="AB51" s="483">
        <v>0.8472993341747046</v>
      </c>
    </row>
    <row r="52" spans="1:28">
      <c r="A52" s="87"/>
      <c r="B52" s="31"/>
      <c r="H52" s="58"/>
      <c r="I52" s="86"/>
      <c r="AA52" s="62">
        <f t="shared" si="7"/>
        <v>158</v>
      </c>
      <c r="AB52" s="483">
        <v>0.8476757447169847</v>
      </c>
    </row>
    <row r="53" spans="1:28" ht="15.75">
      <c r="A53" s="87" t="s">
        <v>188</v>
      </c>
      <c r="B53" s="27" t="s">
        <v>189</v>
      </c>
      <c r="C53" s="425">
        <v>0</v>
      </c>
      <c r="D53" s="98"/>
      <c r="E53" s="98"/>
      <c r="F53" s="98"/>
      <c r="G53" s="98"/>
      <c r="H53" s="58">
        <f t="shared" ref="H53:H67" si="12">SUM(D53:G53)</f>
        <v>0</v>
      </c>
      <c r="I53" s="99">
        <f>-C53/100</f>
        <v>0</v>
      </c>
      <c r="AA53" s="62">
        <f t="shared" si="7"/>
        <v>157</v>
      </c>
      <c r="AB53" s="483">
        <v>0.848052061271232</v>
      </c>
    </row>
    <row r="54" spans="1:28">
      <c r="A54" s="87" t="s">
        <v>469</v>
      </c>
      <c r="B54" s="27" t="s">
        <v>190</v>
      </c>
      <c r="C54" s="425">
        <v>0</v>
      </c>
      <c r="D54" s="98">
        <f>C54/100</f>
        <v>0</v>
      </c>
      <c r="E54" s="98"/>
      <c r="F54" s="98"/>
      <c r="G54" s="98"/>
      <c r="H54" s="58">
        <f t="shared" si="12"/>
        <v>0</v>
      </c>
      <c r="I54" s="364">
        <f>D54+E54/2</f>
        <v>0</v>
      </c>
      <c r="AA54" s="62">
        <f t="shared" si="7"/>
        <v>156</v>
      </c>
      <c r="AB54" s="483">
        <v>0.84842828389144342</v>
      </c>
    </row>
    <row r="55" spans="1:28" ht="15.75">
      <c r="A55" s="87" t="s">
        <v>454</v>
      </c>
      <c r="B55" s="27" t="s">
        <v>191</v>
      </c>
      <c r="C55" s="425">
        <v>0.64</v>
      </c>
      <c r="D55" s="98">
        <f>C55/100</f>
        <v>6.4000000000000003E-3</v>
      </c>
      <c r="E55" s="98"/>
      <c r="F55" s="98"/>
      <c r="G55" s="98"/>
      <c r="H55" s="58">
        <f t="shared" si="12"/>
        <v>6.4000000000000003E-3</v>
      </c>
      <c r="I55" s="99">
        <v>0</v>
      </c>
      <c r="AA55" s="62">
        <f t="shared" si="7"/>
        <v>155</v>
      </c>
      <c r="AB55" s="483">
        <v>0.84880441263190276</v>
      </c>
    </row>
    <row r="56" spans="1:28" ht="15.75">
      <c r="A56" s="87" t="s">
        <v>192</v>
      </c>
      <c r="B56" s="27" t="s">
        <v>193</v>
      </c>
      <c r="C56" s="425">
        <v>0</v>
      </c>
      <c r="D56" s="98"/>
      <c r="E56" s="98">
        <f>C56/100</f>
        <v>0</v>
      </c>
      <c r="F56" s="98"/>
      <c r="G56" s="98"/>
      <c r="H56" s="58">
        <f t="shared" si="12"/>
        <v>0</v>
      </c>
      <c r="I56" s="99">
        <f>D56+E56/2</f>
        <v>0</v>
      </c>
      <c r="AA56" s="62">
        <f t="shared" si="7"/>
        <v>154</v>
      </c>
      <c r="AB56" s="483">
        <v>0.84918044754718092</v>
      </c>
    </row>
    <row r="57" spans="1:28" ht="15.75">
      <c r="A57" s="87" t="s">
        <v>194</v>
      </c>
      <c r="B57" s="27" t="s">
        <v>468</v>
      </c>
      <c r="C57" s="425">
        <v>0</v>
      </c>
      <c r="D57" s="98"/>
      <c r="E57" s="98">
        <f>C57/100</f>
        <v>0</v>
      </c>
      <c r="F57" s="98"/>
      <c r="G57" s="98"/>
      <c r="H57" s="58">
        <f t="shared" si="12"/>
        <v>0</v>
      </c>
      <c r="I57" s="364">
        <v>0</v>
      </c>
      <c r="AA57" s="62">
        <f t="shared" si="7"/>
        <v>153</v>
      </c>
      <c r="AB57" s="483">
        <v>0.84955638869213557</v>
      </c>
    </row>
    <row r="58" spans="1:28" ht="15.75">
      <c r="A58" s="87" t="s">
        <v>197</v>
      </c>
      <c r="B58" s="27" t="s">
        <v>198</v>
      </c>
      <c r="C58" s="425">
        <v>95.67</v>
      </c>
      <c r="D58" s="98">
        <f>C58/100</f>
        <v>0.95669999999999999</v>
      </c>
      <c r="E58" s="98">
        <f>C58/100*2</f>
        <v>1.9134</v>
      </c>
      <c r="F58" s="98"/>
      <c r="G58" s="98"/>
      <c r="H58" s="58">
        <f t="shared" si="12"/>
        <v>2.8700999999999999</v>
      </c>
      <c r="I58" s="99">
        <f t="shared" ref="I58:I64" si="13">D58+E58/2</f>
        <v>1.9134</v>
      </c>
      <c r="AA58" s="62">
        <f t="shared" si="7"/>
        <v>152</v>
      </c>
      <c r="AB58" s="483">
        <v>0.84993223612191149</v>
      </c>
    </row>
    <row r="59" spans="1:28" ht="15.75">
      <c r="A59" s="87" t="s">
        <v>199</v>
      </c>
      <c r="B59" s="27" t="s">
        <v>467</v>
      </c>
      <c r="C59" s="425">
        <v>1.62</v>
      </c>
      <c r="D59" s="98">
        <f>C59*2/100</f>
        <v>3.2400000000000005E-2</v>
      </c>
      <c r="E59" s="98">
        <f>C59/100*3</f>
        <v>4.8600000000000004E-2</v>
      </c>
      <c r="F59" s="98"/>
      <c r="G59" s="98"/>
      <c r="H59" s="58">
        <f t="shared" si="12"/>
        <v>8.1000000000000016E-2</v>
      </c>
      <c r="I59" s="99">
        <f t="shared" si="13"/>
        <v>5.6700000000000007E-2</v>
      </c>
      <c r="AA59" s="62">
        <f t="shared" si="7"/>
        <v>151</v>
      </c>
      <c r="AB59" s="483">
        <v>0.85030798989194001</v>
      </c>
    </row>
    <row r="60" spans="1:28" ht="15.75">
      <c r="A60" s="87" t="s">
        <v>200</v>
      </c>
      <c r="B60" s="27" t="s">
        <v>466</v>
      </c>
      <c r="C60" s="425">
        <v>0.14000000000000001</v>
      </c>
      <c r="D60" s="98">
        <f>C60*3/100</f>
        <v>4.2000000000000006E-3</v>
      </c>
      <c r="E60" s="98">
        <f>C60/100*4</f>
        <v>5.6000000000000008E-3</v>
      </c>
      <c r="F60" s="98"/>
      <c r="G60" s="98"/>
      <c r="H60" s="58">
        <f t="shared" si="12"/>
        <v>9.8000000000000014E-3</v>
      </c>
      <c r="I60" s="99">
        <f t="shared" si="13"/>
        <v>7.000000000000001E-3</v>
      </c>
      <c r="AA60" s="62">
        <f t="shared" si="7"/>
        <v>150</v>
      </c>
      <c r="AB60" s="483">
        <v>0.85068365005793967</v>
      </c>
    </row>
    <row r="61" spans="1:28" ht="15.75">
      <c r="A61" s="87" t="s">
        <v>465</v>
      </c>
      <c r="B61" s="27" t="s">
        <v>464</v>
      </c>
      <c r="C61" s="425">
        <v>0.04</v>
      </c>
      <c r="D61" s="98">
        <f>C61*4/100</f>
        <v>1.6000000000000001E-3</v>
      </c>
      <c r="E61" s="98">
        <f>C61/100*5</f>
        <v>2E-3</v>
      </c>
      <c r="F61" s="98"/>
      <c r="G61" s="98"/>
      <c r="H61" s="58">
        <f t="shared" si="12"/>
        <v>3.5999999999999999E-3</v>
      </c>
      <c r="I61" s="99">
        <f t="shared" si="13"/>
        <v>2.5999999999999999E-3</v>
      </c>
      <c r="AA61" s="62">
        <f t="shared" si="7"/>
        <v>149</v>
      </c>
      <c r="AB61" s="483">
        <v>0.85105921667591589</v>
      </c>
    </row>
    <row r="62" spans="1:28" ht="15.75">
      <c r="A62" s="87" t="s">
        <v>201</v>
      </c>
      <c r="B62" s="27" t="s">
        <v>464</v>
      </c>
      <c r="C62" s="425">
        <v>0.02</v>
      </c>
      <c r="D62" s="98">
        <f>C62*4/100</f>
        <v>8.0000000000000004E-4</v>
      </c>
      <c r="E62" s="98">
        <f>C62/100*5</f>
        <v>1E-3</v>
      </c>
      <c r="F62" s="98"/>
      <c r="G62" s="98"/>
      <c r="H62" s="58">
        <f t="shared" si="12"/>
        <v>1.8E-3</v>
      </c>
      <c r="I62" s="99">
        <f t="shared" si="13"/>
        <v>1.2999999999999999E-3</v>
      </c>
      <c r="AA62" s="62">
        <f t="shared" si="7"/>
        <v>148</v>
      </c>
      <c r="AB62" s="483">
        <v>0.85143468980216097</v>
      </c>
    </row>
    <row r="63" spans="1:28" ht="15.75">
      <c r="A63" s="61" t="s">
        <v>463</v>
      </c>
      <c r="B63" s="27" t="s">
        <v>462</v>
      </c>
      <c r="C63" s="425">
        <v>0</v>
      </c>
      <c r="D63" s="98">
        <f>C63*5/100</f>
        <v>0</v>
      </c>
      <c r="E63" s="98">
        <f>C63/100*6</f>
        <v>0</v>
      </c>
      <c r="F63" s="98"/>
      <c r="G63" s="98"/>
      <c r="H63" s="58">
        <f t="shared" si="12"/>
        <v>0</v>
      </c>
      <c r="I63" s="99">
        <f t="shared" si="13"/>
        <v>0</v>
      </c>
      <c r="AA63" s="62">
        <f t="shared" si="7"/>
        <v>147</v>
      </c>
      <c r="AB63" s="483">
        <v>0.851810069493254</v>
      </c>
    </row>
    <row r="64" spans="1:28" ht="15.75">
      <c r="A64" s="61" t="s">
        <v>461</v>
      </c>
      <c r="B64" s="27" t="s">
        <v>460</v>
      </c>
      <c r="C64" s="425">
        <v>0</v>
      </c>
      <c r="D64" s="98">
        <f>C64*5/100</f>
        <v>0</v>
      </c>
      <c r="E64" s="98">
        <f>C64/100*6</f>
        <v>0</v>
      </c>
      <c r="F64" s="98"/>
      <c r="G64" s="98"/>
      <c r="H64" s="58">
        <f t="shared" si="12"/>
        <v>0</v>
      </c>
      <c r="I64" s="99">
        <f t="shared" si="13"/>
        <v>0</v>
      </c>
      <c r="AA64" s="62">
        <f t="shared" si="7"/>
        <v>146</v>
      </c>
      <c r="AB64" s="483">
        <v>0.85218535580606125</v>
      </c>
    </row>
    <row r="65" spans="1:28" ht="15.75">
      <c r="A65" s="61" t="s">
        <v>459</v>
      </c>
      <c r="B65" s="27" t="s">
        <v>458</v>
      </c>
      <c r="C65" s="425">
        <v>0</v>
      </c>
      <c r="D65" s="98">
        <f>C65*6/100</f>
        <v>0</v>
      </c>
      <c r="E65" s="98">
        <f>C65/100*7</f>
        <v>0</v>
      </c>
      <c r="F65" s="98"/>
      <c r="G65" s="98"/>
      <c r="H65" s="58">
        <f t="shared" si="12"/>
        <v>0</v>
      </c>
      <c r="I65" s="99">
        <f>D65+E65/2</f>
        <v>0</v>
      </c>
      <c r="AA65" s="62">
        <f t="shared" si="7"/>
        <v>145</v>
      </c>
      <c r="AB65" s="483">
        <v>0.85256054879773568</v>
      </c>
    </row>
    <row r="66" spans="1:28" ht="15.75">
      <c r="A66" s="87" t="s">
        <v>202</v>
      </c>
      <c r="B66" s="27" t="s">
        <v>203</v>
      </c>
      <c r="C66" s="425">
        <v>1.84</v>
      </c>
      <c r="D66" s="98"/>
      <c r="E66" s="98"/>
      <c r="G66" s="98">
        <f>C66/100</f>
        <v>1.84E-2</v>
      </c>
      <c r="H66" s="58">
        <f t="shared" si="12"/>
        <v>1.84E-2</v>
      </c>
      <c r="I66" s="99">
        <v>0</v>
      </c>
      <c r="AA66" s="62">
        <f t="shared" si="7"/>
        <v>144</v>
      </c>
      <c r="AB66" s="483">
        <v>0.85293564852571724</v>
      </c>
    </row>
    <row r="67" spans="1:28" ht="13.5" thickBot="1">
      <c r="A67" s="100" t="s">
        <v>204</v>
      </c>
      <c r="B67" s="101" t="s">
        <v>205</v>
      </c>
      <c r="C67" s="426">
        <v>0.03</v>
      </c>
      <c r="D67" s="103"/>
      <c r="E67" s="103"/>
      <c r="F67" s="103">
        <f>C67/100</f>
        <v>2.9999999999999997E-4</v>
      </c>
      <c r="G67" s="101"/>
      <c r="H67" s="104">
        <f t="shared" si="12"/>
        <v>2.9999999999999997E-4</v>
      </c>
      <c r="I67" s="105">
        <v>0</v>
      </c>
      <c r="AA67" s="62">
        <f t="shared" si="7"/>
        <v>143</v>
      </c>
      <c r="AB67" s="483">
        <v>0.85331065504773274</v>
      </c>
    </row>
    <row r="68" spans="1:28">
      <c r="B68" s="31"/>
      <c r="AA68" s="62">
        <f t="shared" si="7"/>
        <v>142</v>
      </c>
      <c r="AB68" s="483">
        <v>0.85368556842179599</v>
      </c>
    </row>
    <row r="69" spans="1:28" ht="13.5" thickBot="1">
      <c r="B69" s="31"/>
      <c r="C69" s="477" t="s">
        <v>593</v>
      </c>
      <c r="D69" s="45"/>
      <c r="E69" s="106"/>
      <c r="F69" s="106"/>
      <c r="G69" s="106"/>
      <c r="H69" s="106"/>
      <c r="I69" s="106"/>
      <c r="J69" s="106"/>
      <c r="AA69" s="62">
        <f t="shared" si="7"/>
        <v>141</v>
      </c>
      <c r="AB69" s="483">
        <v>0.85406038870620771</v>
      </c>
    </row>
    <row r="70" spans="1:28">
      <c r="A70" s="2347" t="s">
        <v>222</v>
      </c>
      <c r="B70" s="2348"/>
      <c r="C70" s="2348"/>
      <c r="D70" s="2348"/>
      <c r="E70" s="2348"/>
      <c r="F70" s="2348"/>
      <c r="G70" s="2369"/>
      <c r="H70" s="106"/>
      <c r="I70" s="2347" t="s">
        <v>223</v>
      </c>
      <c r="J70" s="2348"/>
      <c r="K70" s="2348"/>
      <c r="L70" s="2348"/>
      <c r="M70" s="2348"/>
      <c r="N70" s="2369"/>
      <c r="AA70" s="62">
        <f t="shared" si="7"/>
        <v>140</v>
      </c>
      <c r="AB70" s="483">
        <v>0.85443511595955557</v>
      </c>
    </row>
    <row r="71" spans="1:28">
      <c r="A71" s="107"/>
      <c r="C71" s="45"/>
      <c r="D71" s="2341" t="s">
        <v>224</v>
      </c>
      <c r="E71" s="2342"/>
      <c r="F71" s="2342"/>
      <c r="G71" s="2365"/>
      <c r="H71" s="106"/>
      <c r="I71" s="87"/>
      <c r="K71" s="45"/>
      <c r="L71" s="2349" t="s">
        <v>224</v>
      </c>
      <c r="M71" s="2350"/>
      <c r="N71" s="2364"/>
      <c r="AA71" s="62">
        <f t="shared" si="7"/>
        <v>139</v>
      </c>
      <c r="AB71" s="483">
        <v>0.85480975024071393</v>
      </c>
    </row>
    <row r="72" spans="1:28" ht="14.25">
      <c r="A72" s="107"/>
      <c r="C72" s="31"/>
      <c r="D72" s="43" t="s">
        <v>225</v>
      </c>
      <c r="E72" s="45" t="s">
        <v>226</v>
      </c>
      <c r="F72" s="45" t="s">
        <v>227</v>
      </c>
      <c r="G72" s="108" t="s">
        <v>228</v>
      </c>
      <c r="H72" s="98"/>
      <c r="I72" s="87"/>
      <c r="K72" s="45"/>
      <c r="L72" s="61"/>
      <c r="M72" s="2350" t="s">
        <v>229</v>
      </c>
      <c r="N72" s="2364"/>
      <c r="AA72" s="62">
        <f t="shared" si="7"/>
        <v>138</v>
      </c>
      <c r="AB72" s="483">
        <v>0.85518429160884424</v>
      </c>
    </row>
    <row r="73" spans="1:28" ht="25.5">
      <c r="A73" s="87"/>
      <c r="C73" s="31"/>
      <c r="D73" s="63" t="b">
        <v>1</v>
      </c>
      <c r="E73" s="424"/>
      <c r="F73" s="64"/>
      <c r="G73" s="109"/>
      <c r="H73" s="98"/>
      <c r="I73" s="85"/>
      <c r="K73" s="45"/>
      <c r="L73" s="363" t="s">
        <v>457</v>
      </c>
      <c r="M73" s="48" t="s">
        <v>230</v>
      </c>
      <c r="N73" s="110" t="s">
        <v>231</v>
      </c>
      <c r="AA73" s="62">
        <f t="shared" si="7"/>
        <v>137</v>
      </c>
      <c r="AB73" s="483">
        <v>0.85555874012339495</v>
      </c>
    </row>
    <row r="74" spans="1:28">
      <c r="A74" s="87"/>
      <c r="C74" s="31"/>
      <c r="D74" s="73">
        <f>IF(D73,1,"-")</f>
        <v>1</v>
      </c>
      <c r="E74" s="73" t="str">
        <f>IF(E73,2,"-")</f>
        <v>-</v>
      </c>
      <c r="F74" s="73" t="str">
        <f>IF(F73,3,"-")</f>
        <v>-</v>
      </c>
      <c r="G74" s="111">
        <f>AVERAGE(D74:F74)</f>
        <v>1</v>
      </c>
      <c r="H74" s="98"/>
      <c r="I74" s="85"/>
      <c r="K74" s="45"/>
      <c r="L74" s="45"/>
      <c r="N74" s="86"/>
      <c r="AA74" s="62">
        <f t="shared" si="7"/>
        <v>136</v>
      </c>
      <c r="AB74" s="483">
        <v>0.85593309584410127</v>
      </c>
    </row>
    <row r="75" spans="1:28">
      <c r="A75" s="89" t="s">
        <v>232</v>
      </c>
      <c r="C75" s="31"/>
      <c r="D75" s="362">
        <f>D83/D80</f>
        <v>0</v>
      </c>
      <c r="E75" s="473"/>
      <c r="F75" s="362" t="e">
        <f>F82/F79</f>
        <v>#DIV/0!</v>
      </c>
      <c r="G75" s="356">
        <f>INDEX(D75:F75,G$74)</f>
        <v>0</v>
      </c>
      <c r="H75" s="362"/>
      <c r="I75" s="89" t="s">
        <v>219</v>
      </c>
      <c r="K75" s="357" t="s">
        <v>456</v>
      </c>
      <c r="L75" s="113">
        <f>SUM(L77:L81)</f>
        <v>10.425951704007129</v>
      </c>
      <c r="M75" s="361">
        <f>SUM(M77:M81)</f>
        <v>1</v>
      </c>
      <c r="N75" s="360">
        <f>SUM(N77:N81)</f>
        <v>1</v>
      </c>
      <c r="AA75" s="62">
        <f t="shared" si="7"/>
        <v>135</v>
      </c>
      <c r="AB75" s="483">
        <v>0.8563073588309853</v>
      </c>
    </row>
    <row r="76" spans="1:28" ht="15">
      <c r="A76" s="87" t="s">
        <v>233</v>
      </c>
      <c r="C76" s="31"/>
      <c r="D76" s="341">
        <f>'Micromodulation et sonde O2'!D34</f>
        <v>0</v>
      </c>
      <c r="E76" s="340">
        <f>E82/(E79*($F$41/$F$42)+H51-E51+E82/$F$42)</f>
        <v>0</v>
      </c>
      <c r="F76" s="359" t="e">
        <f>F82/(F79*($F$41/$F$42)+H51-E51+F82/$F$42)</f>
        <v>#DIV/0!</v>
      </c>
      <c r="G76" s="358">
        <f>INDEX(D76:F76,G$74)</f>
        <v>0</v>
      </c>
      <c r="H76" s="114"/>
      <c r="I76" s="85"/>
      <c r="K76" s="357"/>
      <c r="L76" s="45"/>
      <c r="N76" s="86"/>
      <c r="AA76" s="62">
        <f t="shared" si="7"/>
        <v>134</v>
      </c>
      <c r="AB76" s="483">
        <v>0.85668152914435636</v>
      </c>
    </row>
    <row r="77" spans="1:28" ht="15">
      <c r="A77" s="87" t="s">
        <v>455</v>
      </c>
      <c r="C77" s="31"/>
      <c r="D77" s="340">
        <f>$N$78</f>
        <v>0.11855650363709885</v>
      </c>
      <c r="E77" s="340">
        <f>N78</f>
        <v>0.11855650363709885</v>
      </c>
      <c r="F77" s="439"/>
      <c r="G77" s="356">
        <f>INDEX(D77:F77,G$74)</f>
        <v>0.11855650363709885</v>
      </c>
      <c r="H77" s="340"/>
      <c r="I77" s="87" t="s">
        <v>202</v>
      </c>
      <c r="K77" s="355" t="s">
        <v>446</v>
      </c>
      <c r="L77" s="58">
        <f>G87</f>
        <v>7.4501097253831423</v>
      </c>
      <c r="M77" s="340">
        <f t="shared" ref="M77:M82" si="14">L77/$L$75</f>
        <v>0.71457358876118271</v>
      </c>
      <c r="N77" s="354">
        <f>L77/($L$75-$L$81)</f>
        <v>0.88140800394588581</v>
      </c>
      <c r="AA77" s="62">
        <f t="shared" ref="AA77:AA100" si="15">AA76-1</f>
        <v>133</v>
      </c>
      <c r="AB77" s="483">
        <v>0.85705560684481008</v>
      </c>
    </row>
    <row r="78" spans="1:28" ht="15">
      <c r="A78" s="87"/>
      <c r="C78" s="31"/>
      <c r="F78" s="45"/>
      <c r="G78" s="115"/>
      <c r="H78" s="114"/>
      <c r="I78" s="87" t="s">
        <v>454</v>
      </c>
      <c r="K78" s="355" t="s">
        <v>446</v>
      </c>
      <c r="L78" s="58">
        <f>D51</f>
        <v>1.0020999999999998</v>
      </c>
      <c r="M78" s="340">
        <f t="shared" si="14"/>
        <v>9.6115925763865837E-2</v>
      </c>
      <c r="N78" s="354">
        <f>L78/($L$75-$L$81)</f>
        <v>0.11855650363709885</v>
      </c>
      <c r="AA78" s="62">
        <f t="shared" si="15"/>
        <v>132</v>
      </c>
      <c r="AB78" s="483">
        <v>0.85742959199322977</v>
      </c>
    </row>
    <row r="79" spans="1:28"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4"/>
        <v>0</v>
      </c>
      <c r="N79" s="354">
        <f>L79/($L$75-$L$81)</f>
        <v>0</v>
      </c>
      <c r="AA79" s="62">
        <f t="shared" si="15"/>
        <v>131</v>
      </c>
      <c r="AB79" s="483">
        <v>0.85780348465078493</v>
      </c>
    </row>
    <row r="80" spans="1:28"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4"/>
        <v>2.8774351590819036E-5</v>
      </c>
      <c r="N80" s="354">
        <f>L80/($L$75-$L$81)</f>
        <v>3.5492417015397323E-5</v>
      </c>
      <c r="AA80" s="62">
        <f t="shared" si="15"/>
        <v>130</v>
      </c>
      <c r="AB80" s="483">
        <v>0.85817728487893252</v>
      </c>
    </row>
    <row r="81" spans="1:28" ht="15">
      <c r="A81" s="87"/>
      <c r="C81" s="31"/>
      <c r="D81" s="58"/>
      <c r="E81" s="116"/>
      <c r="F81" s="113"/>
      <c r="G81" s="117"/>
      <c r="I81" s="87" t="s">
        <v>235</v>
      </c>
      <c r="K81" s="355" t="s">
        <v>446</v>
      </c>
      <c r="L81" s="58">
        <f>G89+E51</f>
        <v>1.9734419786239874</v>
      </c>
      <c r="M81" s="340">
        <f t="shared" si="14"/>
        <v>0.18928171112336067</v>
      </c>
      <c r="N81" s="354">
        <v>0</v>
      </c>
      <c r="AA81" s="62">
        <f t="shared" si="15"/>
        <v>129</v>
      </c>
      <c r="AB81" s="483">
        <v>0.85855099273941615</v>
      </c>
    </row>
    <row r="82" spans="1:28"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4"/>
        <v>0</v>
      </c>
      <c r="N82" s="351">
        <v>1</v>
      </c>
      <c r="AA82" s="62">
        <f t="shared" si="15"/>
        <v>128</v>
      </c>
      <c r="AB82" s="483">
        <v>0.85892460829426631</v>
      </c>
    </row>
    <row r="83" spans="1:28"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c r="AA83" s="62">
        <f t="shared" si="15"/>
        <v>127</v>
      </c>
      <c r="AB83" s="483">
        <v>0.85929813160580049</v>
      </c>
    </row>
    <row r="84" spans="1:28">
      <c r="A84" s="87"/>
      <c r="C84" s="31"/>
      <c r="F84" s="45"/>
      <c r="G84" s="117"/>
      <c r="I84" s="87"/>
      <c r="N84" s="86"/>
      <c r="AA84" s="62">
        <f t="shared" si="15"/>
        <v>126</v>
      </c>
      <c r="AB84" s="483">
        <v>0.85967156273662326</v>
      </c>
    </row>
    <row r="85" spans="1:28">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c r="AA85" s="62">
        <f t="shared" si="15"/>
        <v>125</v>
      </c>
      <c r="AB85" s="483">
        <v>0.86004490174962578</v>
      </c>
    </row>
    <row r="86" spans="1:28">
      <c r="A86" s="87"/>
      <c r="G86" s="122"/>
      <c r="I86" s="87" t="s">
        <v>241</v>
      </c>
      <c r="K86" s="31" t="s">
        <v>242</v>
      </c>
      <c r="L86" s="58">
        <f>E51+G89</f>
        <v>1.9734419786239874</v>
      </c>
      <c r="N86" s="86"/>
      <c r="AA86" s="62">
        <f t="shared" si="15"/>
        <v>124</v>
      </c>
      <c r="AB86" s="483">
        <v>0.86041814870798627</v>
      </c>
    </row>
    <row r="87" spans="1:28"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200</v>
      </c>
      <c r="M87" s="32"/>
      <c r="N87" s="86"/>
      <c r="AA87" s="62">
        <f t="shared" si="15"/>
        <v>123</v>
      </c>
      <c r="AB87" s="483">
        <v>0.86079130367516998</v>
      </c>
    </row>
    <row r="88" spans="1:28"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'Combustion_Chaud1 (Micro)'!C136</f>
        <v>59.118389658623499</v>
      </c>
      <c r="N88" s="86"/>
      <c r="AA88" s="62">
        <f t="shared" si="15"/>
        <v>122</v>
      </c>
      <c r="AB88" s="483">
        <v>0.86116436671492891</v>
      </c>
    </row>
    <row r="89" spans="1:28" ht="14.25">
      <c r="A89" s="343" t="s">
        <v>245</v>
      </c>
      <c r="C89" s="346" t="s">
        <v>446</v>
      </c>
      <c r="D89" s="345">
        <f>'Combustion_Chaud1 (Micro)'!$C$115*('Combustion_Chaud1 (Micro)'!D80+'Combustion_Chaud1 (Micro)'!D83)</f>
        <v>2.8419786239875467E-3</v>
      </c>
      <c r="E89" s="345">
        <f>'Combustion_Chaud1 (Micro)'!$C$115*'Combustion_Chaud1 (Micro)'!E80</f>
        <v>2.8419786239875467E-3</v>
      </c>
      <c r="F89" s="345">
        <f>'Combustion_Chaud1 (Micro)'!$C$115*'Combustion_Chaud1 (Micro)'!F80</f>
        <v>2.8419786239875467E-3</v>
      </c>
      <c r="G89" s="344">
        <f>INDEX(D89:F89,G$74)</f>
        <v>2.8419786239875467E-3</v>
      </c>
      <c r="H89" s="58"/>
      <c r="I89" s="87" t="s">
        <v>450</v>
      </c>
      <c r="K89" s="31" t="s">
        <v>449</v>
      </c>
      <c r="L89" s="58">
        <f>($E$29*(M83/1000))/($B$32*(L87+273.15))</f>
        <v>0.7139493634050913</v>
      </c>
      <c r="N89" s="126"/>
      <c r="AA89" s="62">
        <f t="shared" si="15"/>
        <v>121</v>
      </c>
      <c r="AB89" s="483">
        <v>0.86153733789130205</v>
      </c>
    </row>
    <row r="90" spans="1:28" ht="15.75">
      <c r="A90" s="343"/>
      <c r="C90" s="31"/>
      <c r="D90" s="58"/>
      <c r="F90" s="45"/>
      <c r="G90" s="127"/>
      <c r="H90" s="58"/>
      <c r="I90" s="87" t="s">
        <v>448</v>
      </c>
      <c r="K90" s="31" t="s">
        <v>242</v>
      </c>
      <c r="L90" s="342">
        <f>'Combustion_Chaud1 (Micro)'!C129</f>
        <v>0.23347408553671128</v>
      </c>
      <c r="M90" s="27" t="s">
        <v>246</v>
      </c>
      <c r="N90" s="126"/>
      <c r="AA90" s="62">
        <f t="shared" si="15"/>
        <v>120</v>
      </c>
      <c r="AB90" s="483">
        <v>0.86191021726861516</v>
      </c>
    </row>
    <row r="91" spans="1:28">
      <c r="A91" s="89" t="s">
        <v>247</v>
      </c>
      <c r="C91" s="31"/>
      <c r="D91" s="58"/>
      <c r="F91" s="45"/>
      <c r="G91" s="127"/>
      <c r="H91" s="58"/>
      <c r="I91" s="87" t="s">
        <v>248</v>
      </c>
      <c r="K91" s="31" t="s">
        <v>242</v>
      </c>
      <c r="L91" s="342">
        <f>'Combustion_Chaud1 (Micro)'!C140</f>
        <v>0</v>
      </c>
      <c r="M91" s="27" t="s">
        <v>447</v>
      </c>
      <c r="N91" s="126"/>
      <c r="AA91" s="62">
        <f t="shared" si="15"/>
        <v>119</v>
      </c>
      <c r="AB91" s="483">
        <v>0.86228300491148124</v>
      </c>
    </row>
    <row r="92" spans="1:28" ht="15.75" thickBot="1">
      <c r="A92" s="87" t="s">
        <v>249</v>
      </c>
      <c r="C92" s="31"/>
      <c r="D92" s="341">
        <f>Hypothèses!D27</f>
        <v>0.05</v>
      </c>
      <c r="E92" s="340"/>
      <c r="F92" s="340"/>
      <c r="G92" s="127"/>
      <c r="H92" s="340"/>
      <c r="I92" s="100"/>
      <c r="J92" s="101"/>
      <c r="K92" s="339" t="s">
        <v>446</v>
      </c>
      <c r="L92" s="338">
        <f>'Combustion_Chaud1 (Micro)'!C141</f>
        <v>0</v>
      </c>
      <c r="M92" s="101"/>
      <c r="N92" s="102"/>
      <c r="AA92" s="62">
        <f t="shared" si="15"/>
        <v>118</v>
      </c>
      <c r="AB92" s="483">
        <v>0.86265570088479981</v>
      </c>
    </row>
    <row r="93" spans="1:28" ht="15.75" thickBot="1">
      <c r="A93" s="100" t="s">
        <v>244</v>
      </c>
      <c r="B93" s="101"/>
      <c r="C93" s="128" t="s">
        <v>434</v>
      </c>
      <c r="D93" s="337" t="e">
        <f>IF(D92&lt;&gt;0,'Combustion_Chaud1 (Micro)'!$C$119,"-")</f>
        <v>#N/A</v>
      </c>
      <c r="E93" s="336"/>
      <c r="F93" s="336"/>
      <c r="G93" s="129"/>
      <c r="H93" s="98"/>
      <c r="AA93" s="62">
        <f t="shared" si="15"/>
        <v>117</v>
      </c>
      <c r="AB93" s="483">
        <v>0.86302830525375773</v>
      </c>
    </row>
    <row r="94" spans="1:28" ht="15">
      <c r="A94" s="27" t="s">
        <v>445</v>
      </c>
      <c r="B94" s="124"/>
      <c r="C94" s="335">
        <v>28.96546</v>
      </c>
      <c r="D94" s="333" t="s">
        <v>238</v>
      </c>
      <c r="E94" s="334"/>
      <c r="F94" s="130"/>
      <c r="G94" s="106"/>
      <c r="H94" s="106"/>
      <c r="AA94" s="62">
        <f t="shared" si="15"/>
        <v>116</v>
      </c>
      <c r="AB94" s="483">
        <v>0.86340081808382829</v>
      </c>
    </row>
    <row r="95" spans="1:28">
      <c r="G95" s="106"/>
      <c r="AA95" s="62">
        <f t="shared" si="15"/>
        <v>115</v>
      </c>
      <c r="AB95" s="483">
        <v>0.86377323944077211</v>
      </c>
    </row>
    <row r="96" spans="1:28">
      <c r="G96" s="106"/>
      <c r="AA96" s="62">
        <f t="shared" si="15"/>
        <v>114</v>
      </c>
      <c r="AB96" s="483">
        <v>0.86414556939063647</v>
      </c>
    </row>
    <row r="97" spans="1:28">
      <c r="G97" s="106"/>
      <c r="AA97" s="62">
        <f t="shared" si="15"/>
        <v>113</v>
      </c>
      <c r="AB97" s="483">
        <v>0.86451780799975575</v>
      </c>
    </row>
    <row r="98" spans="1:28">
      <c r="G98" s="106"/>
      <c r="AA98" s="62">
        <f t="shared" si="15"/>
        <v>112</v>
      </c>
      <c r="AB98" s="483">
        <v>0.8648899553347511</v>
      </c>
    </row>
    <row r="99" spans="1:28">
      <c r="G99" s="106"/>
      <c r="AA99" s="62">
        <f t="shared" si="15"/>
        <v>111</v>
      </c>
      <c r="AB99" s="483">
        <v>0.86526201146253057</v>
      </c>
    </row>
    <row r="100" spans="1:28">
      <c r="G100" s="106"/>
      <c r="AA100" s="70">
        <f t="shared" si="15"/>
        <v>110</v>
      </c>
      <c r="AB100" s="484">
        <v>0.86563397645028917</v>
      </c>
    </row>
    <row r="101" spans="1:28">
      <c r="A101" s="34" t="s">
        <v>444</v>
      </c>
      <c r="G101" s="106"/>
    </row>
    <row r="102" spans="1:28">
      <c r="G102" s="106"/>
    </row>
    <row r="103" spans="1:28">
      <c r="A103" s="131" t="s">
        <v>250</v>
      </c>
      <c r="B103" s="65"/>
      <c r="C103" s="65"/>
      <c r="D103" s="65"/>
      <c r="E103" s="31"/>
      <c r="F103" s="34" t="s">
        <v>251</v>
      </c>
      <c r="G103" s="34"/>
    </row>
    <row r="104" spans="1:28" ht="14.25">
      <c r="A104" s="27" t="s">
        <v>252</v>
      </c>
      <c r="B104" s="31" t="s">
        <v>443</v>
      </c>
      <c r="C104" s="440">
        <v>0</v>
      </c>
      <c r="D104" s="332" t="s">
        <v>442</v>
      </c>
      <c r="E104" s="31"/>
      <c r="F104" s="45" t="s">
        <v>253</v>
      </c>
      <c r="G104" s="45" t="s">
        <v>254</v>
      </c>
      <c r="H104" s="45" t="s">
        <v>253</v>
      </c>
    </row>
    <row r="105" spans="1:28">
      <c r="A105" s="27" t="s">
        <v>441</v>
      </c>
      <c r="B105" s="31" t="s">
        <v>255</v>
      </c>
      <c r="C105" s="441">
        <v>101325</v>
      </c>
      <c r="D105" s="31"/>
      <c r="E105" s="31"/>
      <c r="F105" s="31">
        <v>0</v>
      </c>
      <c r="G105" s="32">
        <v>610.48326959999986</v>
      </c>
      <c r="H105" s="31">
        <f t="shared" ref="H105:H168" si="16">F105</f>
        <v>0</v>
      </c>
    </row>
    <row r="106" spans="1:28">
      <c r="A106" s="27" t="s">
        <v>440</v>
      </c>
      <c r="B106" s="31" t="s">
        <v>255</v>
      </c>
      <c r="C106" s="331">
        <f>C105*EXP(-'Combustion_Chaud1 (Micro)'!C94/1000*9.80665/'Combustion_Chaud1 (Micro)'!B32/'Combustion_Chaud1 (Micro)'!B29*C104)</f>
        <v>101325</v>
      </c>
      <c r="D106" s="331"/>
      <c r="E106" s="331"/>
      <c r="F106" s="31">
        <v>2</v>
      </c>
      <c r="G106" s="32">
        <v>705.80878559999985</v>
      </c>
      <c r="H106" s="31">
        <f t="shared" si="16"/>
        <v>2</v>
      </c>
    </row>
    <row r="107" spans="1:28">
      <c r="B107" s="31"/>
      <c r="C107" s="31"/>
      <c r="D107" s="331"/>
      <c r="E107" s="31"/>
      <c r="F107" s="31">
        <v>4</v>
      </c>
      <c r="G107" s="32">
        <v>813.39996239999994</v>
      </c>
      <c r="H107" s="31">
        <f t="shared" si="16"/>
        <v>4</v>
      </c>
    </row>
    <row r="108" spans="1:28">
      <c r="A108" s="131" t="s">
        <v>222</v>
      </c>
      <c r="B108" s="65"/>
      <c r="C108" s="65"/>
      <c r="D108" s="65"/>
      <c r="E108" s="31"/>
      <c r="F108" s="31">
        <v>6</v>
      </c>
      <c r="G108" s="32">
        <v>934.98999119999985</v>
      </c>
      <c r="H108" s="31">
        <f t="shared" si="16"/>
        <v>6</v>
      </c>
    </row>
    <row r="109" spans="1:28" ht="14.25">
      <c r="A109" s="27" t="s">
        <v>256</v>
      </c>
      <c r="B109" s="124" t="s">
        <v>434</v>
      </c>
      <c r="C109" s="330">
        <f>R7</f>
        <v>0</v>
      </c>
      <c r="D109" s="31"/>
      <c r="E109" s="31"/>
      <c r="F109" s="31">
        <v>8</v>
      </c>
      <c r="G109" s="32">
        <v>1072.5787079999998</v>
      </c>
      <c r="H109" s="31">
        <f t="shared" si="16"/>
        <v>8</v>
      </c>
    </row>
    <row r="110" spans="1:28">
      <c r="A110" s="27" t="s">
        <v>249</v>
      </c>
      <c r="B110" s="31"/>
      <c r="C110" s="329">
        <f>D92</f>
        <v>0.05</v>
      </c>
      <c r="D110" s="31"/>
      <c r="E110" s="31"/>
      <c r="F110" s="31">
        <v>10</v>
      </c>
      <c r="G110" s="32">
        <v>1227.7659815999998</v>
      </c>
      <c r="H110" s="31">
        <f t="shared" si="16"/>
        <v>10</v>
      </c>
    </row>
    <row r="111" spans="1:28">
      <c r="B111" s="31"/>
      <c r="C111" s="31"/>
      <c r="D111" s="31"/>
      <c r="E111" s="31"/>
      <c r="F111" s="31">
        <v>12</v>
      </c>
      <c r="G111" s="32">
        <v>1402.2850031999999</v>
      </c>
      <c r="H111" s="31">
        <f t="shared" si="16"/>
        <v>12</v>
      </c>
    </row>
    <row r="112" spans="1:28">
      <c r="A112" s="27" t="s">
        <v>257</v>
      </c>
      <c r="B112" s="31" t="s">
        <v>255</v>
      </c>
      <c r="C112" s="32">
        <f>IF(C109&lt;0,0.09*6895,G197)</f>
        <v>610.48326959999986</v>
      </c>
      <c r="D112" s="31"/>
      <c r="E112" s="31"/>
      <c r="F112" s="31">
        <v>14</v>
      </c>
      <c r="G112" s="32">
        <v>1598.1356087999998</v>
      </c>
      <c r="H112" s="31">
        <f t="shared" si="16"/>
        <v>14</v>
      </c>
    </row>
    <row r="113" spans="1:8">
      <c r="A113" s="27" t="s">
        <v>258</v>
      </c>
      <c r="B113" s="31" t="s">
        <v>255</v>
      </c>
      <c r="C113" s="32">
        <f>C110*C112</f>
        <v>30.524163479999995</v>
      </c>
      <c r="D113" s="31"/>
      <c r="E113" s="31"/>
      <c r="F113" s="31">
        <v>16</v>
      </c>
      <c r="G113" s="32">
        <v>1817.7176015999999</v>
      </c>
      <c r="H113" s="31">
        <f t="shared" si="16"/>
        <v>16</v>
      </c>
    </row>
    <row r="114" spans="1:8">
      <c r="B114" s="31"/>
      <c r="C114" s="31"/>
      <c r="D114" s="31"/>
      <c r="E114" s="31"/>
      <c r="F114" s="31">
        <v>18</v>
      </c>
      <c r="G114" s="32">
        <v>2063.4307847999999</v>
      </c>
      <c r="H114" s="31">
        <f t="shared" si="16"/>
        <v>18</v>
      </c>
    </row>
    <row r="115" spans="1:8">
      <c r="A115" s="27" t="s">
        <v>259</v>
      </c>
      <c r="B115" s="31" t="s">
        <v>260</v>
      </c>
      <c r="C115" s="58">
        <f>C113/(C106-C113)</f>
        <v>3.0134085030720923E-4</v>
      </c>
      <c r="D115" s="31"/>
      <c r="E115" s="31"/>
      <c r="F115" s="31">
        <v>20</v>
      </c>
      <c r="G115" s="32">
        <v>2337.8082839999997</v>
      </c>
      <c r="H115" s="31">
        <f t="shared" si="16"/>
        <v>20</v>
      </c>
    </row>
    <row r="116" spans="1:8">
      <c r="A116" s="27" t="s">
        <v>259</v>
      </c>
      <c r="B116" s="31" t="s">
        <v>261</v>
      </c>
      <c r="C116" s="58">
        <f>C115*'Combustion_Chaud1 (Micro)'!$C$15/'Combustion_Chaud1 (Micro)'!$C$94</f>
        <v>1.8742114897268885E-4</v>
      </c>
      <c r="D116" s="31"/>
      <c r="E116" s="31"/>
      <c r="F116" s="31">
        <v>22</v>
      </c>
      <c r="G116" s="32">
        <v>2643.3832247999999</v>
      </c>
      <c r="H116" s="31">
        <f t="shared" si="16"/>
        <v>22</v>
      </c>
    </row>
    <row r="117" spans="1:8">
      <c r="B117" s="31"/>
      <c r="C117" s="31"/>
      <c r="D117" s="31"/>
      <c r="E117" s="31"/>
      <c r="F117" s="31">
        <v>24</v>
      </c>
      <c r="G117" s="32">
        <v>2983.3553447999998</v>
      </c>
      <c r="H117" s="31">
        <f t="shared" si="16"/>
        <v>24</v>
      </c>
    </row>
    <row r="118" spans="1:8">
      <c r="A118" s="27" t="s">
        <v>262</v>
      </c>
      <c r="B118" s="31" t="s">
        <v>260</v>
      </c>
      <c r="C118" s="58">
        <f>C113/C106</f>
        <v>3.0125007135455213E-4</v>
      </c>
      <c r="D118" s="31"/>
      <c r="E118" s="31"/>
      <c r="F118" s="31">
        <v>26</v>
      </c>
      <c r="G118" s="32">
        <v>3360.9243815999998</v>
      </c>
      <c r="H118" s="31">
        <f t="shared" si="16"/>
        <v>26</v>
      </c>
    </row>
    <row r="119" spans="1:8" ht="14.25">
      <c r="A119" s="27" t="s">
        <v>263</v>
      </c>
      <c r="B119" s="124" t="s">
        <v>434</v>
      </c>
      <c r="C119" s="123" t="e">
        <f>F203</f>
        <v>#N/A</v>
      </c>
      <c r="D119" s="31"/>
      <c r="F119" s="31">
        <v>28</v>
      </c>
      <c r="G119" s="32">
        <v>3779.5567175999995</v>
      </c>
      <c r="H119" s="31">
        <f t="shared" si="16"/>
        <v>28</v>
      </c>
    </row>
    <row r="120" spans="1:8">
      <c r="E120" s="31"/>
      <c r="F120" s="31">
        <v>30</v>
      </c>
      <c r="G120" s="32">
        <v>4242.8520576000001</v>
      </c>
      <c r="H120" s="31">
        <f t="shared" si="16"/>
        <v>30</v>
      </c>
    </row>
    <row r="121" spans="1:8">
      <c r="A121" s="131" t="s">
        <v>223</v>
      </c>
      <c r="B121" s="65"/>
      <c r="C121" s="65"/>
      <c r="D121" s="65"/>
      <c r="E121" s="31"/>
      <c r="F121" s="31">
        <v>32</v>
      </c>
      <c r="G121" s="32">
        <v>4754.6767511999988</v>
      </c>
      <c r="H121" s="31">
        <f t="shared" si="16"/>
        <v>32</v>
      </c>
    </row>
    <row r="122" spans="1:8" ht="14.25">
      <c r="A122" s="27" t="s">
        <v>256</v>
      </c>
      <c r="B122" s="124" t="s">
        <v>434</v>
      </c>
      <c r="C122" s="125">
        <f>U7</f>
        <v>200</v>
      </c>
      <c r="D122" s="32"/>
      <c r="E122" s="31"/>
      <c r="F122" s="31">
        <v>34</v>
      </c>
      <c r="G122" s="32">
        <v>5319.2971152</v>
      </c>
      <c r="H122" s="31">
        <f t="shared" si="16"/>
        <v>34</v>
      </c>
    </row>
    <row r="123" spans="1:8">
      <c r="B123" s="31"/>
      <c r="C123" s="31"/>
      <c r="D123" s="31"/>
      <c r="E123" s="31"/>
      <c r="F123" s="31">
        <v>36</v>
      </c>
      <c r="G123" s="32">
        <v>5941.2461112000001</v>
      </c>
      <c r="H123" s="31">
        <f t="shared" si="16"/>
        <v>36</v>
      </c>
    </row>
    <row r="124" spans="1:8">
      <c r="A124" s="27" t="s">
        <v>264</v>
      </c>
      <c r="B124" s="31" t="s">
        <v>186</v>
      </c>
      <c r="C124" s="419">
        <f>'Combustion_Chaud1 (Micro)'!L75</f>
        <v>10.425951704007129</v>
      </c>
      <c r="D124" s="31"/>
      <c r="E124" s="31"/>
      <c r="F124" s="31">
        <v>38</v>
      </c>
      <c r="G124" s="32">
        <v>6625.0567007999998</v>
      </c>
      <c r="H124" s="31">
        <f t="shared" si="16"/>
        <v>38</v>
      </c>
    </row>
    <row r="125" spans="1:8" ht="15.75">
      <c r="A125" s="27" t="s">
        <v>439</v>
      </c>
      <c r="B125" s="31" t="s">
        <v>186</v>
      </c>
      <c r="C125" s="420">
        <f>'Combustion_Chaud1 (Micro)'!L86</f>
        <v>1.9734419786239874</v>
      </c>
      <c r="D125" s="132" t="s">
        <v>265</v>
      </c>
      <c r="E125" s="31"/>
      <c r="F125" s="31">
        <v>40</v>
      </c>
      <c r="G125" s="32">
        <v>7375.9284575999991</v>
      </c>
      <c r="H125" s="31">
        <f t="shared" si="16"/>
        <v>40</v>
      </c>
    </row>
    <row r="126" spans="1:8">
      <c r="B126" s="31"/>
      <c r="C126" s="31"/>
      <c r="D126" s="31"/>
      <c r="E126" s="31"/>
      <c r="F126" s="31">
        <v>42</v>
      </c>
      <c r="G126" s="32">
        <v>8199.3275999999987</v>
      </c>
      <c r="H126" s="31">
        <f t="shared" si="16"/>
        <v>42</v>
      </c>
    </row>
    <row r="127" spans="1:8">
      <c r="A127" s="27" t="s">
        <v>266</v>
      </c>
      <c r="B127" s="31" t="s">
        <v>255</v>
      </c>
      <c r="C127" s="32">
        <f>C132*C106</f>
        <v>19178.969379574519</v>
      </c>
      <c r="D127" s="31"/>
      <c r="E127" s="31"/>
      <c r="F127" s="31">
        <v>44</v>
      </c>
      <c r="G127" s="32">
        <v>9100.5870240000004</v>
      </c>
      <c r="H127" s="31">
        <f t="shared" si="16"/>
        <v>44</v>
      </c>
    </row>
    <row r="128" spans="1:8">
      <c r="B128" s="31"/>
      <c r="C128" s="31"/>
      <c r="D128" s="31"/>
      <c r="E128" s="31"/>
      <c r="F128" s="31">
        <v>46</v>
      </c>
      <c r="G128" s="32">
        <v>10085.83956</v>
      </c>
      <c r="H128" s="31">
        <f t="shared" si="16"/>
        <v>46</v>
      </c>
    </row>
    <row r="129" spans="1:8" ht="14.25">
      <c r="A129" s="27" t="s">
        <v>437</v>
      </c>
      <c r="B129" s="31" t="s">
        <v>260</v>
      </c>
      <c r="C129" s="58">
        <f>C125/(C124-C125)</f>
        <v>0.23347408553671128</v>
      </c>
      <c r="D129" s="45" t="s">
        <v>438</v>
      </c>
      <c r="E129" s="31"/>
      <c r="F129" s="31">
        <v>48</v>
      </c>
      <c r="G129" s="32">
        <v>11160.418103999998</v>
      </c>
      <c r="H129" s="31">
        <f t="shared" si="16"/>
        <v>48</v>
      </c>
    </row>
    <row r="130" spans="1:8">
      <c r="A130" s="27" t="s">
        <v>437</v>
      </c>
      <c r="B130" s="31" t="s">
        <v>261</v>
      </c>
      <c r="C130" s="58">
        <f>C129*'Combustion_Chaud1 (Micro)'!$C$15/D130</f>
        <v>0.17346345372842753</v>
      </c>
      <c r="D130" s="133">
        <f>('Combustion_Chaud1 (Micro)'!M77*'Combustion_Chaud1 (Micro)'!$C$25+'Combustion_Chaud1 (Micro)'!M78*'Combustion_Chaud1 (Micro)'!$C$13+'Combustion_Chaud1 (Micro)'!M79*'Combustion_Chaud1 (Micro)'!$C$11+'Combustion_Chaud1 (Micro)'!M80*'Combustion_Chaud1 (Micro)'!$C$26)</f>
        <v>24.247764778584596</v>
      </c>
      <c r="E130" s="31"/>
      <c r="F130" s="31">
        <v>50</v>
      </c>
      <c r="G130" s="32">
        <v>12333.655224</v>
      </c>
      <c r="H130" s="31">
        <f t="shared" si="16"/>
        <v>50</v>
      </c>
    </row>
    <row r="131" spans="1:8">
      <c r="B131" s="31"/>
      <c r="C131" s="31"/>
      <c r="D131" s="31"/>
      <c r="E131" s="31"/>
      <c r="F131" s="31">
        <v>55</v>
      </c>
      <c r="G131" s="32">
        <v>15737.376096</v>
      </c>
      <c r="H131" s="31">
        <f t="shared" si="16"/>
        <v>55</v>
      </c>
    </row>
    <row r="132" spans="1:8">
      <c r="A132" s="27" t="s">
        <v>436</v>
      </c>
      <c r="B132" s="31" t="s">
        <v>260</v>
      </c>
      <c r="C132" s="58">
        <f>C125/C124</f>
        <v>0.18928171112336067</v>
      </c>
      <c r="D132" s="31"/>
      <c r="E132" s="31"/>
      <c r="F132" s="31">
        <v>60</v>
      </c>
      <c r="G132" s="32">
        <v>19915.700111999999</v>
      </c>
      <c r="H132" s="31">
        <f t="shared" si="16"/>
        <v>60</v>
      </c>
    </row>
    <row r="133" spans="1:8">
      <c r="A133" s="27" t="s">
        <v>435</v>
      </c>
      <c r="B133" s="31" t="s">
        <v>260</v>
      </c>
      <c r="C133" s="123">
        <f>C132*C124</f>
        <v>1.9734419786239874</v>
      </c>
      <c r="D133" s="31"/>
      <c r="E133" s="31"/>
      <c r="F133" s="31">
        <v>65</v>
      </c>
      <c r="G133" s="32">
        <v>25003.282895999997</v>
      </c>
      <c r="H133" s="31">
        <f t="shared" si="16"/>
        <v>65</v>
      </c>
    </row>
    <row r="134" spans="1:8">
      <c r="B134" s="31"/>
      <c r="C134" s="31"/>
      <c r="D134" s="31"/>
      <c r="E134" s="31"/>
      <c r="F134" s="31">
        <v>70</v>
      </c>
      <c r="G134" s="32">
        <v>31157.444879999995</v>
      </c>
      <c r="H134" s="31">
        <f t="shared" si="16"/>
        <v>70</v>
      </c>
    </row>
    <row r="135" spans="1:8">
      <c r="A135" s="34" t="s">
        <v>248</v>
      </c>
      <c r="B135" s="31"/>
      <c r="C135" s="45" t="str">
        <f>IF(C136&gt;C122,"VRAI","FAUX")</f>
        <v>FAUX</v>
      </c>
      <c r="D135" s="31"/>
      <c r="E135" s="31"/>
      <c r="F135" s="31">
        <v>75</v>
      </c>
      <c r="G135" s="32">
        <v>38543.505839999998</v>
      </c>
      <c r="H135" s="31">
        <f t="shared" si="16"/>
        <v>75</v>
      </c>
    </row>
    <row r="136" spans="1:8" ht="14.25">
      <c r="A136" s="27" t="s">
        <v>244</v>
      </c>
      <c r="B136" s="124" t="s">
        <v>434</v>
      </c>
      <c r="C136" s="123">
        <f>F209</f>
        <v>59.118389658623499</v>
      </c>
      <c r="D136" s="31"/>
      <c r="E136" s="31"/>
      <c r="F136" s="31">
        <v>80</v>
      </c>
      <c r="G136" s="32">
        <v>47342.784240000001</v>
      </c>
      <c r="H136" s="31">
        <f t="shared" si="16"/>
        <v>80</v>
      </c>
    </row>
    <row r="137" spans="1:8">
      <c r="B137" s="31"/>
      <c r="C137" s="31"/>
      <c r="D137" s="31"/>
      <c r="E137" s="31"/>
      <c r="F137" s="31">
        <v>85</v>
      </c>
      <c r="G137" s="32">
        <v>57808.592639999995</v>
      </c>
      <c r="H137" s="31">
        <f t="shared" si="16"/>
        <v>85</v>
      </c>
    </row>
    <row r="138" spans="1:8">
      <c r="A138" s="132" t="s">
        <v>257</v>
      </c>
      <c r="B138" s="31" t="s">
        <v>255</v>
      </c>
      <c r="C138" s="32">
        <f>G215</f>
        <v>1553800</v>
      </c>
      <c r="D138" s="31"/>
      <c r="E138" s="31"/>
      <c r="F138" s="31">
        <v>90</v>
      </c>
      <c r="G138" s="32">
        <v>70095.585023999985</v>
      </c>
      <c r="H138" s="31">
        <f t="shared" si="16"/>
        <v>90</v>
      </c>
    </row>
    <row r="139" spans="1:8">
      <c r="A139" s="31" t="s">
        <v>267</v>
      </c>
      <c r="B139" s="31" t="s">
        <v>433</v>
      </c>
      <c r="C139" s="58" t="str">
        <f>IF(C135,C138/C106,"-")</f>
        <v>-</v>
      </c>
      <c r="D139" s="31"/>
      <c r="E139" s="31"/>
      <c r="F139" s="31">
        <v>91</v>
      </c>
      <c r="G139" s="32">
        <v>72800.696519999983</v>
      </c>
      <c r="H139" s="31">
        <f t="shared" si="16"/>
        <v>91</v>
      </c>
    </row>
    <row r="140" spans="1:8">
      <c r="A140" s="31" t="s">
        <v>248</v>
      </c>
      <c r="B140" s="31" t="s">
        <v>433</v>
      </c>
      <c r="C140" s="58">
        <f>IF(C135,C132-C139,0)</f>
        <v>0</v>
      </c>
      <c r="D140" s="31"/>
      <c r="E140" s="31"/>
      <c r="F140" s="31">
        <v>92</v>
      </c>
      <c r="G140" s="32">
        <v>75592.467575999995</v>
      </c>
      <c r="H140" s="31">
        <f t="shared" si="16"/>
        <v>92</v>
      </c>
    </row>
    <row r="141" spans="1:8">
      <c r="A141" s="31" t="s">
        <v>248</v>
      </c>
      <c r="B141" s="31" t="s">
        <v>186</v>
      </c>
      <c r="C141" s="58">
        <f>IF(C135,C140*C124,0)</f>
        <v>0</v>
      </c>
      <c r="D141" s="31"/>
      <c r="E141" s="31"/>
      <c r="F141" s="31">
        <v>93</v>
      </c>
      <c r="G141" s="32">
        <v>78473.564639999997</v>
      </c>
      <c r="H141" s="31">
        <f t="shared" si="16"/>
        <v>93</v>
      </c>
    </row>
    <row r="142" spans="1:8">
      <c r="A142" s="31" t="s">
        <v>248</v>
      </c>
      <c r="B142" s="31" t="s">
        <v>268</v>
      </c>
      <c r="C142" s="76">
        <f>IF(C135,C141*'Combustion_Chaud1 (Micro)'!$C$15,0)</f>
        <v>0</v>
      </c>
      <c r="D142" s="31"/>
      <c r="E142" s="31"/>
      <c r="F142" s="31">
        <v>94</v>
      </c>
      <c r="G142" s="32">
        <v>81446.654159999991</v>
      </c>
      <c r="H142" s="31">
        <f t="shared" si="16"/>
        <v>94</v>
      </c>
    </row>
    <row r="143" spans="1:8">
      <c r="B143" s="31"/>
      <c r="C143" s="31"/>
      <c r="D143" s="31"/>
      <c r="E143" s="31"/>
      <c r="F143" s="31">
        <v>95</v>
      </c>
      <c r="G143" s="32">
        <v>84513.069359999994</v>
      </c>
      <c r="H143" s="31">
        <f t="shared" si="16"/>
        <v>95</v>
      </c>
    </row>
    <row r="144" spans="1:8" ht="15">
      <c r="A144" s="27" t="s">
        <v>432</v>
      </c>
      <c r="B144" s="31"/>
      <c r="C144" s="134" t="str">
        <f>IF(C135,1,IF(C122&lt;100,C127/C138,"N / A"))</f>
        <v>N / A</v>
      </c>
      <c r="D144" s="31"/>
      <c r="E144" s="31"/>
      <c r="F144" s="31">
        <v>96</v>
      </c>
      <c r="G144" s="32">
        <v>87675.476687999995</v>
      </c>
      <c r="H144" s="31">
        <f t="shared" si="16"/>
        <v>96</v>
      </c>
    </row>
    <row r="145" spans="2:8">
      <c r="B145" s="31"/>
      <c r="C145" s="31"/>
      <c r="D145" s="31"/>
      <c r="E145" s="31"/>
      <c r="F145" s="31">
        <v>97</v>
      </c>
      <c r="G145" s="32">
        <v>90935.209367999996</v>
      </c>
      <c r="H145" s="31">
        <f t="shared" si="16"/>
        <v>97</v>
      </c>
    </row>
    <row r="146" spans="2:8">
      <c r="B146" s="31"/>
      <c r="C146" s="31"/>
      <c r="D146" s="31"/>
      <c r="E146" s="31"/>
      <c r="F146" s="31">
        <v>98</v>
      </c>
      <c r="G146" s="32">
        <v>94294.933847999986</v>
      </c>
      <c r="H146" s="31">
        <f t="shared" si="16"/>
        <v>98</v>
      </c>
    </row>
    <row r="147" spans="2:8">
      <c r="B147" s="31"/>
      <c r="C147" s="31"/>
      <c r="D147" s="31"/>
      <c r="E147" s="31"/>
      <c r="F147" s="31">
        <v>99</v>
      </c>
      <c r="G147" s="32">
        <v>97757.316575999997</v>
      </c>
      <c r="H147" s="31">
        <f t="shared" si="16"/>
        <v>99</v>
      </c>
    </row>
    <row r="148" spans="2:8">
      <c r="B148" s="31"/>
      <c r="C148" s="31"/>
      <c r="D148" s="31"/>
      <c r="E148" s="31"/>
      <c r="F148" s="31">
        <v>100</v>
      </c>
      <c r="G148" s="32">
        <v>101325.02399999999</v>
      </c>
      <c r="H148" s="31">
        <f t="shared" si="16"/>
        <v>100</v>
      </c>
    </row>
    <row r="149" spans="2:8">
      <c r="B149" s="31"/>
      <c r="C149" s="31"/>
      <c r="D149" s="31"/>
      <c r="E149" s="31"/>
      <c r="F149" s="31">
        <v>105</v>
      </c>
      <c r="G149" s="32">
        <v>120820</v>
      </c>
      <c r="H149" s="31">
        <f t="shared" si="16"/>
        <v>105</v>
      </c>
    </row>
    <row r="150" spans="2:8">
      <c r="B150" s="31"/>
      <c r="C150" s="31"/>
      <c r="D150" s="31"/>
      <c r="E150" s="31"/>
      <c r="F150" s="31">
        <v>110</v>
      </c>
      <c r="G150" s="32">
        <v>143270</v>
      </c>
      <c r="H150" s="31">
        <f t="shared" si="16"/>
        <v>110</v>
      </c>
    </row>
    <row r="151" spans="2:8">
      <c r="B151" s="31"/>
      <c r="C151" s="31"/>
      <c r="D151" s="31"/>
      <c r="E151" s="31"/>
      <c r="F151" s="31">
        <v>115</v>
      </c>
      <c r="G151" s="32">
        <v>169060</v>
      </c>
      <c r="H151" s="31">
        <f t="shared" si="16"/>
        <v>115</v>
      </c>
    </row>
    <row r="152" spans="2:8">
      <c r="B152" s="31"/>
      <c r="C152" s="31"/>
      <c r="D152" s="31"/>
      <c r="E152" s="31"/>
      <c r="F152" s="31">
        <v>120</v>
      </c>
      <c r="G152" s="32">
        <v>198530</v>
      </c>
      <c r="H152" s="31">
        <f t="shared" si="16"/>
        <v>120</v>
      </c>
    </row>
    <row r="153" spans="2:8">
      <c r="B153" s="31"/>
      <c r="C153" s="31"/>
      <c r="D153" s="31"/>
      <c r="E153" s="31"/>
      <c r="F153" s="31">
        <v>125</v>
      </c>
      <c r="G153" s="32">
        <v>232100</v>
      </c>
      <c r="H153" s="31">
        <f t="shared" si="16"/>
        <v>125</v>
      </c>
    </row>
    <row r="154" spans="2:8">
      <c r="B154" s="31"/>
      <c r="C154" s="31"/>
      <c r="D154" s="31"/>
      <c r="E154" s="31"/>
      <c r="F154" s="31">
        <v>130</v>
      </c>
      <c r="G154" s="32">
        <v>270100</v>
      </c>
      <c r="H154" s="31">
        <f t="shared" si="16"/>
        <v>130</v>
      </c>
    </row>
    <row r="155" spans="2:8">
      <c r="B155" s="31"/>
      <c r="C155" s="31"/>
      <c r="D155" s="31"/>
      <c r="E155" s="31"/>
      <c r="F155" s="31">
        <v>135</v>
      </c>
      <c r="G155" s="32">
        <v>313000</v>
      </c>
      <c r="H155" s="31">
        <f t="shared" si="16"/>
        <v>135</v>
      </c>
    </row>
    <row r="156" spans="2:8">
      <c r="B156" s="31"/>
      <c r="C156" s="31"/>
      <c r="D156" s="31"/>
      <c r="E156" s="31"/>
      <c r="F156" s="31">
        <v>140</v>
      </c>
      <c r="G156" s="32">
        <v>361300</v>
      </c>
      <c r="H156" s="31">
        <f t="shared" si="16"/>
        <v>140</v>
      </c>
    </row>
    <row r="157" spans="2:8">
      <c r="B157" s="31"/>
      <c r="C157" s="31"/>
      <c r="D157" s="31"/>
      <c r="E157" s="31"/>
      <c r="F157" s="31">
        <v>145</v>
      </c>
      <c r="G157" s="32">
        <v>415400</v>
      </c>
      <c r="H157" s="31">
        <f t="shared" si="16"/>
        <v>145</v>
      </c>
    </row>
    <row r="158" spans="2:8">
      <c r="B158" s="31"/>
      <c r="C158" s="31"/>
      <c r="D158" s="31"/>
      <c r="E158" s="31"/>
      <c r="F158" s="31">
        <v>150</v>
      </c>
      <c r="G158" s="32">
        <v>475800</v>
      </c>
      <c r="H158" s="31">
        <f t="shared" si="16"/>
        <v>150</v>
      </c>
    </row>
    <row r="159" spans="2:8">
      <c r="B159" s="31"/>
      <c r="C159" s="31"/>
      <c r="D159" s="31"/>
      <c r="E159" s="31"/>
      <c r="F159" s="31">
        <v>155</v>
      </c>
      <c r="G159" s="32">
        <v>543100</v>
      </c>
      <c r="H159" s="31">
        <f t="shared" si="16"/>
        <v>155</v>
      </c>
    </row>
    <row r="160" spans="2:8">
      <c r="B160" s="31"/>
      <c r="C160" s="31"/>
      <c r="D160" s="31"/>
      <c r="E160" s="31"/>
      <c r="F160" s="31">
        <v>160</v>
      </c>
      <c r="G160" s="32">
        <v>617800</v>
      </c>
      <c r="H160" s="31">
        <f t="shared" si="16"/>
        <v>160</v>
      </c>
    </row>
    <row r="161" spans="2:8">
      <c r="B161" s="31"/>
      <c r="C161" s="31"/>
      <c r="D161" s="31"/>
      <c r="E161" s="31"/>
      <c r="F161" s="31">
        <v>165</v>
      </c>
      <c r="G161" s="32">
        <v>700500</v>
      </c>
      <c r="H161" s="31">
        <f t="shared" si="16"/>
        <v>165</v>
      </c>
    </row>
    <row r="162" spans="2:8">
      <c r="B162" s="31"/>
      <c r="C162" s="31"/>
      <c r="D162" s="31"/>
      <c r="E162" s="31"/>
      <c r="F162" s="31">
        <v>170</v>
      </c>
      <c r="G162" s="32">
        <v>791700</v>
      </c>
      <c r="H162" s="31">
        <f t="shared" si="16"/>
        <v>170</v>
      </c>
    </row>
    <row r="163" spans="2:8">
      <c r="B163" s="31"/>
      <c r="C163" s="31"/>
      <c r="D163" s="31"/>
      <c r="E163" s="31"/>
      <c r="F163" s="31">
        <v>175</v>
      </c>
      <c r="G163" s="32">
        <v>892000</v>
      </c>
      <c r="H163" s="31">
        <f t="shared" si="16"/>
        <v>175</v>
      </c>
    </row>
    <row r="164" spans="2:8">
      <c r="B164" s="31"/>
      <c r="C164" s="31"/>
      <c r="D164" s="31"/>
      <c r="E164" s="31"/>
      <c r="F164" s="31">
        <v>180</v>
      </c>
      <c r="G164" s="32">
        <v>1002100</v>
      </c>
      <c r="H164" s="31">
        <f t="shared" si="16"/>
        <v>180</v>
      </c>
    </row>
    <row r="165" spans="2:8">
      <c r="B165" s="31"/>
      <c r="C165" s="31"/>
      <c r="D165" s="31"/>
      <c r="E165" s="31"/>
      <c r="F165" s="31">
        <v>185</v>
      </c>
      <c r="G165" s="32">
        <v>1122700</v>
      </c>
      <c r="H165" s="31">
        <f t="shared" si="16"/>
        <v>185</v>
      </c>
    </row>
    <row r="166" spans="2:8">
      <c r="B166" s="31"/>
      <c r="C166" s="31"/>
      <c r="D166" s="31"/>
      <c r="E166" s="31"/>
      <c r="F166" s="31">
        <v>190</v>
      </c>
      <c r="G166" s="32">
        <v>1254400</v>
      </c>
      <c r="H166" s="31">
        <f t="shared" si="16"/>
        <v>190</v>
      </c>
    </row>
    <row r="167" spans="2:8">
      <c r="B167" s="31"/>
      <c r="C167" s="31"/>
      <c r="D167" s="31"/>
      <c r="E167" s="31"/>
      <c r="F167" s="31">
        <v>195</v>
      </c>
      <c r="G167" s="32">
        <v>1397800</v>
      </c>
      <c r="H167" s="31">
        <f t="shared" si="16"/>
        <v>195</v>
      </c>
    </row>
    <row r="168" spans="2:8">
      <c r="B168" s="31"/>
      <c r="C168" s="31"/>
      <c r="D168" s="31"/>
      <c r="E168" s="31"/>
      <c r="F168" s="31">
        <v>200</v>
      </c>
      <c r="G168" s="32">
        <v>1553800</v>
      </c>
      <c r="H168" s="31">
        <f t="shared" si="16"/>
        <v>200</v>
      </c>
    </row>
    <row r="169" spans="2:8">
      <c r="B169" s="31"/>
      <c r="C169" s="31"/>
      <c r="D169" s="31"/>
      <c r="E169" s="31"/>
      <c r="F169" s="31">
        <v>205</v>
      </c>
      <c r="G169" s="32">
        <v>1723000</v>
      </c>
      <c r="H169" s="31">
        <f t="shared" ref="H169:H192" si="17">F169</f>
        <v>205</v>
      </c>
    </row>
    <row r="170" spans="2:8">
      <c r="B170" s="31"/>
      <c r="C170" s="31"/>
      <c r="D170" s="31"/>
      <c r="E170" s="31"/>
      <c r="F170" s="31">
        <v>210</v>
      </c>
      <c r="G170" s="32">
        <v>1906200</v>
      </c>
      <c r="H170" s="31">
        <f t="shared" si="17"/>
        <v>210</v>
      </c>
    </row>
    <row r="171" spans="2:8">
      <c r="B171" s="31"/>
      <c r="C171" s="31"/>
      <c r="D171" s="31"/>
      <c r="E171" s="31"/>
      <c r="F171" s="31">
        <v>215</v>
      </c>
      <c r="G171" s="32">
        <v>2104000</v>
      </c>
      <c r="H171" s="31">
        <f t="shared" si="17"/>
        <v>215</v>
      </c>
    </row>
    <row r="172" spans="2:8">
      <c r="B172" s="31"/>
      <c r="C172" s="31"/>
      <c r="D172" s="31"/>
      <c r="E172" s="31"/>
      <c r="F172" s="31">
        <v>220</v>
      </c>
      <c r="G172" s="32">
        <v>2318000</v>
      </c>
      <c r="H172" s="31">
        <f t="shared" si="17"/>
        <v>220</v>
      </c>
    </row>
    <row r="173" spans="2:8">
      <c r="B173" s="31"/>
      <c r="C173" s="31"/>
      <c r="D173" s="31"/>
      <c r="E173" s="31"/>
      <c r="F173" s="31">
        <v>225</v>
      </c>
      <c r="G173" s="32">
        <v>2548000</v>
      </c>
      <c r="H173" s="31">
        <f t="shared" si="17"/>
        <v>225</v>
      </c>
    </row>
    <row r="174" spans="2:8">
      <c r="B174" s="31"/>
      <c r="C174" s="31"/>
      <c r="D174" s="31"/>
      <c r="E174" s="31"/>
      <c r="F174" s="31">
        <v>230</v>
      </c>
      <c r="G174" s="32">
        <v>2795000</v>
      </c>
      <c r="H174" s="31">
        <f t="shared" si="17"/>
        <v>230</v>
      </c>
    </row>
    <row r="175" spans="2:8">
      <c r="B175" s="31"/>
      <c r="C175" s="31"/>
      <c r="D175" s="31"/>
      <c r="E175" s="31"/>
      <c r="F175" s="31">
        <v>235</v>
      </c>
      <c r="G175" s="32">
        <v>3060000</v>
      </c>
      <c r="H175" s="31">
        <f t="shared" si="17"/>
        <v>235</v>
      </c>
    </row>
    <row r="176" spans="2:8">
      <c r="B176" s="31"/>
      <c r="C176" s="31"/>
      <c r="D176" s="31"/>
      <c r="E176" s="31"/>
      <c r="F176" s="31">
        <v>240</v>
      </c>
      <c r="G176" s="32">
        <v>3344000</v>
      </c>
      <c r="H176" s="31">
        <f t="shared" si="17"/>
        <v>240</v>
      </c>
    </row>
    <row r="177" spans="2:8">
      <c r="B177" s="31"/>
      <c r="C177" s="31"/>
      <c r="D177" s="31"/>
      <c r="E177" s="31"/>
      <c r="F177" s="31">
        <v>245</v>
      </c>
      <c r="G177" s="32">
        <v>3648000</v>
      </c>
      <c r="H177" s="31">
        <f t="shared" si="17"/>
        <v>245</v>
      </c>
    </row>
    <row r="178" spans="2:8">
      <c r="B178" s="31"/>
      <c r="C178" s="31"/>
      <c r="D178" s="31"/>
      <c r="E178" s="31"/>
      <c r="F178" s="31">
        <v>250</v>
      </c>
      <c r="G178" s="32">
        <v>3973000</v>
      </c>
      <c r="H178" s="31">
        <f t="shared" si="17"/>
        <v>250</v>
      </c>
    </row>
    <row r="179" spans="2:8">
      <c r="B179" s="31"/>
      <c r="C179" s="31"/>
      <c r="D179" s="31"/>
      <c r="E179" s="31"/>
      <c r="F179" s="31">
        <v>255</v>
      </c>
      <c r="G179" s="32">
        <v>4319000</v>
      </c>
      <c r="H179" s="31">
        <f t="shared" si="17"/>
        <v>255</v>
      </c>
    </row>
    <row r="180" spans="2:8">
      <c r="B180" s="31"/>
      <c r="C180" s="31"/>
      <c r="D180" s="31"/>
      <c r="E180" s="31"/>
      <c r="F180" s="31">
        <v>260</v>
      </c>
      <c r="G180" s="32">
        <v>4688000</v>
      </c>
      <c r="H180" s="31">
        <f t="shared" si="17"/>
        <v>260</v>
      </c>
    </row>
    <row r="181" spans="2:8">
      <c r="B181" s="31"/>
      <c r="C181" s="31"/>
      <c r="D181" s="31"/>
      <c r="E181" s="31"/>
      <c r="F181" s="31">
        <v>265</v>
      </c>
      <c r="G181" s="32">
        <v>5081000</v>
      </c>
      <c r="H181" s="31">
        <f t="shared" si="17"/>
        <v>265</v>
      </c>
    </row>
    <row r="182" spans="2:8">
      <c r="B182" s="31"/>
      <c r="C182" s="31"/>
      <c r="D182" s="31"/>
      <c r="E182" s="31"/>
      <c r="F182" s="31">
        <v>270</v>
      </c>
      <c r="G182" s="32">
        <v>5499000</v>
      </c>
      <c r="H182" s="31">
        <f t="shared" si="17"/>
        <v>270</v>
      </c>
    </row>
    <row r="183" spans="2:8">
      <c r="B183" s="31"/>
      <c r="C183" s="31"/>
      <c r="D183" s="31"/>
      <c r="E183" s="31"/>
      <c r="F183" s="31">
        <v>275</v>
      </c>
      <c r="G183" s="32">
        <v>5942000</v>
      </c>
      <c r="H183" s="31">
        <f t="shared" si="17"/>
        <v>275</v>
      </c>
    </row>
    <row r="184" spans="2:8">
      <c r="B184" s="31"/>
      <c r="C184" s="31"/>
      <c r="D184" s="31"/>
      <c r="E184" s="31"/>
      <c r="F184" s="31">
        <v>280</v>
      </c>
      <c r="G184" s="32">
        <v>6412000</v>
      </c>
      <c r="H184" s="31">
        <f t="shared" si="17"/>
        <v>280</v>
      </c>
    </row>
    <row r="185" spans="2:8">
      <c r="B185" s="31"/>
      <c r="C185" s="31"/>
      <c r="D185" s="31"/>
      <c r="E185" s="31"/>
      <c r="F185" s="31">
        <v>285</v>
      </c>
      <c r="G185" s="32">
        <v>6909000</v>
      </c>
      <c r="H185" s="31">
        <f t="shared" si="17"/>
        <v>285</v>
      </c>
    </row>
    <row r="186" spans="2:8">
      <c r="B186" s="31"/>
      <c r="C186" s="31"/>
      <c r="D186" s="31"/>
      <c r="E186" s="31"/>
      <c r="F186" s="31">
        <v>290</v>
      </c>
      <c r="G186" s="32">
        <v>7436000</v>
      </c>
      <c r="H186" s="31">
        <f t="shared" si="17"/>
        <v>290</v>
      </c>
    </row>
    <row r="187" spans="2:8">
      <c r="B187" s="31"/>
      <c r="C187" s="31"/>
      <c r="D187" s="31"/>
      <c r="E187" s="31"/>
      <c r="F187" s="31">
        <v>295</v>
      </c>
      <c r="G187" s="32">
        <v>7993000</v>
      </c>
      <c r="H187" s="31">
        <f t="shared" si="17"/>
        <v>295</v>
      </c>
    </row>
    <row r="188" spans="2:8">
      <c r="B188" s="31"/>
      <c r="C188" s="31"/>
      <c r="D188" s="31"/>
      <c r="E188" s="31"/>
      <c r="F188" s="31">
        <v>300</v>
      </c>
      <c r="G188" s="32">
        <v>8581000</v>
      </c>
      <c r="H188" s="31">
        <f t="shared" si="17"/>
        <v>300</v>
      </c>
    </row>
    <row r="189" spans="2:8">
      <c r="B189" s="31"/>
      <c r="C189" s="31"/>
      <c r="D189" s="31"/>
      <c r="E189" s="31"/>
      <c r="F189" s="31">
        <v>320</v>
      </c>
      <c r="G189" s="31">
        <v>11274000</v>
      </c>
      <c r="H189" s="31">
        <f t="shared" si="17"/>
        <v>320</v>
      </c>
    </row>
    <row r="190" spans="2:8">
      <c r="B190" s="31"/>
      <c r="C190" s="31"/>
      <c r="D190" s="31"/>
      <c r="E190" s="31"/>
      <c r="F190" s="31">
        <v>340</v>
      </c>
      <c r="G190" s="31">
        <v>14586000</v>
      </c>
      <c r="H190" s="31">
        <f t="shared" si="17"/>
        <v>340</v>
      </c>
    </row>
    <row r="191" spans="2:8">
      <c r="B191" s="31"/>
      <c r="C191" s="31"/>
      <c r="D191" s="31"/>
      <c r="E191" s="31"/>
      <c r="F191" s="31">
        <v>360</v>
      </c>
      <c r="G191" s="31">
        <v>18651000</v>
      </c>
      <c r="H191" s="31">
        <f t="shared" si="17"/>
        <v>360</v>
      </c>
    </row>
    <row r="192" spans="2:8">
      <c r="B192" s="31"/>
      <c r="C192" s="31"/>
      <c r="D192" s="31"/>
      <c r="E192" s="31"/>
      <c r="F192" s="32">
        <v>374.14</v>
      </c>
      <c r="G192" s="32">
        <v>22090000</v>
      </c>
      <c r="H192" s="32">
        <f t="shared" si="17"/>
        <v>374.14</v>
      </c>
    </row>
    <row r="193" spans="2:8">
      <c r="B193" s="31"/>
      <c r="C193" s="31"/>
      <c r="D193" s="31"/>
      <c r="E193" s="31"/>
      <c r="F193" s="31"/>
      <c r="G193" s="31"/>
      <c r="H193" s="31"/>
    </row>
    <row r="194" spans="2:8">
      <c r="B194" s="31"/>
      <c r="C194" s="31"/>
      <c r="D194" s="31"/>
      <c r="E194" s="31"/>
      <c r="F194" s="2341" t="s">
        <v>269</v>
      </c>
      <c r="G194" s="2342"/>
      <c r="H194" s="2343"/>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41" t="s">
        <v>272</v>
      </c>
      <c r="G200" s="2342"/>
      <c r="H200" s="2343"/>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41" t="s">
        <v>431</v>
      </c>
      <c r="G206" s="2342"/>
      <c r="H206" s="2343"/>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41" t="s">
        <v>273</v>
      </c>
      <c r="G212" s="2342"/>
      <c r="H212" s="2343"/>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heetViews>
  <sheetFormatPr baseColWidth="10" defaultColWidth="11.42578125" defaultRowHeight="12.75"/>
  <cols>
    <col min="1" max="1" width="22.5703125" style="27" customWidth="1"/>
    <col min="2" max="2" width="11.42578125" style="27"/>
    <col min="3" max="3" width="29.425781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5703125" style="27" customWidth="1"/>
    <col min="16" max="16" width="12.140625" style="27" customWidth="1"/>
    <col min="17" max="18" width="10.5703125" style="27" customWidth="1"/>
    <col min="19" max="19" width="11.5703125" style="27" customWidth="1"/>
    <col min="20" max="22" width="10.5703125" style="27" customWidth="1"/>
    <col min="23" max="25" width="11.42578125" style="27"/>
    <col min="26" max="26" width="11.42578125" style="701"/>
    <col min="27" max="27" width="13.85546875" style="31" customWidth="1"/>
    <col min="28" max="29" width="13.85546875" style="27" customWidth="1"/>
    <col min="30" max="16384" width="11.42578125" style="27"/>
  </cols>
  <sheetData>
    <row r="1" spans="1:31">
      <c r="G1" s="476"/>
      <c r="AA1" s="2399" t="s">
        <v>594</v>
      </c>
      <c r="AB1" s="2399"/>
      <c r="AC1" s="2399"/>
    </row>
    <row r="2" spans="1:31">
      <c r="E2" s="28" t="s">
        <v>164</v>
      </c>
      <c r="F2" s="29" t="s">
        <v>19</v>
      </c>
      <c r="G2" s="30">
        <f>1-(G4/(G5+ABS(L27)))</f>
        <v>0.83178495081709203</v>
      </c>
      <c r="AA2" s="2399"/>
      <c r="AB2" s="2399"/>
      <c r="AC2" s="2399"/>
    </row>
    <row r="3" spans="1:31" ht="15.75" thickBot="1">
      <c r="B3" s="7"/>
      <c r="C3" s="701"/>
      <c r="U3" s="477"/>
      <c r="AA3" s="2399"/>
      <c r="AB3" s="2399"/>
      <c r="AC3" s="2399"/>
    </row>
    <row r="4" spans="1:31" ht="13.5" thickBot="1">
      <c r="E4" s="31" t="s">
        <v>165</v>
      </c>
      <c r="F4" s="31" t="s">
        <v>166</v>
      </c>
      <c r="G4" s="373">
        <f>V27</f>
        <v>147746.41540124468</v>
      </c>
      <c r="H4" s="33"/>
      <c r="AA4" s="73" t="s">
        <v>592</v>
      </c>
      <c r="AB4" s="480">
        <f>'Micromodulation et sonde O2'!E64</f>
        <v>0.83747950019628004</v>
      </c>
    </row>
    <row r="5" spans="1:31">
      <c r="A5" s="34" t="s">
        <v>167</v>
      </c>
      <c r="E5" s="31" t="s">
        <v>168</v>
      </c>
      <c r="F5" s="31" t="s">
        <v>166</v>
      </c>
      <c r="G5" s="373">
        <f>P27+S27</f>
        <v>-4679.9930678642395</v>
      </c>
      <c r="J5" s="2351" t="s">
        <v>509</v>
      </c>
      <c r="K5" s="2352"/>
      <c r="L5" s="2352"/>
      <c r="M5" s="2353"/>
      <c r="N5" s="2400" t="s">
        <v>169</v>
      </c>
      <c r="O5" s="2401"/>
      <c r="P5" s="2401"/>
      <c r="Q5" s="2401"/>
      <c r="R5" s="2401"/>
      <c r="S5" s="2401"/>
      <c r="T5" s="2401"/>
      <c r="U5" s="2401"/>
      <c r="V5" s="2402"/>
      <c r="AA5" s="73" t="s">
        <v>586</v>
      </c>
      <c r="AB5" s="702">
        <f>(AB4-AE11)/AE10</f>
        <v>184.85896020521545</v>
      </c>
      <c r="AC5" s="479" t="s">
        <v>16</v>
      </c>
    </row>
    <row r="6" spans="1:31">
      <c r="A6" s="418" t="s">
        <v>508</v>
      </c>
      <c r="J6" s="2354" t="s">
        <v>507</v>
      </c>
      <c r="K6" s="2355"/>
      <c r="L6" s="2355"/>
      <c r="M6" s="2356"/>
      <c r="N6" s="2366" t="s">
        <v>506</v>
      </c>
      <c r="O6" s="2367"/>
      <c r="P6" s="2368"/>
      <c r="Q6" s="2366" t="s">
        <v>170</v>
      </c>
      <c r="R6" s="2367"/>
      <c r="S6" s="2368"/>
      <c r="T6" s="2366" t="s">
        <v>223</v>
      </c>
      <c r="U6" s="2367"/>
      <c r="V6" s="2368"/>
      <c r="AA6" s="73"/>
      <c r="AB6" s="475"/>
    </row>
    <row r="7" spans="1:31" ht="14.25" customHeight="1">
      <c r="C7" s="2373" t="s">
        <v>505</v>
      </c>
      <c r="D7" s="2341" t="s">
        <v>504</v>
      </c>
      <c r="E7" s="2343"/>
      <c r="F7" s="2341" t="s">
        <v>503</v>
      </c>
      <c r="G7" s="2342"/>
      <c r="H7" s="2342"/>
      <c r="I7" s="2342"/>
      <c r="J7" s="36" t="s">
        <v>171</v>
      </c>
      <c r="K7" s="37" t="s">
        <v>172</v>
      </c>
      <c r="L7" s="37" t="s">
        <v>502</v>
      </c>
      <c r="M7" s="2357" t="s">
        <v>501</v>
      </c>
      <c r="N7" s="38" t="s">
        <v>173</v>
      </c>
      <c r="O7" s="39">
        <f>'3c. Calculateur MEÉ 2-3-4'!I40</f>
        <v>0</v>
      </c>
      <c r="P7" s="40"/>
      <c r="Q7" s="41" t="s">
        <v>173</v>
      </c>
      <c r="R7" s="42">
        <f>'3c. Calculateur MEÉ 2-3-4'!I39</f>
        <v>0</v>
      </c>
      <c r="S7" s="40"/>
      <c r="T7" s="41" t="s">
        <v>173</v>
      </c>
      <c r="U7" s="489">
        <v>200</v>
      </c>
      <c r="V7" s="40"/>
      <c r="AA7" s="485" t="s">
        <v>596</v>
      </c>
      <c r="AB7" s="481" t="s">
        <v>595</v>
      </c>
    </row>
    <row r="8" spans="1:31" ht="39.75">
      <c r="C8" s="2374"/>
      <c r="D8" s="417" t="s">
        <v>500</v>
      </c>
      <c r="E8" s="416" t="s">
        <v>499</v>
      </c>
      <c r="F8" s="2349" t="s">
        <v>174</v>
      </c>
      <c r="G8" s="2350"/>
      <c r="H8" s="2350"/>
      <c r="I8" s="2350"/>
      <c r="J8" s="43" t="s">
        <v>175</v>
      </c>
      <c r="K8" s="45" t="s">
        <v>175</v>
      </c>
      <c r="L8" s="45"/>
      <c r="M8" s="2358"/>
      <c r="N8" s="45" t="s">
        <v>176</v>
      </c>
      <c r="O8" s="45" t="s">
        <v>177</v>
      </c>
      <c r="P8" s="44" t="s">
        <v>178</v>
      </c>
      <c r="Q8" s="43" t="s">
        <v>176</v>
      </c>
      <c r="R8" s="45" t="s">
        <v>177</v>
      </c>
      <c r="S8" s="44" t="s">
        <v>178</v>
      </c>
      <c r="T8" s="43" t="s">
        <v>176</v>
      </c>
      <c r="U8" s="45" t="s">
        <v>177</v>
      </c>
      <c r="V8" s="44" t="s">
        <v>178</v>
      </c>
      <c r="AA8" s="486"/>
      <c r="AB8" s="488"/>
      <c r="AD8" s="27" t="s">
        <v>969</v>
      </c>
    </row>
    <row r="9" spans="1:31" ht="22.5">
      <c r="B9" s="27" t="s">
        <v>44</v>
      </c>
      <c r="C9" s="365" t="s">
        <v>498</v>
      </c>
      <c r="D9" s="2375" t="s">
        <v>498</v>
      </c>
      <c r="E9" s="2376"/>
      <c r="F9" s="2370" t="s">
        <v>211</v>
      </c>
      <c r="G9" s="2371"/>
      <c r="H9" s="2371"/>
      <c r="I9" s="2372"/>
      <c r="J9" s="43"/>
      <c r="K9" s="45"/>
      <c r="L9" s="45"/>
      <c r="M9" s="415" t="s">
        <v>497</v>
      </c>
      <c r="N9" s="45"/>
      <c r="O9" s="45"/>
      <c r="P9" s="44"/>
      <c r="Q9" s="45"/>
      <c r="R9" s="45"/>
      <c r="S9" s="44"/>
      <c r="T9" s="45"/>
      <c r="U9" s="45"/>
      <c r="V9" s="44"/>
      <c r="AA9" s="487"/>
      <c r="AB9" s="482">
        <f>1-(G4/(G5+ABS(L27)))</f>
        <v>0.83178495081709203</v>
      </c>
      <c r="AD9" s="703" t="s">
        <v>970</v>
      </c>
      <c r="AE9" s="703"/>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483">
        <f t="dataTable" ref="AB10:AB11" dt2D="0" dtr="0" r1="U7"/>
        <v>0.83178495081709203</v>
      </c>
      <c r="AD10" s="27" t="s">
        <v>967</v>
      </c>
      <c r="AE10" s="27">
        <f>SLOPE(AB10:AB11,AA10:AA11)</f>
        <v>-3.7610028481330156E-4</v>
      </c>
    </row>
    <row r="11" spans="1:31"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'Combustion_Chaud2 (Micro)'!C53/100</f>
        <v>0</v>
      </c>
      <c r="O11" s="58">
        <f>AVERAGE($F11+$G11/100*O$7+$H11/100000*O$7^2+$I11/1000000000*O$7^3,$F11+$G11/100*$B$28+$H11/100000*$B$28^2+$I11/1000000000*$B$28^3)</f>
        <v>29.189302368703927</v>
      </c>
      <c r="P11" s="60">
        <f>N11*O11*(O$7-$B$28)</f>
        <v>0</v>
      </c>
      <c r="Q11" s="59">
        <f>'Combustion_Chaud2 (Micro)'!G88</f>
        <v>1.9809999999999999</v>
      </c>
      <c r="R11" s="58">
        <f t="shared" ref="R11:R26" si="3">AVERAGE($F11+$G11/100*R$7+$H11/100000*R$7^2+$I11/1000000000*R$7^3,$F11+$G11/100*$B$28+$H11/100000*$B$28^2+$I11/1000000000*$B$28^3)</f>
        <v>29.189302368703927</v>
      </c>
      <c r="S11" s="400">
        <f>Q11*R11*(R$7-$B$28)</f>
        <v>-899.16332428185854</v>
      </c>
      <c r="T11" s="59">
        <f>'Combustion_Chaud2 (Micro)'!L79</f>
        <v>0</v>
      </c>
      <c r="U11" s="58">
        <f t="shared" ref="U11:U26" si="4">AVERAGE($F11+$G11/100*U$7+$H11/100000*U$7^2+$I11/1000000000*U$7^3,$F11+$G11/100*$B$28+$H11/100000*$B$28^2+$I11/1000000000*$B$28^3)</f>
        <v>30.231026368703926</v>
      </c>
      <c r="V11" s="400">
        <f>T11*U11*(U$7-$B$28)</f>
        <v>0</v>
      </c>
      <c r="AA11" s="70">
        <v>110</v>
      </c>
      <c r="AB11" s="484">
        <v>0.86563397645028917</v>
      </c>
      <c r="AD11" s="27" t="s">
        <v>968</v>
      </c>
      <c r="AE11" s="27">
        <f>INTERCEPT(AB10:AB11,AA10:AA11)</f>
        <v>0.90700500777975235</v>
      </c>
    </row>
    <row r="12" spans="1:31" ht="15">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'Combustion_Chaud2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7"/>
      <c r="AB12" s="7"/>
    </row>
    <row r="13" spans="1:31" ht="15.75">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'Combustion_Chaud2 (Micro)'!C55/100</f>
        <v>6.4000000000000003E-3</v>
      </c>
      <c r="O13" s="58">
        <f t="shared" si="6"/>
        <v>36.435639363340258</v>
      </c>
      <c r="P13" s="60">
        <f>N13*O13*(O$7-$B$28)</f>
        <v>-3.6260748294396228</v>
      </c>
      <c r="Q13" s="403"/>
      <c r="R13" s="58">
        <f t="shared" si="3"/>
        <v>36.435639363340258</v>
      </c>
      <c r="S13" s="400">
        <f>Q13*R13*(R$7-$B$28)</f>
        <v>0</v>
      </c>
      <c r="T13" s="59">
        <f>'Combustion_Chaud2 (Micro)'!L78</f>
        <v>1.0020999999999998</v>
      </c>
      <c r="U13" s="58">
        <f t="shared" si="4"/>
        <v>40.12109536334026</v>
      </c>
      <c r="V13" s="400">
        <f>T13*U13*(U$7-$B$28)</f>
        <v>7415.8767454516219</v>
      </c>
      <c r="AA13" s="7"/>
      <c r="AB13" s="7"/>
    </row>
    <row r="14" spans="1:31" ht="15.75">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'Combustion_Chaud2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7"/>
      <c r="AB14" s="7"/>
    </row>
    <row r="15" spans="1:31" ht="15.75">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'Combustion_Chaud2 (Micro)'!C57/100</f>
        <v>0</v>
      </c>
      <c r="O15" s="58">
        <f t="shared" si="6"/>
        <v>33.514404578213124</v>
      </c>
      <c r="P15" s="60">
        <f>N15*(W15+O15*(O$7-$B$28))</f>
        <v>0</v>
      </c>
      <c r="Q15" s="59">
        <f>'Combustion_Chaud2 (Micro)'!G89</f>
        <v>2.8419786239875467E-3</v>
      </c>
      <c r="R15" s="58">
        <f t="shared" si="3"/>
        <v>33.514404578213124</v>
      </c>
      <c r="S15" s="400">
        <f>Q15*(W15+R15*(R$7-$B$28))</f>
        <v>124.72549244116087</v>
      </c>
      <c r="T15" s="59">
        <f>'Combustion_Chaud2 (Micro)'!L81-T16</f>
        <v>1.9734419786239874</v>
      </c>
      <c r="U15" s="58">
        <f t="shared" si="4"/>
        <v>34.340112578213123</v>
      </c>
      <c r="V15" s="404">
        <f>((T15-G89)*$W$15)+(T15*U15*(U$7-$B$28))</f>
        <v>100010.25292597419</v>
      </c>
      <c r="W15" s="375">
        <v>44408</v>
      </c>
      <c r="X15" s="27" t="s">
        <v>195</v>
      </c>
      <c r="AA15" s="7"/>
      <c r="AB15" s="7"/>
    </row>
    <row r="16" spans="1:31" ht="15.75">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f>'Combustion_Chaud2 (Micro)'!L92</f>
        <v>0</v>
      </c>
      <c r="U16" s="58">
        <f t="shared" si="4"/>
        <v>75.400000000000006</v>
      </c>
      <c r="V16" s="404">
        <f t="shared" ref="V16:V26" si="9">T16*U16*(U$7-$B$28)</f>
        <v>0</v>
      </c>
      <c r="AA16" s="7"/>
      <c r="AB16" s="7"/>
    </row>
    <row r="17" spans="1:28" ht="15.75">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N17*E17</f>
        <v>-852859.78200000001</v>
      </c>
      <c r="M17" s="397">
        <f t="shared" si="2"/>
        <v>84970.267200000002</v>
      </c>
      <c r="N17" s="59">
        <f>'Combustion_Chaud2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7"/>
      <c r="AB17" s="7"/>
    </row>
    <row r="18" spans="1:28" ht="15.75">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'Combustion_Chaud2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7"/>
      <c r="AB18" s="7"/>
    </row>
    <row r="19" spans="1:28" ht="15.75">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'Combustion_Chaud2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7"/>
      <c r="AB19" s="7"/>
    </row>
    <row r="20" spans="1:28" ht="15.75">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'Combustion_Chaud2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7"/>
      <c r="AB20" s="7"/>
    </row>
    <row r="21" spans="1:28" ht="15.75">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'Combustion_Chaud2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7"/>
      <c r="AB21" s="7"/>
    </row>
    <row r="22" spans="1:28"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'Combustion_Chaud2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7"/>
      <c r="AB22" s="7"/>
    </row>
    <row r="23" spans="1:28" ht="15.75">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'Combustion_Chaud2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7"/>
      <c r="AB23" s="7"/>
    </row>
    <row r="24" spans="1:28" ht="15.75">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'Combustion_Chaud2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7"/>
      <c r="AB24" s="7"/>
    </row>
    <row r="25" spans="1:28" ht="15.75">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'Combustion_Chaud2 (Micro)'!C66/100</f>
        <v>1.84E-2</v>
      </c>
      <c r="O25" s="58">
        <f t="shared" si="6"/>
        <v>29.017783745332302</v>
      </c>
      <c r="P25" s="60">
        <f t="shared" si="7"/>
        <v>-8.3025682852144786</v>
      </c>
      <c r="Q25" s="59">
        <f>'Combustion_Chaud2 (Micro)'!G87</f>
        <v>7.4501097253831423</v>
      </c>
      <c r="R25" s="58">
        <f t="shared" si="3"/>
        <v>29.017783745332302</v>
      </c>
      <c r="S25" s="400">
        <f t="shared" si="8"/>
        <v>-3361.6872134420669</v>
      </c>
      <c r="T25" s="59">
        <f>'Combustion_Chaud2 (Micro)'!L77</f>
        <v>7.4501097253831423</v>
      </c>
      <c r="U25" s="58">
        <f t="shared" si="4"/>
        <v>29.340659745332303</v>
      </c>
      <c r="V25" s="400">
        <f>T25*U25*(U$7-$B$28)</f>
        <v>40319.134761818881</v>
      </c>
      <c r="AA25" s="7"/>
      <c r="AB25" s="7"/>
    </row>
    <row r="26" spans="1:28" ht="15">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'Combustion_Chaud2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7"/>
      <c r="AB26" s="7"/>
    </row>
    <row r="27" spans="1:28" ht="15">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147746.41540124468</v>
      </c>
      <c r="AA27" s="7"/>
      <c r="AB27" s="7"/>
    </row>
    <row r="28" spans="1:28" ht="15">
      <c r="A28" s="46" t="s">
        <v>489</v>
      </c>
      <c r="B28" s="386">
        <v>15.55</v>
      </c>
      <c r="C28" s="46" t="s">
        <v>488</v>
      </c>
      <c r="D28" s="46" t="s">
        <v>295</v>
      </c>
      <c r="E28" s="386">
        <v>14.73</v>
      </c>
      <c r="F28" s="27" t="s">
        <v>487</v>
      </c>
      <c r="AA28" s="7"/>
      <c r="AB28" s="7"/>
    </row>
    <row r="29" spans="1:28" ht="15">
      <c r="A29" s="46"/>
      <c r="B29" s="385">
        <f>B28+273.15</f>
        <v>288.7</v>
      </c>
      <c r="C29" s="46" t="s">
        <v>486</v>
      </c>
      <c r="D29" s="46"/>
      <c r="E29" s="384">
        <f>E28/0.145038*1000</f>
        <v>101559.59127952674</v>
      </c>
      <c r="F29" s="27" t="s">
        <v>255</v>
      </c>
      <c r="J29" s="2359" t="s">
        <v>485</v>
      </c>
      <c r="K29" s="2360"/>
      <c r="L29" s="2361"/>
      <c r="AA29" s="7"/>
      <c r="AB29" s="7"/>
    </row>
    <row r="30" spans="1:28" ht="15">
      <c r="A30" s="46" t="s">
        <v>484</v>
      </c>
      <c r="J30" s="383" t="s">
        <v>483</v>
      </c>
      <c r="K30" s="382" t="s">
        <v>482</v>
      </c>
      <c r="L30" s="381"/>
      <c r="N30" s="31"/>
      <c r="U30" s="32"/>
      <c r="V30" s="32"/>
      <c r="AA30" s="7"/>
      <c r="AB30" s="7"/>
    </row>
    <row r="31" spans="1:28" ht="15">
      <c r="D31" s="31"/>
      <c r="J31" s="380">
        <f>K31-M27/1000</f>
        <v>795.48824120000018</v>
      </c>
      <c r="K31" s="379">
        <f>ABS(L27/1000)</f>
        <v>882.99864600000012</v>
      </c>
      <c r="L31" s="74" t="s">
        <v>207</v>
      </c>
      <c r="AA31" s="7"/>
      <c r="AB31" s="7"/>
    </row>
    <row r="32" spans="1:28" ht="15">
      <c r="A32" s="46" t="s">
        <v>481</v>
      </c>
      <c r="B32" s="45">
        <v>8.3144621000000001</v>
      </c>
      <c r="C32" s="27" t="s">
        <v>480</v>
      </c>
      <c r="J32" s="374">
        <f>J31/(J27/1000)</f>
        <v>47547.797336725132</v>
      </c>
      <c r="K32" s="373">
        <f>K31/(J27/1000)</f>
        <v>52778.455411580377</v>
      </c>
      <c r="L32" s="75" t="s">
        <v>208</v>
      </c>
      <c r="AA32" s="7"/>
      <c r="AB32" s="7"/>
    </row>
    <row r="33" spans="1:28" ht="15">
      <c r="F33" s="32"/>
      <c r="I33" s="31"/>
      <c r="J33" s="378">
        <f>(J32/1000)*K27</f>
        <v>33.656873224180529</v>
      </c>
      <c r="K33" s="377">
        <f>(K32/1000)*K27</f>
        <v>37.359412680586914</v>
      </c>
      <c r="L33" s="75" t="s">
        <v>209</v>
      </c>
      <c r="M33" s="27" t="s">
        <v>473</v>
      </c>
      <c r="AA33" s="7"/>
      <c r="AB33" s="7"/>
    </row>
    <row r="34" spans="1:28" ht="15">
      <c r="A34" s="34" t="s">
        <v>479</v>
      </c>
      <c r="F34" s="32"/>
      <c r="I34" s="31"/>
      <c r="J34" s="376"/>
      <c r="K34" s="375"/>
      <c r="L34" s="75"/>
      <c r="AA34" s="7"/>
      <c r="AB34" s="7"/>
    </row>
    <row r="35" spans="1:28" ht="15">
      <c r="A35" s="372" t="s">
        <v>478</v>
      </c>
      <c r="F35" s="32"/>
      <c r="I35" s="32"/>
      <c r="J35" s="374">
        <f>(J33*1000)/1.055056*0.02831685</f>
        <v>903.32326488654292</v>
      </c>
      <c r="K35" s="373">
        <f>(K33*1000)/1.055056*0.02831685</f>
        <v>1002.696430297802</v>
      </c>
      <c r="L35" s="75" t="s">
        <v>477</v>
      </c>
      <c r="M35" s="27" t="s">
        <v>473</v>
      </c>
      <c r="AA35" s="7"/>
      <c r="AB35" s="7"/>
    </row>
    <row r="36" spans="1:28" ht="15.75">
      <c r="A36" s="372" t="s">
        <v>476</v>
      </c>
      <c r="J36" s="374">
        <f>(J32/1.055056)*0.4535924</f>
        <v>20441.871814082628</v>
      </c>
      <c r="K36" s="373">
        <f>(K32/1.055056)*0.4535924</f>
        <v>22690.649840796821</v>
      </c>
      <c r="L36" s="75" t="s">
        <v>475</v>
      </c>
      <c r="AA36" s="7"/>
      <c r="AB36" s="7"/>
    </row>
    <row r="37" spans="1:28" ht="15">
      <c r="A37" s="372"/>
      <c r="J37" s="371">
        <f>J35/7.480519</f>
        <v>120.75676365323621</v>
      </c>
      <c r="K37" s="370">
        <f>K35/7.480519</f>
        <v>134.04102446605668</v>
      </c>
      <c r="L37" s="78" t="s">
        <v>474</v>
      </c>
      <c r="M37" s="27" t="s">
        <v>473</v>
      </c>
      <c r="AA37" s="7"/>
      <c r="AB37" s="7"/>
    </row>
    <row r="38" spans="1:28" ht="15">
      <c r="AA38" s="7"/>
      <c r="AB38" s="7"/>
    </row>
    <row r="39" spans="1:28" ht="15">
      <c r="B39" s="31"/>
      <c r="F39" s="46"/>
      <c r="H39" s="79"/>
      <c r="AA39" s="7"/>
      <c r="AB39" s="7"/>
    </row>
    <row r="40" spans="1:28" ht="15">
      <c r="B40" s="31"/>
      <c r="F40" s="80" t="s">
        <v>212</v>
      </c>
      <c r="H40" s="46"/>
      <c r="AA40" s="7"/>
      <c r="AB40" s="7"/>
    </row>
    <row r="41" spans="1:28" ht="15">
      <c r="B41" s="31"/>
      <c r="E41" s="81" t="s">
        <v>202</v>
      </c>
      <c r="F41" s="369">
        <v>0.78995048751598307</v>
      </c>
      <c r="H41" s="46"/>
      <c r="AA41" s="7"/>
      <c r="AB41" s="7"/>
    </row>
    <row r="42" spans="1:28" ht="15">
      <c r="B42" s="31"/>
      <c r="E42" s="81" t="s">
        <v>188</v>
      </c>
      <c r="F42" s="369">
        <f>1-F41</f>
        <v>0.21004951248401693</v>
      </c>
      <c r="G42" s="82"/>
      <c r="H42" s="46"/>
      <c r="AA42" s="7"/>
      <c r="AB42" s="7"/>
    </row>
    <row r="43" spans="1:28" ht="15">
      <c r="A43" s="34" t="s">
        <v>213</v>
      </c>
      <c r="B43" s="31"/>
      <c r="E43" s="81" t="s">
        <v>214</v>
      </c>
      <c r="F43" s="369">
        <v>0</v>
      </c>
      <c r="G43" s="82"/>
      <c r="H43" s="46"/>
      <c r="AA43" s="7"/>
      <c r="AB43" s="7"/>
    </row>
    <row r="44" spans="1:28" ht="15">
      <c r="B44" s="31"/>
      <c r="F44" s="82"/>
      <c r="G44" s="82"/>
      <c r="H44" s="83"/>
      <c r="AA44" s="7"/>
      <c r="AB44" s="7"/>
    </row>
    <row r="45" spans="1:28" ht="15.75" thickBot="1">
      <c r="B45" s="31"/>
      <c r="G45" s="76"/>
      <c r="H45" s="84"/>
      <c r="AA45" s="7"/>
      <c r="AB45" s="7"/>
    </row>
    <row r="46" spans="1:28" ht="15">
      <c r="A46" s="2347" t="s">
        <v>472</v>
      </c>
      <c r="B46" s="2348"/>
      <c r="C46" s="2348"/>
      <c r="D46" s="2348"/>
      <c r="E46" s="2348"/>
      <c r="F46" s="2348"/>
      <c r="G46" s="2348"/>
      <c r="H46" s="2348"/>
      <c r="I46" s="2348"/>
      <c r="J46" s="368"/>
      <c r="AA46" s="7"/>
      <c r="AB46" s="7"/>
    </row>
    <row r="47" spans="1:28" ht="15">
      <c r="A47" s="85"/>
      <c r="B47" s="45"/>
      <c r="C47" s="45"/>
      <c r="D47" s="45"/>
      <c r="E47" s="45"/>
      <c r="J47" s="366"/>
      <c r="AA47" s="7"/>
      <c r="AB47" s="7"/>
    </row>
    <row r="48" spans="1:28" ht="15">
      <c r="A48" s="87"/>
      <c r="B48" s="32"/>
      <c r="C48" s="35" t="s">
        <v>215</v>
      </c>
      <c r="D48" s="2341" t="s">
        <v>471</v>
      </c>
      <c r="E48" s="2342"/>
      <c r="F48" s="2342"/>
      <c r="G48" s="2342"/>
      <c r="H48" s="2343"/>
      <c r="I48" s="367" t="s">
        <v>457</v>
      </c>
      <c r="J48" s="366"/>
      <c r="AA48" s="7"/>
      <c r="AB48" s="7"/>
    </row>
    <row r="49" spans="1:28" ht="15">
      <c r="A49" s="87"/>
      <c r="B49" s="32"/>
      <c r="C49" s="365" t="s">
        <v>470</v>
      </c>
      <c r="D49" s="43" t="s">
        <v>216</v>
      </c>
      <c r="E49" s="45" t="s">
        <v>217</v>
      </c>
      <c r="F49" s="45" t="s">
        <v>205</v>
      </c>
      <c r="G49" s="45" t="s">
        <v>218</v>
      </c>
      <c r="H49" s="44" t="s">
        <v>219</v>
      </c>
      <c r="I49" s="88" t="s">
        <v>220</v>
      </c>
      <c r="AA49" s="7"/>
      <c r="AB49" s="7"/>
    </row>
    <row r="50" spans="1:28" ht="15">
      <c r="A50" s="89" t="s">
        <v>221</v>
      </c>
      <c r="B50" s="31"/>
      <c r="C50" s="90"/>
      <c r="D50" s="43"/>
      <c r="E50" s="45"/>
      <c r="F50" s="45"/>
      <c r="G50" s="45"/>
      <c r="H50" s="44"/>
      <c r="I50" s="91"/>
      <c r="AA50" s="7"/>
      <c r="AB50" s="7"/>
    </row>
    <row r="51" spans="1:28" ht="15">
      <c r="A51" s="89"/>
      <c r="B51" s="92" t="s">
        <v>219</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5">
      <c r="A52" s="87"/>
      <c r="B52" s="31"/>
      <c r="H52" s="58"/>
      <c r="I52" s="86"/>
      <c r="AA52" s="7"/>
      <c r="AB52" s="7"/>
    </row>
    <row r="53" spans="1:28" ht="15.75">
      <c r="A53" s="87" t="s">
        <v>188</v>
      </c>
      <c r="B53" s="27" t="s">
        <v>189</v>
      </c>
      <c r="C53" s="425">
        <v>0</v>
      </c>
      <c r="D53" s="98"/>
      <c r="E53" s="98"/>
      <c r="F53" s="98"/>
      <c r="G53" s="98"/>
      <c r="H53" s="58">
        <f t="shared" ref="H53:H67" si="11">SUM(D53:G53)</f>
        <v>0</v>
      </c>
      <c r="I53" s="99">
        <f>-C53/100</f>
        <v>0</v>
      </c>
      <c r="AA53" s="7"/>
      <c r="AB53" s="7"/>
    </row>
    <row r="54" spans="1:28" ht="15">
      <c r="A54" s="87" t="s">
        <v>469</v>
      </c>
      <c r="B54" s="27" t="s">
        <v>190</v>
      </c>
      <c r="C54" s="425">
        <v>0</v>
      </c>
      <c r="D54" s="98">
        <f>C54/100</f>
        <v>0</v>
      </c>
      <c r="E54" s="98"/>
      <c r="F54" s="98"/>
      <c r="G54" s="98"/>
      <c r="H54" s="58">
        <f t="shared" si="11"/>
        <v>0</v>
      </c>
      <c r="I54" s="364">
        <f>D54+E54/2</f>
        <v>0</v>
      </c>
      <c r="AA54" s="7"/>
      <c r="AB54" s="7"/>
    </row>
    <row r="55" spans="1:28" ht="15.75">
      <c r="A55" s="87" t="s">
        <v>454</v>
      </c>
      <c r="B55" s="27" t="s">
        <v>191</v>
      </c>
      <c r="C55" s="425">
        <v>0.64</v>
      </c>
      <c r="D55" s="98">
        <f>C55/100</f>
        <v>6.4000000000000003E-3</v>
      </c>
      <c r="E55" s="98"/>
      <c r="F55" s="98"/>
      <c r="G55" s="98"/>
      <c r="H55" s="58">
        <f t="shared" si="11"/>
        <v>6.4000000000000003E-3</v>
      </c>
      <c r="I55" s="99">
        <v>0</v>
      </c>
      <c r="AA55" s="7"/>
      <c r="AB55" s="7"/>
    </row>
    <row r="56" spans="1:28" ht="15.75">
      <c r="A56" s="87" t="s">
        <v>192</v>
      </c>
      <c r="B56" s="27" t="s">
        <v>193</v>
      </c>
      <c r="C56" s="425">
        <v>0</v>
      </c>
      <c r="D56" s="98"/>
      <c r="E56" s="98">
        <f>C56/100</f>
        <v>0</v>
      </c>
      <c r="F56" s="98"/>
      <c r="G56" s="98"/>
      <c r="H56" s="58">
        <f t="shared" si="11"/>
        <v>0</v>
      </c>
      <c r="I56" s="99">
        <f>D56+E56/2</f>
        <v>0</v>
      </c>
      <c r="AA56" s="7"/>
      <c r="AB56" s="7"/>
    </row>
    <row r="57" spans="1:28" ht="15.75">
      <c r="A57" s="87" t="s">
        <v>194</v>
      </c>
      <c r="B57" s="27" t="s">
        <v>468</v>
      </c>
      <c r="C57" s="425">
        <v>0</v>
      </c>
      <c r="D57" s="98"/>
      <c r="E57" s="98">
        <f>C57/100</f>
        <v>0</v>
      </c>
      <c r="F57" s="98"/>
      <c r="G57" s="98"/>
      <c r="H57" s="58">
        <f t="shared" si="11"/>
        <v>0</v>
      </c>
      <c r="I57" s="364">
        <v>0</v>
      </c>
      <c r="AA57" s="7"/>
      <c r="AB57" s="7"/>
    </row>
    <row r="58" spans="1:28" ht="15.75">
      <c r="A58" s="87" t="s">
        <v>197</v>
      </c>
      <c r="B58" s="27" t="s">
        <v>198</v>
      </c>
      <c r="C58" s="425">
        <v>95.67</v>
      </c>
      <c r="D58" s="98">
        <f>C58/100</f>
        <v>0.95669999999999999</v>
      </c>
      <c r="E58" s="98">
        <f>C58/100*2</f>
        <v>1.9134</v>
      </c>
      <c r="F58" s="98"/>
      <c r="G58" s="98"/>
      <c r="H58" s="58">
        <f t="shared" si="11"/>
        <v>2.8700999999999999</v>
      </c>
      <c r="I58" s="99">
        <f t="shared" ref="I58:I64" si="12">D58+E58/2</f>
        <v>1.9134</v>
      </c>
      <c r="AA58" s="7"/>
      <c r="AB58" s="7"/>
    </row>
    <row r="59" spans="1:28" ht="15.75">
      <c r="A59" s="87" t="s">
        <v>199</v>
      </c>
      <c r="B59" s="27" t="s">
        <v>467</v>
      </c>
      <c r="C59" s="425">
        <v>1.62</v>
      </c>
      <c r="D59" s="98">
        <f>C59*2/100</f>
        <v>3.2400000000000005E-2</v>
      </c>
      <c r="E59" s="98">
        <f>C59/100*3</f>
        <v>4.8600000000000004E-2</v>
      </c>
      <c r="F59" s="98"/>
      <c r="G59" s="98"/>
      <c r="H59" s="58">
        <f t="shared" si="11"/>
        <v>8.1000000000000016E-2</v>
      </c>
      <c r="I59" s="99">
        <f t="shared" si="12"/>
        <v>5.6700000000000007E-2</v>
      </c>
      <c r="AA59" s="7"/>
      <c r="AB59" s="7"/>
    </row>
    <row r="60" spans="1:28" ht="15.75">
      <c r="A60" s="87" t="s">
        <v>200</v>
      </c>
      <c r="B60" s="27" t="s">
        <v>466</v>
      </c>
      <c r="C60" s="425">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75">
      <c r="A61" s="87" t="s">
        <v>465</v>
      </c>
      <c r="B61" s="27" t="s">
        <v>464</v>
      </c>
      <c r="C61" s="425">
        <v>0.04</v>
      </c>
      <c r="D61" s="98">
        <f>C61*4/100</f>
        <v>1.6000000000000001E-3</v>
      </c>
      <c r="E61" s="98">
        <f>C61/100*5</f>
        <v>2E-3</v>
      </c>
      <c r="F61" s="98"/>
      <c r="G61" s="98"/>
      <c r="H61" s="58">
        <f t="shared" si="11"/>
        <v>3.5999999999999999E-3</v>
      </c>
      <c r="I61" s="99">
        <f t="shared" si="12"/>
        <v>2.5999999999999999E-3</v>
      </c>
      <c r="AA61" s="7"/>
      <c r="AB61" s="7"/>
    </row>
    <row r="62" spans="1:28" ht="15.75">
      <c r="A62" s="87" t="s">
        <v>201</v>
      </c>
      <c r="B62" s="27" t="s">
        <v>464</v>
      </c>
      <c r="C62" s="425">
        <v>0.02</v>
      </c>
      <c r="D62" s="98">
        <f>C62*4/100</f>
        <v>8.0000000000000004E-4</v>
      </c>
      <c r="E62" s="98">
        <f>C62/100*5</f>
        <v>1E-3</v>
      </c>
      <c r="F62" s="98"/>
      <c r="G62" s="98"/>
      <c r="H62" s="58">
        <f t="shared" si="11"/>
        <v>1.8E-3</v>
      </c>
      <c r="I62" s="99">
        <f t="shared" si="12"/>
        <v>1.2999999999999999E-3</v>
      </c>
      <c r="AA62" s="7"/>
      <c r="AB62" s="7"/>
    </row>
    <row r="63" spans="1:28" ht="15.75">
      <c r="A63" s="61" t="s">
        <v>463</v>
      </c>
      <c r="B63" s="27" t="s">
        <v>462</v>
      </c>
      <c r="C63" s="425">
        <v>0</v>
      </c>
      <c r="D63" s="98">
        <f>C63*5/100</f>
        <v>0</v>
      </c>
      <c r="E63" s="98">
        <f>C63/100*6</f>
        <v>0</v>
      </c>
      <c r="F63" s="98"/>
      <c r="G63" s="98"/>
      <c r="H63" s="58">
        <f t="shared" si="11"/>
        <v>0</v>
      </c>
      <c r="I63" s="99">
        <f t="shared" si="12"/>
        <v>0</v>
      </c>
      <c r="AA63" s="7"/>
      <c r="AB63" s="7"/>
    </row>
    <row r="64" spans="1:28" ht="15.75">
      <c r="A64" s="61" t="s">
        <v>461</v>
      </c>
      <c r="B64" s="27" t="s">
        <v>460</v>
      </c>
      <c r="C64" s="425">
        <v>0</v>
      </c>
      <c r="D64" s="98">
        <f>C64*5/100</f>
        <v>0</v>
      </c>
      <c r="E64" s="98">
        <f>C64/100*6</f>
        <v>0</v>
      </c>
      <c r="F64" s="98"/>
      <c r="G64" s="98"/>
      <c r="H64" s="58">
        <f t="shared" si="11"/>
        <v>0</v>
      </c>
      <c r="I64" s="99">
        <f t="shared" si="12"/>
        <v>0</v>
      </c>
      <c r="AA64" s="7"/>
      <c r="AB64" s="7"/>
    </row>
    <row r="65" spans="1:28" ht="15.75">
      <c r="A65" s="61" t="s">
        <v>459</v>
      </c>
      <c r="B65" s="27" t="s">
        <v>458</v>
      </c>
      <c r="C65" s="425">
        <v>0</v>
      </c>
      <c r="D65" s="98">
        <f>C65*6/100</f>
        <v>0</v>
      </c>
      <c r="E65" s="98">
        <f>C65/100*7</f>
        <v>0</v>
      </c>
      <c r="F65" s="98"/>
      <c r="G65" s="98"/>
      <c r="H65" s="58">
        <f t="shared" si="11"/>
        <v>0</v>
      </c>
      <c r="I65" s="99">
        <f>D65+E65/2</f>
        <v>0</v>
      </c>
      <c r="AA65" s="7"/>
      <c r="AB65" s="7"/>
    </row>
    <row r="66" spans="1:28" ht="15.75">
      <c r="A66" s="87" t="s">
        <v>202</v>
      </c>
      <c r="B66" s="27" t="s">
        <v>203</v>
      </c>
      <c r="C66" s="425">
        <v>1.84</v>
      </c>
      <c r="D66" s="98"/>
      <c r="E66" s="98"/>
      <c r="G66" s="98">
        <f>C66/100</f>
        <v>1.84E-2</v>
      </c>
      <c r="H66" s="58">
        <f t="shared" si="11"/>
        <v>1.84E-2</v>
      </c>
      <c r="I66" s="99">
        <v>0</v>
      </c>
      <c r="AA66" s="7"/>
      <c r="AB66" s="7"/>
    </row>
    <row r="67" spans="1:28" ht="15.75" thickBot="1">
      <c r="A67" s="100" t="s">
        <v>204</v>
      </c>
      <c r="B67" s="101" t="s">
        <v>205</v>
      </c>
      <c r="C67" s="426">
        <v>0.03</v>
      </c>
      <c r="D67" s="103"/>
      <c r="E67" s="103"/>
      <c r="F67" s="103">
        <f>C67/100</f>
        <v>2.9999999999999997E-4</v>
      </c>
      <c r="G67" s="101"/>
      <c r="H67" s="104">
        <f t="shared" si="11"/>
        <v>2.9999999999999997E-4</v>
      </c>
      <c r="I67" s="105">
        <v>0</v>
      </c>
      <c r="AA67" s="7"/>
      <c r="AB67" s="7"/>
    </row>
    <row r="68" spans="1:28" ht="15">
      <c r="B68" s="31"/>
      <c r="AA68" s="7"/>
      <c r="AB68" s="7"/>
    </row>
    <row r="69" spans="1:28" ht="15.75" thickBot="1">
      <c r="B69" s="31"/>
      <c r="C69" s="477" t="s">
        <v>593</v>
      </c>
      <c r="D69" s="45"/>
      <c r="E69" s="106"/>
      <c r="F69" s="106"/>
      <c r="G69" s="106"/>
      <c r="H69" s="106"/>
      <c r="I69" s="106"/>
      <c r="J69" s="106"/>
      <c r="AA69" s="7"/>
      <c r="AB69" s="7"/>
    </row>
    <row r="70" spans="1:28" ht="15">
      <c r="A70" s="2347" t="s">
        <v>222</v>
      </c>
      <c r="B70" s="2348"/>
      <c r="C70" s="2348"/>
      <c r="D70" s="2348"/>
      <c r="E70" s="2348"/>
      <c r="F70" s="2348"/>
      <c r="G70" s="2369"/>
      <c r="H70" s="106"/>
      <c r="I70" s="2347" t="s">
        <v>223</v>
      </c>
      <c r="J70" s="2348"/>
      <c r="K70" s="2348"/>
      <c r="L70" s="2348"/>
      <c r="M70" s="2348"/>
      <c r="N70" s="2369"/>
      <c r="AA70" s="7"/>
      <c r="AB70" s="7"/>
    </row>
    <row r="71" spans="1:28" ht="15">
      <c r="A71" s="107"/>
      <c r="C71" s="45"/>
      <c r="D71" s="2341" t="s">
        <v>224</v>
      </c>
      <c r="E71" s="2342"/>
      <c r="F71" s="2342"/>
      <c r="G71" s="2365"/>
      <c r="H71" s="106"/>
      <c r="I71" s="87"/>
      <c r="K71" s="45"/>
      <c r="L71" s="2349" t="s">
        <v>224</v>
      </c>
      <c r="M71" s="2350"/>
      <c r="N71" s="2364"/>
      <c r="AA71" s="7"/>
      <c r="AB71" s="7"/>
    </row>
    <row r="72" spans="1:28" ht="15">
      <c r="A72" s="107"/>
      <c r="C72" s="31"/>
      <c r="D72" s="43" t="s">
        <v>225</v>
      </c>
      <c r="E72" s="45" t="s">
        <v>226</v>
      </c>
      <c r="F72" s="45" t="s">
        <v>227</v>
      </c>
      <c r="G72" s="108" t="s">
        <v>228</v>
      </c>
      <c r="H72" s="98"/>
      <c r="I72" s="87"/>
      <c r="K72" s="45"/>
      <c r="L72" s="61"/>
      <c r="M72" s="2350" t="s">
        <v>229</v>
      </c>
      <c r="N72" s="2364"/>
      <c r="AA72" s="7"/>
      <c r="AB72" s="7"/>
    </row>
    <row r="73" spans="1:28" ht="26.25">
      <c r="A73" s="87"/>
      <c r="C73" s="31"/>
      <c r="D73" s="63" t="b">
        <v>1</v>
      </c>
      <c r="E73" s="424"/>
      <c r="F73" s="64"/>
      <c r="G73" s="109"/>
      <c r="H73" s="98"/>
      <c r="I73" s="85"/>
      <c r="K73" s="45"/>
      <c r="L73" s="363" t="s">
        <v>457</v>
      </c>
      <c r="M73" s="48" t="s">
        <v>230</v>
      </c>
      <c r="N73" s="110" t="s">
        <v>231</v>
      </c>
      <c r="AA73" s="7"/>
      <c r="AB73" s="7"/>
    </row>
    <row r="74" spans="1:28" ht="15">
      <c r="A74" s="87"/>
      <c r="C74" s="31"/>
      <c r="D74" s="73">
        <f>IF(D73,1,"-")</f>
        <v>1</v>
      </c>
      <c r="E74" s="73" t="str">
        <f>IF(E73,2,"-")</f>
        <v>-</v>
      </c>
      <c r="F74" s="73" t="str">
        <f>IF(F73,3,"-")</f>
        <v>-</v>
      </c>
      <c r="G74" s="111">
        <f>AVERAGE(D74:F74)</f>
        <v>1</v>
      </c>
      <c r="H74" s="98"/>
      <c r="I74" s="85"/>
      <c r="K74" s="45"/>
      <c r="L74" s="45"/>
      <c r="N74" s="86"/>
      <c r="AA74" s="7"/>
      <c r="AB74" s="7"/>
    </row>
    <row r="75" spans="1:28" ht="15">
      <c r="A75" s="89" t="s">
        <v>232</v>
      </c>
      <c r="C75" s="31"/>
      <c r="D75" s="362">
        <f>D83/D80</f>
        <v>0</v>
      </c>
      <c r="E75" s="473"/>
      <c r="F75" s="362" t="e">
        <f>F82/F79</f>
        <v>#DIV/0!</v>
      </c>
      <c r="G75" s="356">
        <f>INDEX(D75:F75,G$74)</f>
        <v>0</v>
      </c>
      <c r="H75" s="362"/>
      <c r="I75" s="89" t="s">
        <v>219</v>
      </c>
      <c r="K75" s="357" t="s">
        <v>456</v>
      </c>
      <c r="L75" s="113">
        <f>SUM(L77:L81)</f>
        <v>10.425951704007129</v>
      </c>
      <c r="M75" s="361">
        <f>SUM(M77:M81)</f>
        <v>1</v>
      </c>
      <c r="N75" s="360">
        <f>SUM(N77:N81)</f>
        <v>1</v>
      </c>
      <c r="AA75" s="7"/>
      <c r="AB75" s="7"/>
    </row>
    <row r="76" spans="1:28" ht="15">
      <c r="A76" s="87" t="s">
        <v>233</v>
      </c>
      <c r="C76" s="31"/>
      <c r="D76" s="341">
        <f>'Micromodulation et sonde O2'!E34</f>
        <v>0</v>
      </c>
      <c r="E76" s="340">
        <f>E82/(E79*($F$41/$F$42)+H51-E51+E82/$F$42)</f>
        <v>0</v>
      </c>
      <c r="F76" s="359" t="e">
        <f>F82/(F79*($F$41/$F$42)+H51-E51+F82/$F$42)</f>
        <v>#DIV/0!</v>
      </c>
      <c r="G76" s="358">
        <f>INDEX(D76:F76,G$74)</f>
        <v>0</v>
      </c>
      <c r="H76" s="114"/>
      <c r="I76" s="85"/>
      <c r="K76" s="357"/>
      <c r="L76" s="45"/>
      <c r="N76" s="86"/>
      <c r="AA76" s="7"/>
      <c r="AB76" s="7"/>
    </row>
    <row r="77" spans="1:28" ht="15">
      <c r="A77" s="87" t="s">
        <v>455</v>
      </c>
      <c r="C77" s="31"/>
      <c r="D77" s="340">
        <f>$N$78</f>
        <v>0.11855650363709885</v>
      </c>
      <c r="E77" s="340">
        <f>N78</f>
        <v>0.11855650363709885</v>
      </c>
      <c r="F77" s="439"/>
      <c r="G77" s="356">
        <f>INDEX(D77:F77,G$74)</f>
        <v>0.11855650363709885</v>
      </c>
      <c r="H77" s="340"/>
      <c r="I77" s="87" t="s">
        <v>202</v>
      </c>
      <c r="K77" s="355" t="s">
        <v>446</v>
      </c>
      <c r="L77" s="58">
        <f>G87</f>
        <v>7.4501097253831423</v>
      </c>
      <c r="M77" s="340">
        <f t="shared" ref="M77:M82" si="13">L77/$L$75</f>
        <v>0.71457358876118271</v>
      </c>
      <c r="N77" s="354">
        <f>L77/($L$75-$L$81)</f>
        <v>0.88140800394588581</v>
      </c>
      <c r="AA77" s="7"/>
      <c r="AB77" s="7"/>
    </row>
    <row r="78" spans="1:28" ht="15">
      <c r="A78" s="87"/>
      <c r="C78" s="31"/>
      <c r="F78" s="45"/>
      <c r="G78" s="115"/>
      <c r="H78" s="114"/>
      <c r="I78" s="87" t="s">
        <v>454</v>
      </c>
      <c r="K78" s="355" t="s">
        <v>446</v>
      </c>
      <c r="L78" s="58">
        <f>D51</f>
        <v>1.0020999999999998</v>
      </c>
      <c r="M78" s="340">
        <f t="shared" si="13"/>
        <v>9.6115925763865837E-2</v>
      </c>
      <c r="N78" s="354">
        <f>L78/($L$75-$L$81)</f>
        <v>0.11855650363709885</v>
      </c>
      <c r="AA78" s="7"/>
      <c r="AB78" s="7"/>
    </row>
    <row r="79" spans="1:28"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c r="AA79" s="7"/>
      <c r="AB79" s="7"/>
    </row>
    <row r="80" spans="1:28"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c r="AA80" s="7"/>
      <c r="AB80" s="7"/>
    </row>
    <row r="81" spans="1:28" ht="15">
      <c r="A81" s="87"/>
      <c r="C81" s="31"/>
      <c r="D81" s="58"/>
      <c r="E81" s="116"/>
      <c r="F81" s="113"/>
      <c r="G81" s="117"/>
      <c r="H81" s="58"/>
      <c r="I81" s="87" t="s">
        <v>235</v>
      </c>
      <c r="K81" s="355" t="s">
        <v>446</v>
      </c>
      <c r="L81" s="58">
        <f>G89+E51</f>
        <v>1.9734419786239874</v>
      </c>
      <c r="M81" s="340">
        <f t="shared" si="13"/>
        <v>0.18928171112336067</v>
      </c>
      <c r="N81" s="354">
        <v>0</v>
      </c>
      <c r="AA81" s="7"/>
      <c r="AB81" s="7"/>
    </row>
    <row r="82" spans="1:28"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c r="AA82" s="7"/>
      <c r="AB82" s="7"/>
    </row>
    <row r="83" spans="1:28"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c r="AA83" s="7"/>
      <c r="AB83" s="7"/>
    </row>
    <row r="84" spans="1:28" ht="15">
      <c r="A84" s="87"/>
      <c r="C84" s="31"/>
      <c r="F84" s="45"/>
      <c r="G84" s="117"/>
      <c r="I84" s="87"/>
      <c r="N84" s="86"/>
      <c r="AA84" s="7"/>
      <c r="AB84" s="7"/>
    </row>
    <row r="85" spans="1:28" ht="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c r="AA85" s="7"/>
      <c r="AB85" s="7"/>
    </row>
    <row r="86" spans="1:28" ht="15">
      <c r="A86" s="87"/>
      <c r="G86" s="122"/>
      <c r="I86" s="87" t="s">
        <v>241</v>
      </c>
      <c r="K86" s="31" t="s">
        <v>242</v>
      </c>
      <c r="L86" s="58">
        <f>E51+G89</f>
        <v>1.9734419786239874</v>
      </c>
      <c r="N86" s="86"/>
      <c r="AA86" s="7"/>
      <c r="AB86" s="7"/>
    </row>
    <row r="87" spans="1:28" ht="1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200</v>
      </c>
      <c r="M87" s="32"/>
      <c r="N87" s="86"/>
      <c r="AA87" s="7"/>
      <c r="AB87" s="7"/>
    </row>
    <row r="88" spans="1:28" ht="1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'Combustion_Chaud2 (Micro)'!C136</f>
        <v>59.118389658623499</v>
      </c>
      <c r="N88" s="86"/>
      <c r="AA88" s="7"/>
      <c r="AB88" s="7"/>
    </row>
    <row r="89" spans="1:28" ht="15">
      <c r="A89" s="343" t="s">
        <v>245</v>
      </c>
      <c r="C89" s="346" t="s">
        <v>446</v>
      </c>
      <c r="D89" s="345">
        <f>'Combustion_Chaud2 (Micro)'!$C$115*('Combustion_Chaud2 (Micro)'!D80+'Combustion_Chaud2 (Micro)'!D83)</f>
        <v>2.8419786239875467E-3</v>
      </c>
      <c r="E89" s="345">
        <f>'Combustion_Chaud2 (Micro)'!$C$115*'Combustion_Chaud2 (Micro)'!E80</f>
        <v>2.8419786239875467E-3</v>
      </c>
      <c r="F89" s="345">
        <f>'Combustion_Chaud2 (Micro)'!$C$115*'Combustion_Chaud2 (Micro)'!F80</f>
        <v>2.8419786239875467E-3</v>
      </c>
      <c r="G89" s="344">
        <f>INDEX(D89:F89,G$74)</f>
        <v>2.8419786239875467E-3</v>
      </c>
      <c r="H89" s="58"/>
      <c r="I89" s="87" t="s">
        <v>450</v>
      </c>
      <c r="K89" s="31" t="s">
        <v>449</v>
      </c>
      <c r="L89" s="58">
        <f>($E$29*(M83/1000))/($B$32*(L87+273.15))</f>
        <v>0.7139493634050913</v>
      </c>
      <c r="N89" s="126"/>
      <c r="AA89" s="7"/>
      <c r="AB89" s="7"/>
    </row>
    <row r="90" spans="1:28" ht="15.75">
      <c r="A90" s="343"/>
      <c r="C90" s="31"/>
      <c r="D90" s="58"/>
      <c r="F90" s="45"/>
      <c r="G90" s="127"/>
      <c r="H90" s="58"/>
      <c r="I90" s="87" t="s">
        <v>448</v>
      </c>
      <c r="K90" s="31" t="s">
        <v>242</v>
      </c>
      <c r="L90" s="342">
        <f>'Combustion_Chaud2 (Micro)'!C129</f>
        <v>0.23347408553671128</v>
      </c>
      <c r="M90" s="27" t="s">
        <v>246</v>
      </c>
      <c r="N90" s="126"/>
      <c r="AA90" s="7"/>
      <c r="AB90" s="7"/>
    </row>
    <row r="91" spans="1:28" ht="15">
      <c r="A91" s="89" t="s">
        <v>247</v>
      </c>
      <c r="C91" s="31"/>
      <c r="D91" s="58"/>
      <c r="F91" s="45"/>
      <c r="G91" s="127"/>
      <c r="H91" s="58"/>
      <c r="I91" s="87" t="s">
        <v>248</v>
      </c>
      <c r="K91" s="31" t="s">
        <v>242</v>
      </c>
      <c r="L91" s="342">
        <f>'Combustion_Chaud2 (Micro)'!C140</f>
        <v>0</v>
      </c>
      <c r="M91" s="27" t="s">
        <v>447</v>
      </c>
      <c r="N91" s="126"/>
      <c r="AA91" s="7"/>
      <c r="AB91" s="7"/>
    </row>
    <row r="92" spans="1:28" ht="15.75" thickBot="1">
      <c r="A92" s="87" t="s">
        <v>249</v>
      </c>
      <c r="C92" s="31"/>
      <c r="D92" s="341">
        <f>Hypothèses!D27</f>
        <v>0.05</v>
      </c>
      <c r="E92" s="340"/>
      <c r="F92" s="340"/>
      <c r="G92" s="127"/>
      <c r="H92" s="340"/>
      <c r="I92" s="100"/>
      <c r="J92" s="101"/>
      <c r="K92" s="339" t="s">
        <v>446</v>
      </c>
      <c r="L92" s="338">
        <f>'Combustion_Chaud2 (Micro)'!C141</f>
        <v>0</v>
      </c>
      <c r="M92" s="101"/>
      <c r="N92" s="102"/>
      <c r="AA92" s="7"/>
      <c r="AB92" s="7"/>
    </row>
    <row r="93" spans="1:28" ht="15.75" thickBot="1">
      <c r="A93" s="100" t="s">
        <v>244</v>
      </c>
      <c r="B93" s="101"/>
      <c r="C93" s="128" t="s">
        <v>434</v>
      </c>
      <c r="D93" s="337" t="e">
        <f>IF(D92&lt;&gt;0,'Combustion_Chaud2 (Micro)'!$C$119,"-")</f>
        <v>#N/A</v>
      </c>
      <c r="E93" s="336"/>
      <c r="F93" s="336"/>
      <c r="G93" s="129"/>
      <c r="H93" s="98"/>
      <c r="AA93" s="7"/>
      <c r="AB93" s="7"/>
    </row>
    <row r="94" spans="1:28" ht="15">
      <c r="A94" s="27" t="s">
        <v>445</v>
      </c>
      <c r="B94" s="124"/>
      <c r="C94" s="335">
        <v>28.96546</v>
      </c>
      <c r="D94" s="333" t="s">
        <v>238</v>
      </c>
      <c r="E94" s="334"/>
      <c r="F94" s="130"/>
      <c r="G94" s="106"/>
      <c r="H94" s="106"/>
      <c r="AA94" s="7"/>
      <c r="AB94" s="7"/>
    </row>
    <row r="95" spans="1:28" ht="15">
      <c r="G95" s="106"/>
      <c r="AA95" s="7"/>
      <c r="AB95" s="7"/>
    </row>
    <row r="96" spans="1:28" ht="15">
      <c r="G96" s="106"/>
      <c r="AA96" s="7"/>
      <c r="AB96" s="7"/>
    </row>
    <row r="97" spans="1:28" ht="15">
      <c r="G97" s="106"/>
      <c r="AA97" s="7"/>
      <c r="AB97" s="7"/>
    </row>
    <row r="98" spans="1:28" ht="15">
      <c r="G98" s="106"/>
      <c r="AA98" s="7"/>
      <c r="AB98" s="7"/>
    </row>
    <row r="99" spans="1:28" ht="15">
      <c r="G99" s="106"/>
      <c r="AA99" s="7"/>
      <c r="AB99" s="7"/>
    </row>
    <row r="100" spans="1:28" ht="15">
      <c r="G100" s="106"/>
      <c r="AA100" s="7"/>
      <c r="AB100" s="7"/>
    </row>
    <row r="101" spans="1:28">
      <c r="A101" s="34" t="s">
        <v>444</v>
      </c>
      <c r="G101" s="106"/>
    </row>
    <row r="102" spans="1:28">
      <c r="G102" s="106"/>
    </row>
    <row r="103" spans="1:28">
      <c r="A103" s="131" t="s">
        <v>250</v>
      </c>
      <c r="B103" s="65"/>
      <c r="C103" s="65"/>
      <c r="D103" s="65"/>
      <c r="E103" s="31"/>
      <c r="F103" s="34" t="s">
        <v>251</v>
      </c>
      <c r="G103" s="34"/>
    </row>
    <row r="104" spans="1:28" ht="14.25">
      <c r="A104" s="27" t="s">
        <v>252</v>
      </c>
      <c r="B104" s="31" t="s">
        <v>443</v>
      </c>
      <c r="C104" s="440">
        <v>0</v>
      </c>
      <c r="D104" s="332" t="s">
        <v>442</v>
      </c>
      <c r="E104" s="31"/>
      <c r="F104" s="45" t="s">
        <v>253</v>
      </c>
      <c r="G104" s="45" t="s">
        <v>254</v>
      </c>
      <c r="H104" s="45" t="s">
        <v>253</v>
      </c>
    </row>
    <row r="105" spans="1:28">
      <c r="A105" s="27" t="s">
        <v>441</v>
      </c>
      <c r="B105" s="31" t="s">
        <v>255</v>
      </c>
      <c r="C105" s="441">
        <v>101325</v>
      </c>
      <c r="D105" s="31"/>
      <c r="E105" s="31"/>
      <c r="F105" s="31">
        <v>0</v>
      </c>
      <c r="G105" s="32">
        <v>610.48326959999986</v>
      </c>
      <c r="H105" s="31">
        <f t="shared" ref="H105:H168" si="14">F105</f>
        <v>0</v>
      </c>
    </row>
    <row r="106" spans="1:28">
      <c r="A106" s="27" t="s">
        <v>440</v>
      </c>
      <c r="B106" s="31" t="s">
        <v>255</v>
      </c>
      <c r="C106" s="331">
        <f>C105*EXP(-'Combustion_Chaud2 (Micro)'!C94/1000*9.80665/'Combustion_Chaud2 (Micro)'!B32/'Combustion_Chaud2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222</v>
      </c>
      <c r="B108" s="65"/>
      <c r="C108" s="65"/>
      <c r="D108" s="65"/>
      <c r="E108" s="31"/>
      <c r="F108" s="31">
        <v>6</v>
      </c>
      <c r="G108" s="32">
        <v>934.98999119999985</v>
      </c>
      <c r="H108" s="31">
        <f t="shared" si="14"/>
        <v>6</v>
      </c>
    </row>
    <row r="109" spans="1:28" ht="14.25">
      <c r="A109" s="27" t="s">
        <v>256</v>
      </c>
      <c r="B109" s="124" t="s">
        <v>434</v>
      </c>
      <c r="C109" s="330">
        <f>R7</f>
        <v>0</v>
      </c>
      <c r="D109" s="31"/>
      <c r="E109" s="31"/>
      <c r="F109" s="31">
        <v>8</v>
      </c>
      <c r="G109" s="32">
        <v>1072.5787079999998</v>
      </c>
      <c r="H109" s="31">
        <f t="shared" si="14"/>
        <v>8</v>
      </c>
    </row>
    <row r="110" spans="1:28">
      <c r="A110" s="27" t="s">
        <v>249</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C115*'Combustion_Chaud2 (Micro)'!$C$15/'Combustion_Chaud2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'Combustion_Chaud2 (Micro)'!L75</f>
        <v>10.425951704007129</v>
      </c>
      <c r="D124" s="31"/>
      <c r="E124" s="31"/>
      <c r="F124" s="31">
        <v>38</v>
      </c>
      <c r="G124" s="32">
        <v>6625.0567007999998</v>
      </c>
      <c r="H124" s="31">
        <f t="shared" si="14"/>
        <v>38</v>
      </c>
    </row>
    <row r="125" spans="1:8" ht="15.75">
      <c r="A125" s="27" t="s">
        <v>439</v>
      </c>
      <c r="B125" s="31" t="s">
        <v>186</v>
      </c>
      <c r="C125" s="420">
        <f>'Combustion_Chaud2 (Micro)'!L86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C129*'Combustion_Chaud2 (Micro)'!$C$15/D130</f>
        <v>0.17346345372842753</v>
      </c>
      <c r="D130" s="133">
        <f>('Combustion_Chaud2 (Micro)'!M77*'Combustion_Chaud2 (Micro)'!$C$25+'Combustion_Chaud2 (Micro)'!M78*'Combustion_Chaud2 (Micro)'!$C$13+'Combustion_Chaud2 (Micro)'!M79*'Combustion_Chaud2 (Micro)'!$C$11+'Combustion_Chaud2 (Micro)'!M80*'Combustion_Chaud2 (Micro)'!$C$26)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4.25">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257</v>
      </c>
      <c r="B138" s="31" t="s">
        <v>255</v>
      </c>
      <c r="C138" s="32">
        <f>G215</f>
        <v>1553800</v>
      </c>
      <c r="D138" s="31"/>
      <c r="E138" s="31"/>
      <c r="F138" s="31">
        <v>90</v>
      </c>
      <c r="G138" s="32">
        <v>70095.585023999985</v>
      </c>
      <c r="H138" s="31">
        <f t="shared" si="14"/>
        <v>90</v>
      </c>
    </row>
    <row r="139" spans="1:8">
      <c r="A139" s="31" t="s">
        <v>267</v>
      </c>
      <c r="B139" s="31" t="s">
        <v>433</v>
      </c>
      <c r="C139" s="58" t="str">
        <f>IF(C135,C138/C106,"-")</f>
        <v>-</v>
      </c>
      <c r="D139" s="31"/>
      <c r="E139" s="31"/>
      <c r="F139" s="31">
        <v>91</v>
      </c>
      <c r="G139" s="32">
        <v>72800.696519999983</v>
      </c>
      <c r="H139" s="31">
        <f t="shared" si="14"/>
        <v>91</v>
      </c>
    </row>
    <row r="140" spans="1:8">
      <c r="A140" s="31" t="s">
        <v>248</v>
      </c>
      <c r="B140" s="31" t="s">
        <v>433</v>
      </c>
      <c r="C140" s="58">
        <f>IF(C135,C132-C139,0)</f>
        <v>0</v>
      </c>
      <c r="D140" s="31"/>
      <c r="E140" s="31"/>
      <c r="F140" s="31">
        <v>92</v>
      </c>
      <c r="G140" s="32">
        <v>75592.467575999995</v>
      </c>
      <c r="H140" s="31">
        <f t="shared" si="14"/>
        <v>92</v>
      </c>
    </row>
    <row r="141" spans="1:8">
      <c r="A141" s="31" t="s">
        <v>248</v>
      </c>
      <c r="B141" s="31" t="s">
        <v>186</v>
      </c>
      <c r="C141" s="58">
        <f>IF(C135,C140*C124,0)</f>
        <v>0</v>
      </c>
      <c r="D141" s="31"/>
      <c r="E141" s="31"/>
      <c r="F141" s="31">
        <v>93</v>
      </c>
      <c r="G141" s="32">
        <v>78473.564639999997</v>
      </c>
      <c r="H141" s="31">
        <f t="shared" si="14"/>
        <v>93</v>
      </c>
    </row>
    <row r="142" spans="1:8">
      <c r="A142" s="31" t="s">
        <v>248</v>
      </c>
      <c r="B142" s="31" t="s">
        <v>268</v>
      </c>
      <c r="C142" s="76">
        <f>IF(C135,C141*'Combustion_Chaud2 (Micro)'!$C$15,0)</f>
        <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5">
      <c r="A144" s="27" t="s">
        <v>432</v>
      </c>
      <c r="B144" s="31"/>
      <c r="C144" s="134" t="str">
        <f>IF(C135,1,IF(C122&lt;100,C127/C138,"N / A"))</f>
        <v>N / A</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341" t="s">
        <v>269</v>
      </c>
      <c r="G194" s="2342"/>
      <c r="H194" s="2343"/>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41" t="s">
        <v>272</v>
      </c>
      <c r="G200" s="2342"/>
      <c r="H200" s="2343"/>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41" t="s">
        <v>431</v>
      </c>
      <c r="G206" s="2342"/>
      <c r="H206" s="2343"/>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41" t="s">
        <v>273</v>
      </c>
      <c r="G212" s="2342"/>
      <c r="H212" s="2343"/>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M72:N72"/>
    <mergeCell ref="F194:H194"/>
    <mergeCell ref="F200:H200"/>
    <mergeCell ref="F206:H206"/>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heetViews>
  <sheetFormatPr baseColWidth="10" defaultColWidth="11.42578125" defaultRowHeight="12.75"/>
  <cols>
    <col min="1" max="1" width="22.5703125" style="27" customWidth="1"/>
    <col min="2" max="2" width="11.42578125" style="27"/>
    <col min="3" max="3" width="29.425781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5703125" style="27" customWidth="1"/>
    <col min="16" max="16" width="12.140625" style="27" customWidth="1"/>
    <col min="17" max="18" width="10.5703125" style="27" customWidth="1"/>
    <col min="19" max="19" width="11.5703125" style="27" customWidth="1"/>
    <col min="20" max="22" width="10.5703125" style="27" customWidth="1"/>
    <col min="23" max="25" width="11.42578125" style="27"/>
    <col min="26" max="26" width="11.42578125" style="701"/>
    <col min="27" max="27" width="13.85546875" style="31" customWidth="1"/>
    <col min="28" max="29" width="13.85546875" style="27" customWidth="1"/>
    <col min="30" max="16384" width="11.42578125" style="27"/>
  </cols>
  <sheetData>
    <row r="1" spans="1:31">
      <c r="G1" s="476"/>
      <c r="AA1" s="2399" t="s">
        <v>594</v>
      </c>
      <c r="AB1" s="2399"/>
      <c r="AC1" s="2399"/>
    </row>
    <row r="2" spans="1:31" ht="15">
      <c r="B2" s="7"/>
      <c r="C2" s="701"/>
      <c r="E2" s="28" t="s">
        <v>164</v>
      </c>
      <c r="F2" s="29" t="s">
        <v>19</v>
      </c>
      <c r="G2" s="30">
        <f>1-(G4/(G5+ABS(L27)))</f>
        <v>0.83178495081709203</v>
      </c>
      <c r="AA2" s="2399"/>
      <c r="AB2" s="2399"/>
      <c r="AC2" s="2399"/>
    </row>
    <row r="3" spans="1:31" ht="13.5" thickBot="1">
      <c r="U3" s="477"/>
      <c r="AA3" s="2399"/>
      <c r="AB3" s="2399"/>
      <c r="AC3" s="2399"/>
    </row>
    <row r="4" spans="1:31" ht="13.5" thickBot="1">
      <c r="E4" s="31" t="s">
        <v>165</v>
      </c>
      <c r="F4" s="31" t="s">
        <v>166</v>
      </c>
      <c r="G4" s="373">
        <f>V27</f>
        <v>147746.41540124468</v>
      </c>
      <c r="H4" s="33"/>
      <c r="AA4" s="73" t="s">
        <v>592</v>
      </c>
      <c r="AB4" s="480">
        <f>'Micromodulation et sonde O2'!F64</f>
        <v>0.83747950019628004</v>
      </c>
      <c r="AD4" s="478"/>
    </row>
    <row r="5" spans="1:31">
      <c r="A5" s="34" t="s">
        <v>167</v>
      </c>
      <c r="E5" s="31" t="s">
        <v>168</v>
      </c>
      <c r="F5" s="31" t="s">
        <v>166</v>
      </c>
      <c r="G5" s="373">
        <f>P27+S27</f>
        <v>-4679.9930678642395</v>
      </c>
      <c r="J5" s="2351" t="s">
        <v>509</v>
      </c>
      <c r="K5" s="2352"/>
      <c r="L5" s="2352"/>
      <c r="M5" s="2353"/>
      <c r="N5" s="2400" t="s">
        <v>169</v>
      </c>
      <c r="O5" s="2401"/>
      <c r="P5" s="2401"/>
      <c r="Q5" s="2401"/>
      <c r="R5" s="2401"/>
      <c r="S5" s="2401"/>
      <c r="T5" s="2401"/>
      <c r="U5" s="2401"/>
      <c r="V5" s="2402"/>
      <c r="AA5" s="73" t="s">
        <v>586</v>
      </c>
      <c r="AB5" s="702">
        <f>(AB4-AE11)/AE10</f>
        <v>184.85896020521545</v>
      </c>
      <c r="AC5" s="479" t="s">
        <v>16</v>
      </c>
    </row>
    <row r="6" spans="1:31">
      <c r="A6" s="418" t="s">
        <v>508</v>
      </c>
      <c r="J6" s="2354" t="s">
        <v>507</v>
      </c>
      <c r="K6" s="2355"/>
      <c r="L6" s="2355"/>
      <c r="M6" s="2356"/>
      <c r="N6" s="2366" t="s">
        <v>506</v>
      </c>
      <c r="O6" s="2367"/>
      <c r="P6" s="2368"/>
      <c r="Q6" s="2366" t="s">
        <v>170</v>
      </c>
      <c r="R6" s="2367"/>
      <c r="S6" s="2368"/>
      <c r="T6" s="2366" t="s">
        <v>223</v>
      </c>
      <c r="U6" s="2367"/>
      <c r="V6" s="2368"/>
      <c r="AA6" s="73"/>
      <c r="AB6" s="475"/>
    </row>
    <row r="7" spans="1:31" ht="14.25" customHeight="1">
      <c r="C7" s="2373" t="s">
        <v>505</v>
      </c>
      <c r="D7" s="2341" t="s">
        <v>504</v>
      </c>
      <c r="E7" s="2343"/>
      <c r="F7" s="2341" t="s">
        <v>503</v>
      </c>
      <c r="G7" s="2342"/>
      <c r="H7" s="2342"/>
      <c r="I7" s="2342"/>
      <c r="J7" s="36" t="s">
        <v>171</v>
      </c>
      <c r="K7" s="37" t="s">
        <v>172</v>
      </c>
      <c r="L7" s="37" t="s">
        <v>502</v>
      </c>
      <c r="M7" s="2357" t="s">
        <v>501</v>
      </c>
      <c r="N7" s="38" t="s">
        <v>173</v>
      </c>
      <c r="O7" s="39">
        <f>'3c. Calculateur MEÉ 2-3-4'!K40</f>
        <v>0</v>
      </c>
      <c r="P7" s="40"/>
      <c r="Q7" s="41" t="s">
        <v>173</v>
      </c>
      <c r="R7" s="42">
        <f>'3c. Calculateur MEÉ 2-3-4'!K39</f>
        <v>0</v>
      </c>
      <c r="S7" s="40"/>
      <c r="T7" s="41" t="s">
        <v>173</v>
      </c>
      <c r="U7" s="489">
        <v>200</v>
      </c>
      <c r="V7" s="40"/>
      <c r="AA7" s="485" t="s">
        <v>596</v>
      </c>
      <c r="AB7" s="481" t="s">
        <v>595</v>
      </c>
    </row>
    <row r="8" spans="1:31" ht="39.75">
      <c r="C8" s="2374"/>
      <c r="D8" s="417" t="s">
        <v>500</v>
      </c>
      <c r="E8" s="416" t="s">
        <v>499</v>
      </c>
      <c r="F8" s="2349" t="s">
        <v>174</v>
      </c>
      <c r="G8" s="2350"/>
      <c r="H8" s="2350"/>
      <c r="I8" s="2350"/>
      <c r="J8" s="43" t="s">
        <v>175</v>
      </c>
      <c r="K8" s="45" t="s">
        <v>175</v>
      </c>
      <c r="L8" s="45"/>
      <c r="M8" s="2358"/>
      <c r="N8" s="45" t="s">
        <v>176</v>
      </c>
      <c r="O8" s="45" t="s">
        <v>177</v>
      </c>
      <c r="P8" s="44" t="s">
        <v>178</v>
      </c>
      <c r="Q8" s="43" t="s">
        <v>176</v>
      </c>
      <c r="R8" s="45" t="s">
        <v>177</v>
      </c>
      <c r="S8" s="44" t="s">
        <v>178</v>
      </c>
      <c r="T8" s="43" t="s">
        <v>176</v>
      </c>
      <c r="U8" s="45" t="s">
        <v>177</v>
      </c>
      <c r="V8" s="44" t="s">
        <v>178</v>
      </c>
      <c r="AA8" s="486"/>
      <c r="AB8" s="488"/>
      <c r="AD8" s="27" t="s">
        <v>969</v>
      </c>
    </row>
    <row r="9" spans="1:31" ht="22.5">
      <c r="B9" s="27" t="s">
        <v>44</v>
      </c>
      <c r="C9" s="365" t="s">
        <v>498</v>
      </c>
      <c r="D9" s="2375" t="s">
        <v>498</v>
      </c>
      <c r="E9" s="2376"/>
      <c r="F9" s="2370" t="s">
        <v>211</v>
      </c>
      <c r="G9" s="2371"/>
      <c r="H9" s="2371"/>
      <c r="I9" s="2372"/>
      <c r="J9" s="43"/>
      <c r="K9" s="45"/>
      <c r="L9" s="45"/>
      <c r="M9" s="415" t="s">
        <v>497</v>
      </c>
      <c r="N9" s="45"/>
      <c r="O9" s="45"/>
      <c r="P9" s="44"/>
      <c r="Q9" s="45"/>
      <c r="R9" s="45"/>
      <c r="S9" s="44"/>
      <c r="T9" s="45"/>
      <c r="U9" s="45"/>
      <c r="V9" s="44"/>
      <c r="AA9" s="487"/>
      <c r="AB9" s="482">
        <f>1-(G4/(G5+ABS(L27)))</f>
        <v>0.83178495081709203</v>
      </c>
      <c r="AD9" s="703" t="s">
        <v>970</v>
      </c>
      <c r="AE9" s="703"/>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483">
        <f t="dataTable" ref="AB10:AB11" dt2D="0" dtr="0" r1="U7"/>
        <v>0.83178495081709203</v>
      </c>
      <c r="AD10" s="27" t="s">
        <v>967</v>
      </c>
      <c r="AE10" s="27">
        <f>SLOPE(AB10:AB11,AA10:AA11)</f>
        <v>-3.7610028481330156E-4</v>
      </c>
    </row>
    <row r="11" spans="1:31"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'Combustion_Chaud3 (Micro)'!C53/100</f>
        <v>0</v>
      </c>
      <c r="O11" s="58">
        <f>AVERAGE($F11+$G11/100*O$7+$H11/100000*O$7^2+$I11/1000000000*O$7^3,$F11+$G11/100*$B$28+$H11/100000*$B$28^2+$I11/1000000000*$B$28^3)</f>
        <v>29.189302368703927</v>
      </c>
      <c r="P11" s="60">
        <f>N11*O11*(O$7-$B$28)</f>
        <v>0</v>
      </c>
      <c r="Q11" s="59">
        <f>'Combustion_Chaud3 (Micro)'!G88</f>
        <v>1.9809999999999999</v>
      </c>
      <c r="R11" s="58">
        <f t="shared" ref="R11:R26" si="3">AVERAGE($F11+$G11/100*R$7+$H11/100000*R$7^2+$I11/1000000000*R$7^3,$F11+$G11/100*$B$28+$H11/100000*$B$28^2+$I11/1000000000*$B$28^3)</f>
        <v>29.189302368703927</v>
      </c>
      <c r="S11" s="400">
        <f>Q11*R11*(R$7-$B$28)</f>
        <v>-899.16332428185854</v>
      </c>
      <c r="T11" s="59">
        <f>'Combustion_Chaud3 (Micro)'!L79</f>
        <v>0</v>
      </c>
      <c r="U11" s="58">
        <f t="shared" ref="U11:U26" si="4">AVERAGE($F11+$G11/100*U$7+$H11/100000*U$7^2+$I11/1000000000*U$7^3,$F11+$G11/100*$B$28+$H11/100000*$B$28^2+$I11/1000000000*$B$28^3)</f>
        <v>30.231026368703926</v>
      </c>
      <c r="V11" s="400">
        <f>T11*U11*(U$7-$B$28)</f>
        <v>0</v>
      </c>
      <c r="AA11" s="70">
        <v>110</v>
      </c>
      <c r="AB11" s="484">
        <v>0.86563397645028917</v>
      </c>
      <c r="AD11" s="27" t="s">
        <v>968</v>
      </c>
      <c r="AE11" s="27">
        <f>INTERCEPT(AB10:AB11,AA10:AA11)</f>
        <v>0.90700500777975235</v>
      </c>
    </row>
    <row r="12" spans="1:31">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'Combustion_Chaud3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437"/>
      <c r="AB12" s="705"/>
    </row>
    <row r="13" spans="1:31" ht="15.75">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'Combustion_Chaud3 (Micro)'!C55/100</f>
        <v>6.4000000000000003E-3</v>
      </c>
      <c r="O13" s="58">
        <f t="shared" si="6"/>
        <v>36.435639363340258</v>
      </c>
      <c r="P13" s="60">
        <f>N13*O13*(O$7-$B$28)</f>
        <v>-3.6260748294396228</v>
      </c>
      <c r="Q13" s="403"/>
      <c r="R13" s="58">
        <f t="shared" si="3"/>
        <v>36.435639363340258</v>
      </c>
      <c r="S13" s="400">
        <f>Q13*R13*(R$7-$B$28)</f>
        <v>0</v>
      </c>
      <c r="T13" s="59">
        <f>'Combustion_Chaud3 (Micro)'!L78</f>
        <v>1.0020999999999998</v>
      </c>
      <c r="U13" s="58">
        <f t="shared" si="4"/>
        <v>40.12109536334026</v>
      </c>
      <c r="V13" s="400">
        <f>T13*U13*(U$7-$B$28)</f>
        <v>7415.8767454516219</v>
      </c>
      <c r="AA13" s="437"/>
      <c r="AB13" s="705"/>
    </row>
    <row r="14" spans="1:31" ht="15.75">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'Combustion_Chaud3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437"/>
      <c r="AB14" s="705"/>
    </row>
    <row r="15" spans="1:31" ht="15.75">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'Combustion_Chaud3 (Micro)'!C57/100</f>
        <v>0</v>
      </c>
      <c r="O15" s="58">
        <f t="shared" si="6"/>
        <v>33.514404578213124</v>
      </c>
      <c r="P15" s="60">
        <f>N15*(W15+O15*(O$7-$B$28))</f>
        <v>0</v>
      </c>
      <c r="Q15" s="59">
        <f>'Combustion_Chaud3 (Micro)'!G89</f>
        <v>2.8419786239875467E-3</v>
      </c>
      <c r="R15" s="58">
        <f t="shared" si="3"/>
        <v>33.514404578213124</v>
      </c>
      <c r="S15" s="400">
        <f>Q15*(W15+R15*(R$7-$B$28))</f>
        <v>124.72549244116087</v>
      </c>
      <c r="T15" s="59">
        <f>'Combustion_Chaud3 (Micro)'!L81-T16</f>
        <v>1.9734419786239874</v>
      </c>
      <c r="U15" s="58">
        <f t="shared" si="4"/>
        <v>34.340112578213123</v>
      </c>
      <c r="V15" s="404">
        <f>((T15-G89)*$W$15)+(T15*U15*(U$7-$B$28))</f>
        <v>100010.25292597419</v>
      </c>
      <c r="W15" s="375">
        <v>44408</v>
      </c>
      <c r="X15" s="27" t="s">
        <v>195</v>
      </c>
      <c r="AA15" s="437"/>
      <c r="AB15" s="705"/>
    </row>
    <row r="16" spans="1:31" ht="15.75">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f>'Combustion_Chaud3 (Micro)'!L92</f>
        <v>0</v>
      </c>
      <c r="U16" s="58">
        <f t="shared" si="4"/>
        <v>75.400000000000006</v>
      </c>
      <c r="V16" s="404">
        <f t="shared" ref="V16:V26" si="9">T16*U16*(U$7-$B$28)</f>
        <v>0</v>
      </c>
      <c r="AA16" s="437"/>
      <c r="AB16" s="705"/>
    </row>
    <row r="17" spans="1:28" ht="15.75">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'Combustion_Chaud3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437"/>
      <c r="AB17" s="705"/>
    </row>
    <row r="18" spans="1:28" ht="15.75">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'Combustion_Chaud3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437"/>
      <c r="AB18" s="705"/>
    </row>
    <row r="19" spans="1:28" ht="15.75">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'Combustion_Chaud3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437"/>
      <c r="AB19" s="705"/>
    </row>
    <row r="20" spans="1:28" ht="15.75">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'Combustion_Chaud3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437"/>
      <c r="AB20" s="705"/>
    </row>
    <row r="21" spans="1:28" ht="15.75">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'Combustion_Chaud3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437"/>
      <c r="AB21" s="705"/>
    </row>
    <row r="22" spans="1:28"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'Combustion_Chaud3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437"/>
      <c r="AB22" s="705"/>
    </row>
    <row r="23" spans="1:28" ht="15.75">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'Combustion_Chaud3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437"/>
      <c r="AB23" s="705"/>
    </row>
    <row r="24" spans="1:28" ht="15.75">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'Combustion_Chaud3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437"/>
      <c r="AB24" s="705"/>
    </row>
    <row r="25" spans="1:28" ht="15.75">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'Combustion_Chaud3 (Micro)'!C66/100</f>
        <v>1.84E-2</v>
      </c>
      <c r="O25" s="58">
        <f t="shared" si="6"/>
        <v>29.017783745332302</v>
      </c>
      <c r="P25" s="60">
        <f t="shared" si="7"/>
        <v>-8.3025682852144786</v>
      </c>
      <c r="Q25" s="59">
        <f>'Combustion_Chaud3 (Micro)'!G87</f>
        <v>7.4501097253831423</v>
      </c>
      <c r="R25" s="58">
        <f t="shared" si="3"/>
        <v>29.017783745332302</v>
      </c>
      <c r="S25" s="400">
        <f t="shared" si="8"/>
        <v>-3361.6872134420669</v>
      </c>
      <c r="T25" s="59">
        <f>'Combustion_Chaud3 (Micro)'!L77</f>
        <v>7.4501097253831423</v>
      </c>
      <c r="U25" s="58">
        <f t="shared" si="4"/>
        <v>29.340659745332303</v>
      </c>
      <c r="V25" s="400">
        <f>T25*U25*(U$7-$B$28)</f>
        <v>40319.134761818881</v>
      </c>
      <c r="AA25" s="437"/>
      <c r="AB25" s="705"/>
    </row>
    <row r="26" spans="1:28">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'Combustion_Chaud3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437"/>
      <c r="AB26" s="705"/>
    </row>
    <row r="27" spans="1:28">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147746.41540124468</v>
      </c>
      <c r="AA27" s="437"/>
      <c r="AB27" s="705"/>
    </row>
    <row r="28" spans="1:28">
      <c r="A28" s="46" t="s">
        <v>489</v>
      </c>
      <c r="B28" s="386">
        <v>15.55</v>
      </c>
      <c r="C28" s="46" t="s">
        <v>488</v>
      </c>
      <c r="D28" s="46" t="s">
        <v>295</v>
      </c>
      <c r="E28" s="386">
        <v>14.73</v>
      </c>
      <c r="F28" s="27" t="s">
        <v>487</v>
      </c>
      <c r="AA28" s="437"/>
      <c r="AB28" s="705"/>
    </row>
    <row r="29" spans="1:28">
      <c r="A29" s="46"/>
      <c r="B29" s="385">
        <f>B28+273.15</f>
        <v>288.7</v>
      </c>
      <c r="C29" s="46" t="s">
        <v>486</v>
      </c>
      <c r="D29" s="46"/>
      <c r="E29" s="384">
        <f>E28/0.145038*1000</f>
        <v>101559.59127952674</v>
      </c>
      <c r="F29" s="27" t="s">
        <v>255</v>
      </c>
      <c r="J29" s="2359" t="s">
        <v>485</v>
      </c>
      <c r="K29" s="2360"/>
      <c r="L29" s="2361"/>
      <c r="AA29" s="437"/>
      <c r="AB29" s="705"/>
    </row>
    <row r="30" spans="1:28">
      <c r="A30" s="46" t="s">
        <v>484</v>
      </c>
      <c r="J30" s="383" t="s">
        <v>483</v>
      </c>
      <c r="K30" s="382" t="s">
        <v>482</v>
      </c>
      <c r="L30" s="381"/>
      <c r="N30" s="31"/>
      <c r="U30" s="32"/>
      <c r="V30" s="32"/>
      <c r="AA30" s="437"/>
      <c r="AB30" s="705"/>
    </row>
    <row r="31" spans="1:28">
      <c r="D31" s="31"/>
      <c r="J31" s="380">
        <f>K31-M27/1000</f>
        <v>795.48824120000018</v>
      </c>
      <c r="K31" s="379">
        <f>ABS(L27/1000)</f>
        <v>882.99864600000012</v>
      </c>
      <c r="L31" s="74" t="s">
        <v>207</v>
      </c>
      <c r="AA31" s="437"/>
      <c r="AB31" s="705"/>
    </row>
    <row r="32" spans="1:28">
      <c r="A32" s="46" t="s">
        <v>481</v>
      </c>
      <c r="B32" s="45">
        <v>8.3144621000000001</v>
      </c>
      <c r="C32" s="27" t="s">
        <v>480</v>
      </c>
      <c r="J32" s="374">
        <f>J31/(J27/1000)</f>
        <v>47547.797336725132</v>
      </c>
      <c r="K32" s="373">
        <f>K31/(J27/1000)</f>
        <v>52778.455411580377</v>
      </c>
      <c r="L32" s="75" t="s">
        <v>208</v>
      </c>
      <c r="AA32" s="437"/>
      <c r="AB32" s="705"/>
    </row>
    <row r="33" spans="1:28" ht="14.25">
      <c r="F33" s="32"/>
      <c r="I33" s="31"/>
      <c r="J33" s="378">
        <f>(J32/1000)*K27</f>
        <v>33.656873224180529</v>
      </c>
      <c r="K33" s="377">
        <f>(K32/1000)*K27</f>
        <v>37.359412680586914</v>
      </c>
      <c r="L33" s="75" t="s">
        <v>209</v>
      </c>
      <c r="M33" s="27" t="s">
        <v>473</v>
      </c>
      <c r="AA33" s="437"/>
      <c r="AB33" s="705"/>
    </row>
    <row r="34" spans="1:28">
      <c r="A34" s="34" t="s">
        <v>479</v>
      </c>
      <c r="F34" s="32"/>
      <c r="I34" s="31"/>
      <c r="J34" s="376"/>
      <c r="K34" s="375"/>
      <c r="L34" s="75"/>
      <c r="AA34" s="437"/>
      <c r="AB34" s="705"/>
    </row>
    <row r="35" spans="1:28" ht="14.25">
      <c r="A35" s="372" t="s">
        <v>478</v>
      </c>
      <c r="F35" s="32"/>
      <c r="I35" s="32"/>
      <c r="J35" s="374">
        <f>(J33*1000)/1.055056*0.02831685</f>
        <v>903.32326488654292</v>
      </c>
      <c r="K35" s="373">
        <f>(K33*1000)/1.055056*0.02831685</f>
        <v>1002.696430297802</v>
      </c>
      <c r="L35" s="75" t="s">
        <v>477</v>
      </c>
      <c r="M35" s="27" t="s">
        <v>473</v>
      </c>
      <c r="AA35" s="437"/>
      <c r="AB35" s="705"/>
    </row>
    <row r="36" spans="1:28" ht="15.75">
      <c r="A36" s="372" t="s">
        <v>476</v>
      </c>
      <c r="J36" s="374">
        <f>(J32/1.055056)*0.4535924</f>
        <v>20441.871814082628</v>
      </c>
      <c r="K36" s="373">
        <f>(K32/1.055056)*0.4535924</f>
        <v>22690.649840796821</v>
      </c>
      <c r="L36" s="75" t="s">
        <v>475</v>
      </c>
      <c r="AA36" s="437"/>
      <c r="AB36" s="705"/>
    </row>
    <row r="37" spans="1:28">
      <c r="A37" s="372"/>
      <c r="J37" s="371">
        <f>J35/7.480519</f>
        <v>120.75676365323621</v>
      </c>
      <c r="K37" s="370">
        <f>K35/7.480519</f>
        <v>134.04102446605668</v>
      </c>
      <c r="L37" s="78" t="s">
        <v>474</v>
      </c>
      <c r="M37" s="27" t="s">
        <v>473</v>
      </c>
      <c r="AA37" s="437"/>
      <c r="AB37" s="705"/>
    </row>
    <row r="38" spans="1:28">
      <c r="AA38" s="437"/>
      <c r="AB38" s="705"/>
    </row>
    <row r="39" spans="1:28">
      <c r="B39" s="31"/>
      <c r="F39" s="46"/>
      <c r="H39" s="79"/>
      <c r="AA39" s="437"/>
      <c r="AB39" s="705"/>
    </row>
    <row r="40" spans="1:28">
      <c r="B40" s="31"/>
      <c r="F40" s="80" t="s">
        <v>212</v>
      </c>
      <c r="H40" s="46"/>
      <c r="AA40" s="437"/>
      <c r="AB40" s="705"/>
    </row>
    <row r="41" spans="1:28">
      <c r="B41" s="31"/>
      <c r="E41" s="81" t="s">
        <v>202</v>
      </c>
      <c r="F41" s="369">
        <v>0.78995048751598307</v>
      </c>
      <c r="H41" s="46"/>
      <c r="AA41" s="437"/>
      <c r="AB41" s="705"/>
    </row>
    <row r="42" spans="1:28">
      <c r="B42" s="31"/>
      <c r="E42" s="81" t="s">
        <v>188</v>
      </c>
      <c r="F42" s="369">
        <f>1-F41</f>
        <v>0.21004951248401693</v>
      </c>
      <c r="G42" s="82"/>
      <c r="H42" s="46"/>
      <c r="AA42" s="437"/>
      <c r="AB42" s="705"/>
    </row>
    <row r="43" spans="1:28">
      <c r="A43" s="34" t="s">
        <v>213</v>
      </c>
      <c r="B43" s="31"/>
      <c r="E43" s="81" t="s">
        <v>214</v>
      </c>
      <c r="F43" s="369">
        <v>0</v>
      </c>
      <c r="G43" s="82"/>
      <c r="H43" s="46"/>
      <c r="AA43" s="437"/>
      <c r="AB43" s="705"/>
    </row>
    <row r="44" spans="1:28">
      <c r="B44" s="31"/>
      <c r="F44" s="82"/>
      <c r="G44" s="82"/>
      <c r="H44" s="83"/>
      <c r="AA44" s="437"/>
      <c r="AB44" s="705"/>
    </row>
    <row r="45" spans="1:28" ht="15" thickBot="1">
      <c r="B45" s="31"/>
      <c r="G45" s="76"/>
      <c r="H45" s="84"/>
      <c r="AA45" s="437"/>
      <c r="AB45" s="705"/>
    </row>
    <row r="46" spans="1:28">
      <c r="A46" s="2347" t="s">
        <v>472</v>
      </c>
      <c r="B46" s="2348"/>
      <c r="C46" s="2348"/>
      <c r="D46" s="2348"/>
      <c r="E46" s="2348"/>
      <c r="F46" s="2348"/>
      <c r="G46" s="2348"/>
      <c r="H46" s="2348"/>
      <c r="I46" s="2348"/>
      <c r="J46" s="368"/>
      <c r="AA46" s="437"/>
      <c r="AB46" s="705"/>
    </row>
    <row r="47" spans="1:28">
      <c r="A47" s="85"/>
      <c r="B47" s="45"/>
      <c r="C47" s="45"/>
      <c r="D47" s="45"/>
      <c r="E47" s="45"/>
      <c r="J47" s="366"/>
      <c r="AA47" s="437"/>
      <c r="AB47" s="705"/>
    </row>
    <row r="48" spans="1:28">
      <c r="A48" s="87"/>
      <c r="B48" s="32"/>
      <c r="C48" s="35" t="s">
        <v>215</v>
      </c>
      <c r="D48" s="2341" t="s">
        <v>471</v>
      </c>
      <c r="E48" s="2342"/>
      <c r="F48" s="2342"/>
      <c r="G48" s="2342"/>
      <c r="H48" s="2343"/>
      <c r="I48" s="367" t="s">
        <v>457</v>
      </c>
      <c r="J48" s="366"/>
      <c r="AA48" s="437"/>
      <c r="AB48" s="705"/>
    </row>
    <row r="49" spans="1:28" ht="14.25">
      <c r="A49" s="87"/>
      <c r="B49" s="32"/>
      <c r="C49" s="365" t="s">
        <v>470</v>
      </c>
      <c r="D49" s="43" t="s">
        <v>216</v>
      </c>
      <c r="E49" s="45" t="s">
        <v>217</v>
      </c>
      <c r="F49" s="45" t="s">
        <v>205</v>
      </c>
      <c r="G49" s="45" t="s">
        <v>218</v>
      </c>
      <c r="H49" s="44" t="s">
        <v>219</v>
      </c>
      <c r="I49" s="88" t="s">
        <v>220</v>
      </c>
      <c r="AA49" s="437"/>
      <c r="AB49" s="705"/>
    </row>
    <row r="50" spans="1:28">
      <c r="A50" s="89" t="s">
        <v>221</v>
      </c>
      <c r="B50" s="31"/>
      <c r="C50" s="90"/>
      <c r="D50" s="43"/>
      <c r="E50" s="45"/>
      <c r="F50" s="45"/>
      <c r="G50" s="45"/>
      <c r="H50" s="44"/>
      <c r="I50" s="91"/>
      <c r="AA50" s="437"/>
      <c r="AB50" s="705"/>
    </row>
    <row r="51" spans="1:28">
      <c r="A51" s="89"/>
      <c r="B51" s="92" t="s">
        <v>219</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437"/>
      <c r="AB51" s="705"/>
    </row>
    <row r="52" spans="1:28">
      <c r="A52" s="87"/>
      <c r="B52" s="31"/>
      <c r="H52" s="58"/>
      <c r="I52" s="86"/>
      <c r="AA52" s="437"/>
      <c r="AB52" s="705"/>
    </row>
    <row r="53" spans="1:28" ht="15.75">
      <c r="A53" s="87" t="s">
        <v>188</v>
      </c>
      <c r="B53" s="27" t="s">
        <v>189</v>
      </c>
      <c r="C53" s="425">
        <v>0</v>
      </c>
      <c r="D53" s="98"/>
      <c r="E53" s="98"/>
      <c r="F53" s="98"/>
      <c r="G53" s="98"/>
      <c r="H53" s="58">
        <f t="shared" ref="H53:H67" si="11">SUM(D53:G53)</f>
        <v>0</v>
      </c>
      <c r="I53" s="99">
        <f>-C53/100</f>
        <v>0</v>
      </c>
      <c r="AA53" s="437"/>
      <c r="AB53" s="705"/>
    </row>
    <row r="54" spans="1:28">
      <c r="A54" s="87" t="s">
        <v>469</v>
      </c>
      <c r="B54" s="27" t="s">
        <v>190</v>
      </c>
      <c r="C54" s="425">
        <v>0</v>
      </c>
      <c r="D54" s="98">
        <f>C54/100</f>
        <v>0</v>
      </c>
      <c r="E54" s="98"/>
      <c r="F54" s="98"/>
      <c r="G54" s="98"/>
      <c r="H54" s="58">
        <f t="shared" si="11"/>
        <v>0</v>
      </c>
      <c r="I54" s="364">
        <f>D54+E54/2</f>
        <v>0</v>
      </c>
      <c r="AA54" s="437"/>
      <c r="AB54" s="705"/>
    </row>
    <row r="55" spans="1:28" ht="15.75">
      <c r="A55" s="87" t="s">
        <v>454</v>
      </c>
      <c r="B55" s="27" t="s">
        <v>191</v>
      </c>
      <c r="C55" s="425">
        <v>0.64</v>
      </c>
      <c r="D55" s="98">
        <f>C55/100</f>
        <v>6.4000000000000003E-3</v>
      </c>
      <c r="E55" s="98"/>
      <c r="F55" s="98"/>
      <c r="G55" s="98"/>
      <c r="H55" s="58">
        <f t="shared" si="11"/>
        <v>6.4000000000000003E-3</v>
      </c>
      <c r="I55" s="99">
        <v>0</v>
      </c>
      <c r="AA55" s="437"/>
      <c r="AB55" s="705"/>
    </row>
    <row r="56" spans="1:28" ht="15.75">
      <c r="A56" s="87" t="s">
        <v>192</v>
      </c>
      <c r="B56" s="27" t="s">
        <v>193</v>
      </c>
      <c r="C56" s="425">
        <v>0</v>
      </c>
      <c r="D56" s="98"/>
      <c r="E56" s="98">
        <f>C56/100</f>
        <v>0</v>
      </c>
      <c r="F56" s="98"/>
      <c r="G56" s="98"/>
      <c r="H56" s="58">
        <f t="shared" si="11"/>
        <v>0</v>
      </c>
      <c r="I56" s="99">
        <f>D56+E56/2</f>
        <v>0</v>
      </c>
      <c r="AA56" s="437"/>
      <c r="AB56" s="705"/>
    </row>
    <row r="57" spans="1:28" ht="15.75">
      <c r="A57" s="87" t="s">
        <v>194</v>
      </c>
      <c r="B57" s="27" t="s">
        <v>468</v>
      </c>
      <c r="C57" s="425">
        <v>0</v>
      </c>
      <c r="D57" s="98"/>
      <c r="E57" s="98">
        <f>C57/100</f>
        <v>0</v>
      </c>
      <c r="F57" s="98"/>
      <c r="G57" s="98"/>
      <c r="H57" s="58">
        <f t="shared" si="11"/>
        <v>0</v>
      </c>
      <c r="I57" s="364">
        <v>0</v>
      </c>
      <c r="AA57" s="437"/>
      <c r="AB57" s="705"/>
    </row>
    <row r="58" spans="1:28" ht="15.75">
      <c r="A58" s="87" t="s">
        <v>197</v>
      </c>
      <c r="B58" s="27" t="s">
        <v>198</v>
      </c>
      <c r="C58" s="425">
        <v>95.67</v>
      </c>
      <c r="D58" s="98">
        <f>C58/100</f>
        <v>0.95669999999999999</v>
      </c>
      <c r="E58" s="98">
        <f>C58/100*2</f>
        <v>1.9134</v>
      </c>
      <c r="F58" s="98"/>
      <c r="G58" s="98"/>
      <c r="H58" s="58">
        <f t="shared" si="11"/>
        <v>2.8700999999999999</v>
      </c>
      <c r="I58" s="99">
        <f t="shared" ref="I58:I64" si="12">D58+E58/2</f>
        <v>1.9134</v>
      </c>
      <c r="AA58" s="437"/>
      <c r="AB58" s="705"/>
    </row>
    <row r="59" spans="1:28" ht="15.75">
      <c r="A59" s="87" t="s">
        <v>199</v>
      </c>
      <c r="B59" s="27" t="s">
        <v>467</v>
      </c>
      <c r="C59" s="425">
        <v>1.62</v>
      </c>
      <c r="D59" s="98">
        <f>C59*2/100</f>
        <v>3.2400000000000005E-2</v>
      </c>
      <c r="E59" s="98">
        <f>C59/100*3</f>
        <v>4.8600000000000004E-2</v>
      </c>
      <c r="F59" s="98"/>
      <c r="G59" s="98"/>
      <c r="H59" s="58">
        <f t="shared" si="11"/>
        <v>8.1000000000000016E-2</v>
      </c>
      <c r="I59" s="99">
        <f t="shared" si="12"/>
        <v>5.6700000000000007E-2</v>
      </c>
      <c r="AA59" s="437"/>
      <c r="AB59" s="705"/>
    </row>
    <row r="60" spans="1:28" ht="15.75">
      <c r="A60" s="87" t="s">
        <v>200</v>
      </c>
      <c r="B60" s="27" t="s">
        <v>466</v>
      </c>
      <c r="C60" s="425">
        <v>0.14000000000000001</v>
      </c>
      <c r="D60" s="98">
        <f>C60*3/100</f>
        <v>4.2000000000000006E-3</v>
      </c>
      <c r="E60" s="98">
        <f>C60/100*4</f>
        <v>5.6000000000000008E-3</v>
      </c>
      <c r="F60" s="98"/>
      <c r="G60" s="98"/>
      <c r="H60" s="58">
        <f t="shared" si="11"/>
        <v>9.8000000000000014E-3</v>
      </c>
      <c r="I60" s="99">
        <f t="shared" si="12"/>
        <v>7.000000000000001E-3</v>
      </c>
      <c r="AA60" s="437"/>
      <c r="AB60" s="705"/>
    </row>
    <row r="61" spans="1:28" ht="15.75">
      <c r="A61" s="87" t="s">
        <v>465</v>
      </c>
      <c r="B61" s="27" t="s">
        <v>464</v>
      </c>
      <c r="C61" s="425">
        <v>0.04</v>
      </c>
      <c r="D61" s="98">
        <f>C61*4/100</f>
        <v>1.6000000000000001E-3</v>
      </c>
      <c r="E61" s="98">
        <f>C61/100*5</f>
        <v>2E-3</v>
      </c>
      <c r="F61" s="98"/>
      <c r="G61" s="98"/>
      <c r="H61" s="58">
        <f t="shared" si="11"/>
        <v>3.5999999999999999E-3</v>
      </c>
      <c r="I61" s="99">
        <f t="shared" si="12"/>
        <v>2.5999999999999999E-3</v>
      </c>
      <c r="AA61" s="437"/>
      <c r="AB61" s="705"/>
    </row>
    <row r="62" spans="1:28" ht="15.75">
      <c r="A62" s="87" t="s">
        <v>201</v>
      </c>
      <c r="B62" s="27" t="s">
        <v>464</v>
      </c>
      <c r="C62" s="425">
        <v>0.02</v>
      </c>
      <c r="D62" s="98">
        <f>C62*4/100</f>
        <v>8.0000000000000004E-4</v>
      </c>
      <c r="E62" s="98">
        <f>C62/100*5</f>
        <v>1E-3</v>
      </c>
      <c r="F62" s="98"/>
      <c r="G62" s="98"/>
      <c r="H62" s="58">
        <f t="shared" si="11"/>
        <v>1.8E-3</v>
      </c>
      <c r="I62" s="99">
        <f t="shared" si="12"/>
        <v>1.2999999999999999E-3</v>
      </c>
      <c r="AA62" s="437"/>
      <c r="AB62" s="705"/>
    </row>
    <row r="63" spans="1:28" ht="15.75">
      <c r="A63" s="61" t="s">
        <v>463</v>
      </c>
      <c r="B63" s="27" t="s">
        <v>462</v>
      </c>
      <c r="C63" s="425">
        <v>0</v>
      </c>
      <c r="D63" s="98">
        <f>C63*5/100</f>
        <v>0</v>
      </c>
      <c r="E63" s="98">
        <f>C63/100*6</f>
        <v>0</v>
      </c>
      <c r="F63" s="98"/>
      <c r="G63" s="98"/>
      <c r="H63" s="58">
        <f t="shared" si="11"/>
        <v>0</v>
      </c>
      <c r="I63" s="99">
        <f t="shared" si="12"/>
        <v>0</v>
      </c>
      <c r="AA63" s="437"/>
      <c r="AB63" s="705"/>
    </row>
    <row r="64" spans="1:28" ht="15.75">
      <c r="A64" s="61" t="s">
        <v>461</v>
      </c>
      <c r="B64" s="27" t="s">
        <v>460</v>
      </c>
      <c r="C64" s="425">
        <v>0</v>
      </c>
      <c r="D64" s="98">
        <f>C64*5/100</f>
        <v>0</v>
      </c>
      <c r="E64" s="98">
        <f>C64/100*6</f>
        <v>0</v>
      </c>
      <c r="F64" s="98"/>
      <c r="G64" s="98"/>
      <c r="H64" s="58">
        <f t="shared" si="11"/>
        <v>0</v>
      </c>
      <c r="I64" s="99">
        <f t="shared" si="12"/>
        <v>0</v>
      </c>
      <c r="AA64" s="437"/>
      <c r="AB64" s="705"/>
    </row>
    <row r="65" spans="1:28" ht="15.75">
      <c r="A65" s="61" t="s">
        <v>459</v>
      </c>
      <c r="B65" s="27" t="s">
        <v>458</v>
      </c>
      <c r="C65" s="425">
        <v>0</v>
      </c>
      <c r="D65" s="98">
        <f>C65*6/100</f>
        <v>0</v>
      </c>
      <c r="E65" s="98">
        <f>C65/100*7</f>
        <v>0</v>
      </c>
      <c r="F65" s="98"/>
      <c r="G65" s="98"/>
      <c r="H65" s="58">
        <f t="shared" si="11"/>
        <v>0</v>
      </c>
      <c r="I65" s="99">
        <f>D65+E65/2</f>
        <v>0</v>
      </c>
      <c r="AA65" s="437"/>
      <c r="AB65" s="705"/>
    </row>
    <row r="66" spans="1:28" ht="15.75">
      <c r="A66" s="87" t="s">
        <v>202</v>
      </c>
      <c r="B66" s="27" t="s">
        <v>203</v>
      </c>
      <c r="C66" s="425">
        <v>1.84</v>
      </c>
      <c r="D66" s="98"/>
      <c r="E66" s="98"/>
      <c r="G66" s="98">
        <f>C66/100</f>
        <v>1.84E-2</v>
      </c>
      <c r="H66" s="58">
        <f t="shared" si="11"/>
        <v>1.84E-2</v>
      </c>
      <c r="I66" s="99">
        <v>0</v>
      </c>
      <c r="AA66" s="437"/>
      <c r="AB66" s="705"/>
    </row>
    <row r="67" spans="1:28" ht="13.5" thickBot="1">
      <c r="A67" s="100" t="s">
        <v>204</v>
      </c>
      <c r="B67" s="101" t="s">
        <v>205</v>
      </c>
      <c r="C67" s="426">
        <v>0.03</v>
      </c>
      <c r="D67" s="103"/>
      <c r="E67" s="103"/>
      <c r="F67" s="103">
        <f>C67/100</f>
        <v>2.9999999999999997E-4</v>
      </c>
      <c r="G67" s="101"/>
      <c r="H67" s="104">
        <f t="shared" si="11"/>
        <v>2.9999999999999997E-4</v>
      </c>
      <c r="I67" s="105">
        <v>0</v>
      </c>
      <c r="AA67" s="437"/>
      <c r="AB67" s="705"/>
    </row>
    <row r="68" spans="1:28">
      <c r="B68" s="31"/>
      <c r="AA68" s="437"/>
      <c r="AB68" s="705"/>
    </row>
    <row r="69" spans="1:28" ht="13.5" thickBot="1">
      <c r="B69" s="31"/>
      <c r="C69" s="477" t="s">
        <v>593</v>
      </c>
      <c r="D69" s="45"/>
      <c r="E69" s="106"/>
      <c r="F69" s="106"/>
      <c r="G69" s="106"/>
      <c r="H69" s="106"/>
      <c r="I69" s="106"/>
      <c r="J69" s="106"/>
      <c r="AA69" s="437"/>
      <c r="AB69" s="705"/>
    </row>
    <row r="70" spans="1:28">
      <c r="A70" s="2347" t="s">
        <v>222</v>
      </c>
      <c r="B70" s="2348"/>
      <c r="C70" s="2348"/>
      <c r="D70" s="2348"/>
      <c r="E70" s="2348"/>
      <c r="F70" s="2348"/>
      <c r="G70" s="2369"/>
      <c r="H70" s="106"/>
      <c r="I70" s="2347" t="s">
        <v>223</v>
      </c>
      <c r="J70" s="2348"/>
      <c r="K70" s="2348"/>
      <c r="L70" s="2348"/>
      <c r="M70" s="2348"/>
      <c r="N70" s="2369"/>
      <c r="AA70" s="437"/>
      <c r="AB70" s="705"/>
    </row>
    <row r="71" spans="1:28">
      <c r="A71" s="107"/>
      <c r="C71" s="45"/>
      <c r="D71" s="2341" t="s">
        <v>224</v>
      </c>
      <c r="E71" s="2342"/>
      <c r="F71" s="2342"/>
      <c r="G71" s="2365"/>
      <c r="H71" s="106"/>
      <c r="I71" s="87"/>
      <c r="K71" s="45"/>
      <c r="L71" s="2349" t="s">
        <v>224</v>
      </c>
      <c r="M71" s="2350"/>
      <c r="N71" s="2364"/>
      <c r="AA71" s="437"/>
      <c r="AB71" s="705"/>
    </row>
    <row r="72" spans="1:28" ht="14.25">
      <c r="A72" s="107"/>
      <c r="C72" s="31"/>
      <c r="D72" s="43" t="s">
        <v>225</v>
      </c>
      <c r="E72" s="45" t="s">
        <v>226</v>
      </c>
      <c r="F72" s="45" t="s">
        <v>227</v>
      </c>
      <c r="G72" s="108" t="s">
        <v>228</v>
      </c>
      <c r="H72" s="98"/>
      <c r="I72" s="87"/>
      <c r="K72" s="45"/>
      <c r="L72" s="61"/>
      <c r="M72" s="2350" t="s">
        <v>229</v>
      </c>
      <c r="N72" s="2364"/>
      <c r="AA72" s="437"/>
      <c r="AB72" s="705"/>
    </row>
    <row r="73" spans="1:28" ht="25.5">
      <c r="A73" s="87"/>
      <c r="C73" s="31"/>
      <c r="D73" s="63" t="b">
        <v>1</v>
      </c>
      <c r="E73" s="424"/>
      <c r="F73" s="64"/>
      <c r="G73" s="109"/>
      <c r="H73" s="98"/>
      <c r="I73" s="85"/>
      <c r="K73" s="45"/>
      <c r="L73" s="363" t="s">
        <v>457</v>
      </c>
      <c r="M73" s="48" t="s">
        <v>230</v>
      </c>
      <c r="N73" s="110" t="s">
        <v>231</v>
      </c>
      <c r="AA73" s="437"/>
      <c r="AB73" s="705"/>
    </row>
    <row r="74" spans="1:28">
      <c r="A74" s="87"/>
      <c r="C74" s="31"/>
      <c r="D74" s="73">
        <f>IF(D73,1,"-")</f>
        <v>1</v>
      </c>
      <c r="E74" s="73" t="str">
        <f>IF(E73,2,"-")</f>
        <v>-</v>
      </c>
      <c r="F74" s="73" t="str">
        <f>IF(F73,3,"-")</f>
        <v>-</v>
      </c>
      <c r="G74" s="111">
        <f>AVERAGE(D74:F74)</f>
        <v>1</v>
      </c>
      <c r="H74" s="98"/>
      <c r="I74" s="85"/>
      <c r="K74" s="45"/>
      <c r="L74" s="45"/>
      <c r="N74" s="86"/>
      <c r="AA74" s="437"/>
      <c r="AB74" s="705"/>
    </row>
    <row r="75" spans="1:28">
      <c r="A75" s="89" t="s">
        <v>232</v>
      </c>
      <c r="C75" s="31"/>
      <c r="D75" s="362">
        <f>D83/D80</f>
        <v>0</v>
      </c>
      <c r="E75" s="473"/>
      <c r="F75" s="362" t="e">
        <f>F82/F79</f>
        <v>#DIV/0!</v>
      </c>
      <c r="G75" s="356">
        <f>INDEX(D75:F75,G$74)</f>
        <v>0</v>
      </c>
      <c r="H75" s="362"/>
      <c r="I75" s="89" t="s">
        <v>219</v>
      </c>
      <c r="K75" s="357" t="s">
        <v>456</v>
      </c>
      <c r="L75" s="113">
        <f>SUM(L77:L81)</f>
        <v>10.425951704007129</v>
      </c>
      <c r="M75" s="361">
        <f>SUM(M77:M81)</f>
        <v>1</v>
      </c>
      <c r="N75" s="360">
        <f>SUM(N77:N81)</f>
        <v>1</v>
      </c>
      <c r="AA75" s="437"/>
      <c r="AB75" s="705"/>
    </row>
    <row r="76" spans="1:28" ht="15">
      <c r="A76" s="87" t="s">
        <v>233</v>
      </c>
      <c r="C76" s="31"/>
      <c r="D76" s="341">
        <f>'Micromodulation et sonde O2'!F34</f>
        <v>0</v>
      </c>
      <c r="E76" s="340">
        <f>E82/(E79*($F$41/$F$42)+H51-E51+E82/$F$42)</f>
        <v>0</v>
      </c>
      <c r="F76" s="359" t="e">
        <f>F82/(F79*($F$41/$F$42)+H51-E51+F82/$F$42)</f>
        <v>#DIV/0!</v>
      </c>
      <c r="G76" s="358">
        <f>INDEX(D76:F76,G$74)</f>
        <v>0</v>
      </c>
      <c r="H76" s="114"/>
      <c r="I76" s="85"/>
      <c r="K76" s="357"/>
      <c r="L76" s="45"/>
      <c r="N76" s="86"/>
      <c r="AA76" s="437"/>
      <c r="AB76" s="705"/>
    </row>
    <row r="77" spans="1:28" ht="15">
      <c r="A77" s="87" t="s">
        <v>455</v>
      </c>
      <c r="C77" s="31"/>
      <c r="D77" s="340">
        <f>$N$78</f>
        <v>0.11855650363709885</v>
      </c>
      <c r="E77" s="340">
        <f>N78</f>
        <v>0.11855650363709885</v>
      </c>
      <c r="F77" s="439"/>
      <c r="G77" s="356">
        <f>INDEX(D77:F77,G$74)</f>
        <v>0.11855650363709885</v>
      </c>
      <c r="H77" s="340"/>
      <c r="I77" s="87" t="s">
        <v>202</v>
      </c>
      <c r="K77" s="355" t="s">
        <v>446</v>
      </c>
      <c r="L77" s="58">
        <f>G87</f>
        <v>7.4501097253831423</v>
      </c>
      <c r="M77" s="340">
        <f t="shared" ref="M77:M82" si="13">L77/$L$75</f>
        <v>0.71457358876118271</v>
      </c>
      <c r="N77" s="354">
        <f>L77/($L$75-$L$81)</f>
        <v>0.88140800394588581</v>
      </c>
      <c r="AA77" s="437"/>
      <c r="AB77" s="705"/>
    </row>
    <row r="78" spans="1:28" ht="15">
      <c r="A78" s="87"/>
      <c r="C78" s="31"/>
      <c r="F78" s="45"/>
      <c r="G78" s="115"/>
      <c r="H78" s="114"/>
      <c r="I78" s="87" t="s">
        <v>454</v>
      </c>
      <c r="K78" s="355" t="s">
        <v>446</v>
      </c>
      <c r="L78" s="58">
        <f>D51</f>
        <v>1.0020999999999998</v>
      </c>
      <c r="M78" s="340">
        <f t="shared" si="13"/>
        <v>9.6115925763865837E-2</v>
      </c>
      <c r="N78" s="354">
        <f>L78/($L$75-$L$81)</f>
        <v>0.11855650363709885</v>
      </c>
      <c r="AA78" s="437"/>
      <c r="AB78" s="705"/>
    </row>
    <row r="79" spans="1:28"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c r="AA79" s="437"/>
      <c r="AB79" s="705"/>
    </row>
    <row r="80" spans="1:28"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c r="AA80" s="437"/>
      <c r="AB80" s="705"/>
    </row>
    <row r="81" spans="1:28" ht="15">
      <c r="A81" s="87"/>
      <c r="C81" s="31"/>
      <c r="D81" s="58"/>
      <c r="E81" s="116"/>
      <c r="F81" s="113"/>
      <c r="G81" s="117"/>
      <c r="H81" s="58"/>
      <c r="I81" s="87" t="s">
        <v>235</v>
      </c>
      <c r="K81" s="355" t="s">
        <v>446</v>
      </c>
      <c r="L81" s="58">
        <f>G89+E51</f>
        <v>1.9734419786239874</v>
      </c>
      <c r="M81" s="340">
        <f t="shared" si="13"/>
        <v>0.18928171112336067</v>
      </c>
      <c r="N81" s="354">
        <v>0</v>
      </c>
      <c r="AA81" s="437"/>
      <c r="AB81" s="705"/>
    </row>
    <row r="82" spans="1:28"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c r="AA82" s="437"/>
      <c r="AB82" s="705"/>
    </row>
    <row r="83" spans="1:28"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c r="AA83" s="437"/>
      <c r="AB83" s="705"/>
    </row>
    <row r="84" spans="1:28">
      <c r="A84" s="87"/>
      <c r="C84" s="31"/>
      <c r="F84" s="45"/>
      <c r="G84" s="117"/>
      <c r="I84" s="87"/>
      <c r="N84" s="86"/>
      <c r="AA84" s="437"/>
      <c r="AB84" s="705"/>
    </row>
    <row r="85" spans="1:28">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c r="AA85" s="437"/>
      <c r="AB85" s="705"/>
    </row>
    <row r="86" spans="1:28">
      <c r="A86" s="87"/>
      <c r="G86" s="122"/>
      <c r="I86" s="87" t="s">
        <v>241</v>
      </c>
      <c r="K86" s="31" t="s">
        <v>242</v>
      </c>
      <c r="L86" s="58">
        <f>E51+G89</f>
        <v>1.9734419786239874</v>
      </c>
      <c r="N86" s="86"/>
      <c r="AA86" s="437"/>
      <c r="AB86" s="705"/>
    </row>
    <row r="87" spans="1:28" ht="14.2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200</v>
      </c>
      <c r="M87" s="32"/>
      <c r="N87" s="86"/>
      <c r="AA87" s="437"/>
      <c r="AB87" s="705"/>
    </row>
    <row r="88" spans="1:28" ht="14.2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'Combustion_Chaud3 (Micro)'!C136</f>
        <v>59.118389658623499</v>
      </c>
      <c r="N88" s="86"/>
      <c r="AA88" s="437"/>
      <c r="AB88" s="705"/>
    </row>
    <row r="89" spans="1:28" ht="14.25">
      <c r="A89" s="343" t="s">
        <v>245</v>
      </c>
      <c r="C89" s="346" t="s">
        <v>446</v>
      </c>
      <c r="D89" s="345">
        <f>'Combustion_Chaud3 (Micro)'!$C$115*('Combustion_Chaud3 (Micro)'!D80+'Combustion_Chaud3 (Micro)'!D83)</f>
        <v>2.8419786239875467E-3</v>
      </c>
      <c r="E89" s="345">
        <f>'Combustion_Chaud3 (Micro)'!$C$115*'Combustion_Chaud3 (Micro)'!E80</f>
        <v>2.8419786239875467E-3</v>
      </c>
      <c r="F89" s="345">
        <f>'Combustion_Chaud3 (Micro)'!$C$115*'Combustion_Chaud3 (Micro)'!F80</f>
        <v>2.8419786239875467E-3</v>
      </c>
      <c r="G89" s="344">
        <f>INDEX(D89:F89,G$74)</f>
        <v>2.8419786239875467E-3</v>
      </c>
      <c r="H89" s="58"/>
      <c r="I89" s="87" t="s">
        <v>450</v>
      </c>
      <c r="K89" s="31" t="s">
        <v>449</v>
      </c>
      <c r="L89" s="58">
        <f>($E$29*(M83/1000))/($B$32*(L87+273.15))</f>
        <v>0.7139493634050913</v>
      </c>
      <c r="N89" s="126"/>
      <c r="AA89" s="437"/>
      <c r="AB89" s="705"/>
    </row>
    <row r="90" spans="1:28" ht="15.75">
      <c r="A90" s="343"/>
      <c r="C90" s="31"/>
      <c r="D90" s="58"/>
      <c r="F90" s="45"/>
      <c r="G90" s="127"/>
      <c r="H90" s="58"/>
      <c r="I90" s="87" t="s">
        <v>448</v>
      </c>
      <c r="K90" s="31" t="s">
        <v>242</v>
      </c>
      <c r="L90" s="342">
        <f>'Combustion_Chaud3 (Micro)'!C129</f>
        <v>0.23347408553671128</v>
      </c>
      <c r="M90" s="27" t="s">
        <v>246</v>
      </c>
      <c r="N90" s="126"/>
      <c r="AA90" s="437"/>
      <c r="AB90" s="705"/>
    </row>
    <row r="91" spans="1:28">
      <c r="A91" s="89" t="s">
        <v>247</v>
      </c>
      <c r="C91" s="31"/>
      <c r="D91" s="58"/>
      <c r="F91" s="45"/>
      <c r="G91" s="127"/>
      <c r="H91" s="58"/>
      <c r="I91" s="87" t="s">
        <v>248</v>
      </c>
      <c r="K91" s="31" t="s">
        <v>242</v>
      </c>
      <c r="L91" s="342">
        <f>'Combustion_Chaud3 (Micro)'!C140</f>
        <v>0</v>
      </c>
      <c r="M91" s="27" t="s">
        <v>447</v>
      </c>
      <c r="N91" s="126"/>
      <c r="AA91" s="437"/>
      <c r="AB91" s="705"/>
    </row>
    <row r="92" spans="1:28" ht="15.75" thickBot="1">
      <c r="A92" s="87" t="s">
        <v>249</v>
      </c>
      <c r="C92" s="31"/>
      <c r="D92" s="341">
        <f>Hypothèses!D27</f>
        <v>0.05</v>
      </c>
      <c r="E92" s="340"/>
      <c r="F92" s="340"/>
      <c r="G92" s="127"/>
      <c r="H92" s="340"/>
      <c r="I92" s="100"/>
      <c r="J92" s="101"/>
      <c r="K92" s="339" t="s">
        <v>446</v>
      </c>
      <c r="L92" s="338">
        <f>'Combustion_Chaud3 (Micro)'!C141</f>
        <v>0</v>
      </c>
      <c r="M92" s="101"/>
      <c r="N92" s="102"/>
      <c r="AA92" s="437"/>
      <c r="AB92" s="705"/>
    </row>
    <row r="93" spans="1:28" ht="15.75" thickBot="1">
      <c r="A93" s="100" t="s">
        <v>244</v>
      </c>
      <c r="B93" s="101"/>
      <c r="C93" s="128" t="s">
        <v>434</v>
      </c>
      <c r="D93" s="337" t="e">
        <f>IF(D92&lt;&gt;0,'Combustion_Chaud3 (Micro)'!$C$119,"-")</f>
        <v>#N/A</v>
      </c>
      <c r="E93" s="336"/>
      <c r="F93" s="336"/>
      <c r="G93" s="129"/>
      <c r="H93" s="98"/>
      <c r="AA93" s="437"/>
      <c r="AB93" s="705"/>
    </row>
    <row r="94" spans="1:28" ht="15">
      <c r="A94" s="27" t="s">
        <v>445</v>
      </c>
      <c r="B94" s="124"/>
      <c r="C94" s="335">
        <v>28.96546</v>
      </c>
      <c r="D94" s="333" t="s">
        <v>238</v>
      </c>
      <c r="E94" s="334"/>
      <c r="F94" s="130"/>
      <c r="G94" s="106"/>
      <c r="H94" s="106"/>
      <c r="AA94" s="437"/>
      <c r="AB94" s="705"/>
    </row>
    <row r="95" spans="1:28">
      <c r="G95" s="106"/>
      <c r="AA95" s="437"/>
      <c r="AB95" s="705"/>
    </row>
    <row r="96" spans="1:28">
      <c r="G96" s="106"/>
      <c r="AA96" s="437"/>
      <c r="AB96" s="705"/>
    </row>
    <row r="97" spans="1:28">
      <c r="G97" s="106"/>
      <c r="AA97" s="437"/>
      <c r="AB97" s="705"/>
    </row>
    <row r="98" spans="1:28">
      <c r="G98" s="106"/>
      <c r="AA98" s="437"/>
      <c r="AB98" s="705"/>
    </row>
    <row r="99" spans="1:28">
      <c r="G99" s="106"/>
      <c r="AA99" s="437"/>
      <c r="AB99" s="705"/>
    </row>
    <row r="100" spans="1:28">
      <c r="G100" s="106"/>
      <c r="AA100" s="437"/>
      <c r="AB100" s="705"/>
    </row>
    <row r="101" spans="1:28">
      <c r="A101" s="34" t="s">
        <v>444</v>
      </c>
      <c r="G101" s="106"/>
    </row>
    <row r="102" spans="1:28">
      <c r="G102" s="106"/>
    </row>
    <row r="103" spans="1:28">
      <c r="A103" s="131" t="s">
        <v>250</v>
      </c>
      <c r="B103" s="65"/>
      <c r="C103" s="65"/>
      <c r="D103" s="65"/>
      <c r="E103" s="31"/>
      <c r="F103" s="34" t="s">
        <v>251</v>
      </c>
      <c r="G103" s="34"/>
    </row>
    <row r="104" spans="1:28" ht="14.25">
      <c r="A104" s="27" t="s">
        <v>252</v>
      </c>
      <c r="B104" s="31" t="s">
        <v>443</v>
      </c>
      <c r="C104" s="440">
        <v>0</v>
      </c>
      <c r="D104" s="332" t="s">
        <v>442</v>
      </c>
      <c r="E104" s="31"/>
      <c r="F104" s="45" t="s">
        <v>253</v>
      </c>
      <c r="G104" s="45" t="s">
        <v>254</v>
      </c>
      <c r="H104" s="45" t="s">
        <v>253</v>
      </c>
    </row>
    <row r="105" spans="1:28">
      <c r="A105" s="27" t="s">
        <v>441</v>
      </c>
      <c r="B105" s="31" t="s">
        <v>255</v>
      </c>
      <c r="C105" s="441">
        <v>101325</v>
      </c>
      <c r="D105" s="31"/>
      <c r="E105" s="31"/>
      <c r="F105" s="31">
        <v>0</v>
      </c>
      <c r="G105" s="32">
        <v>610.48326959999986</v>
      </c>
      <c r="H105" s="31">
        <f t="shared" ref="H105:H168" si="14">F105</f>
        <v>0</v>
      </c>
    </row>
    <row r="106" spans="1:28">
      <c r="A106" s="27" t="s">
        <v>440</v>
      </c>
      <c r="B106" s="31" t="s">
        <v>255</v>
      </c>
      <c r="C106" s="331">
        <f>C105*EXP(-'Combustion_Chaud3 (Micro)'!C94/1000*9.80665/'Combustion_Chaud3 (Micro)'!B32/'Combustion_Chaud3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222</v>
      </c>
      <c r="B108" s="65"/>
      <c r="C108" s="65"/>
      <c r="D108" s="65"/>
      <c r="E108" s="31"/>
      <c r="F108" s="31">
        <v>6</v>
      </c>
      <c r="G108" s="32">
        <v>934.98999119999985</v>
      </c>
      <c r="H108" s="31">
        <f t="shared" si="14"/>
        <v>6</v>
      </c>
    </row>
    <row r="109" spans="1:28" ht="14.25">
      <c r="A109" s="27" t="s">
        <v>256</v>
      </c>
      <c r="B109" s="124" t="s">
        <v>434</v>
      </c>
      <c r="C109" s="330">
        <f>R7</f>
        <v>0</v>
      </c>
      <c r="D109" s="31"/>
      <c r="E109" s="31"/>
      <c r="F109" s="31">
        <v>8</v>
      </c>
      <c r="G109" s="32">
        <v>1072.5787079999998</v>
      </c>
      <c r="H109" s="31">
        <f t="shared" si="14"/>
        <v>8</v>
      </c>
    </row>
    <row r="110" spans="1:28">
      <c r="A110" s="27" t="s">
        <v>249</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C115*'Combustion_Chaud3 (Micro)'!$C$15/'Combustion_Chaud3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'Combustion_Chaud3 (Micro)'!L75</f>
        <v>10.425951704007129</v>
      </c>
      <c r="D124" s="31"/>
      <c r="E124" s="31"/>
      <c r="F124" s="31">
        <v>38</v>
      </c>
      <c r="G124" s="32">
        <v>6625.0567007999998</v>
      </c>
      <c r="H124" s="31">
        <f t="shared" si="14"/>
        <v>38</v>
      </c>
    </row>
    <row r="125" spans="1:8" ht="15.75">
      <c r="A125" s="27" t="s">
        <v>439</v>
      </c>
      <c r="B125" s="31" t="s">
        <v>186</v>
      </c>
      <c r="C125" s="420">
        <f>'Combustion_Chaud3 (Micro)'!L86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C129*'Combustion_Chaud3 (Micro)'!$C$15/D130</f>
        <v>0.17346345372842753</v>
      </c>
      <c r="D130" s="133">
        <f>('Combustion_Chaud3 (Micro)'!M77*'Combustion_Chaud3 (Micro)'!$C$25+'Combustion_Chaud3 (Micro)'!M78*'Combustion_Chaud3 (Micro)'!$C$13+'Combustion_Chaud3 (Micro)'!M79*'Combustion_Chaud3 (Micro)'!$C$11+'Combustion_Chaud3 (Micro)'!M80*'Combustion_Chaud3 (Micro)'!$C$26)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4.25">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257</v>
      </c>
      <c r="B138" s="31" t="s">
        <v>255</v>
      </c>
      <c r="C138" s="32">
        <f>G215</f>
        <v>1553800</v>
      </c>
      <c r="D138" s="31"/>
      <c r="E138" s="31"/>
      <c r="F138" s="31">
        <v>90</v>
      </c>
      <c r="G138" s="32">
        <v>70095.585023999985</v>
      </c>
      <c r="H138" s="31">
        <f t="shared" si="14"/>
        <v>90</v>
      </c>
    </row>
    <row r="139" spans="1:8">
      <c r="A139" s="31" t="s">
        <v>267</v>
      </c>
      <c r="B139" s="31" t="s">
        <v>433</v>
      </c>
      <c r="C139" s="58" t="str">
        <f>IF(C135,C138/C106,"-")</f>
        <v>-</v>
      </c>
      <c r="D139" s="31"/>
      <c r="E139" s="31"/>
      <c r="F139" s="31">
        <v>91</v>
      </c>
      <c r="G139" s="32">
        <v>72800.696519999983</v>
      </c>
      <c r="H139" s="31">
        <f t="shared" si="14"/>
        <v>91</v>
      </c>
    </row>
    <row r="140" spans="1:8">
      <c r="A140" s="31" t="s">
        <v>248</v>
      </c>
      <c r="B140" s="31" t="s">
        <v>433</v>
      </c>
      <c r="C140" s="58">
        <f>IF(C135,C132-C139,0)</f>
        <v>0</v>
      </c>
      <c r="D140" s="31"/>
      <c r="E140" s="31"/>
      <c r="F140" s="31">
        <v>92</v>
      </c>
      <c r="G140" s="32">
        <v>75592.467575999995</v>
      </c>
      <c r="H140" s="31">
        <f t="shared" si="14"/>
        <v>92</v>
      </c>
    </row>
    <row r="141" spans="1:8">
      <c r="A141" s="31" t="s">
        <v>248</v>
      </c>
      <c r="B141" s="31" t="s">
        <v>186</v>
      </c>
      <c r="C141" s="58">
        <f>IF(C135,C140*C124,0)</f>
        <v>0</v>
      </c>
      <c r="D141" s="31"/>
      <c r="E141" s="31"/>
      <c r="F141" s="31">
        <v>93</v>
      </c>
      <c r="G141" s="32">
        <v>78473.564639999997</v>
      </c>
      <c r="H141" s="31">
        <f t="shared" si="14"/>
        <v>93</v>
      </c>
    </row>
    <row r="142" spans="1:8">
      <c r="A142" s="31" t="s">
        <v>248</v>
      </c>
      <c r="B142" s="31" t="s">
        <v>268</v>
      </c>
      <c r="C142" s="76">
        <f>IF(C135,C141*'Combustion_Chaud3 (Micro)'!$C$15,0)</f>
        <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5">
      <c r="A144" s="27" t="s">
        <v>432</v>
      </c>
      <c r="B144" s="31"/>
      <c r="C144" s="134" t="str">
        <f>IF(C135,1,IF(C122&lt;100,C127/C138,"N / A"))</f>
        <v>N / A</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341" t="s">
        <v>269</v>
      </c>
      <c r="G194" s="2342"/>
      <c r="H194" s="2343"/>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41" t="s">
        <v>272</v>
      </c>
      <c r="G200" s="2342"/>
      <c r="H200" s="2343"/>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41" t="s">
        <v>431</v>
      </c>
      <c r="G206" s="2342"/>
      <c r="H206" s="2343"/>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41" t="s">
        <v>273</v>
      </c>
      <c r="G212" s="2342"/>
      <c r="H212" s="2343"/>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codeName="Feuil3">
    <tabColor rgb="FF00B0F0"/>
  </sheetPr>
  <dimension ref="A1:GC1053"/>
  <sheetViews>
    <sheetView workbookViewId="0">
      <selection activeCell="E141" sqref="E141"/>
    </sheetView>
  </sheetViews>
  <sheetFormatPr baseColWidth="10" defaultColWidth="12.5703125" defaultRowHeight="14.25" outlineLevelRow="1"/>
  <cols>
    <col min="1" max="1" width="3.5703125" style="1298" customWidth="1"/>
    <col min="2" max="3" width="31.5703125" style="1298" customWidth="1"/>
    <col min="4" max="4" width="31.5703125" style="1298" hidden="1" customWidth="1"/>
    <col min="5" max="5" width="61.85546875" style="1298" customWidth="1"/>
    <col min="6" max="6" width="30.42578125" style="1298" customWidth="1"/>
    <col min="7" max="7" width="5.42578125" style="1298" hidden="1" customWidth="1"/>
    <col min="8" max="9" width="30.42578125" style="1298" customWidth="1"/>
    <col min="10" max="10" width="63" style="1298" customWidth="1"/>
    <col min="11" max="11" width="42.85546875" style="1298" customWidth="1"/>
    <col min="12" max="12" width="4.42578125" style="1298" customWidth="1"/>
    <col min="13" max="185" width="12.5703125" style="1297"/>
    <col min="186" max="16384" width="12.5703125" style="1298"/>
  </cols>
  <sheetData>
    <row r="1" spans="1:185" ht="15" customHeight="1">
      <c r="A1" s="1296"/>
      <c r="B1" s="1296"/>
      <c r="C1" s="1296"/>
      <c r="D1" s="1296"/>
      <c r="E1" s="1296"/>
      <c r="F1" s="1296"/>
      <c r="G1" s="1296"/>
      <c r="H1" s="1296"/>
      <c r="I1" s="1296"/>
      <c r="J1" s="1296"/>
      <c r="K1" s="1296"/>
      <c r="L1" s="1296"/>
    </row>
    <row r="2" spans="1:185" ht="25.35" customHeight="1">
      <c r="A2" s="1296"/>
      <c r="B2" s="571" t="s">
        <v>1673</v>
      </c>
      <c r="C2" s="571"/>
      <c r="D2" s="571"/>
      <c r="E2" s="1299"/>
      <c r="F2" s="1296"/>
      <c r="G2" s="1296"/>
      <c r="H2" s="1296"/>
      <c r="I2" s="1296"/>
      <c r="J2" s="1296"/>
      <c r="K2" s="1296"/>
      <c r="L2" s="1296"/>
    </row>
    <row r="3" spans="1:185" ht="21" customHeight="1">
      <c r="A3" s="1296"/>
      <c r="B3" s="1263" t="s">
        <v>1646</v>
      </c>
      <c r="C3" s="1263"/>
      <c r="D3" s="1263"/>
      <c r="E3" s="1299"/>
      <c r="F3" s="1296"/>
      <c r="G3" s="1296"/>
      <c r="H3" s="1296"/>
      <c r="I3" s="1296"/>
      <c r="J3" s="1296"/>
      <c r="K3" s="1300"/>
      <c r="L3" s="1300"/>
    </row>
    <row r="4" spans="1:185" ht="15" customHeight="1">
      <c r="A4" s="1296"/>
      <c r="B4" s="1301"/>
      <c r="C4" s="1301"/>
      <c r="D4" s="1301"/>
      <c r="E4" s="1299"/>
      <c r="F4" s="1296"/>
      <c r="G4" s="1296"/>
      <c r="H4" s="1296"/>
      <c r="I4" s="1296"/>
      <c r="J4" s="1296"/>
      <c r="K4" s="1302"/>
      <c r="L4" s="1296"/>
    </row>
    <row r="5" spans="1:185" s="1310" customFormat="1" ht="15" customHeight="1">
      <c r="A5" s="1303"/>
      <c r="B5" s="1304"/>
      <c r="C5" s="1304"/>
      <c r="D5" s="1305" t="s">
        <v>1827</v>
      </c>
      <c r="E5" s="1306"/>
      <c r="F5" s="1303"/>
      <c r="G5" s="1305" t="s">
        <v>1827</v>
      </c>
      <c r="H5" s="1303"/>
      <c r="I5" s="1303"/>
      <c r="J5" s="1307"/>
      <c r="K5" s="1308"/>
      <c r="L5" s="1303"/>
      <c r="M5" s="1309"/>
      <c r="N5" s="1309"/>
      <c r="O5" s="1309"/>
      <c r="P5" s="1309"/>
      <c r="Q5" s="1309"/>
      <c r="R5" s="1309"/>
      <c r="S5" s="1309"/>
      <c r="T5" s="1309"/>
      <c r="U5" s="1309"/>
      <c r="V5" s="1309"/>
      <c r="W5" s="1309"/>
      <c r="X5" s="1309"/>
      <c r="Y5" s="1309"/>
      <c r="Z5" s="1309"/>
      <c r="AA5" s="1309"/>
      <c r="AB5" s="1309"/>
      <c r="AC5" s="1309"/>
      <c r="AD5" s="1309"/>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09"/>
      <c r="BC5" s="1309"/>
      <c r="BD5" s="1309"/>
      <c r="BE5" s="1309"/>
      <c r="BF5" s="1309"/>
      <c r="BG5" s="1309"/>
      <c r="BH5" s="1309"/>
      <c r="BI5" s="1309"/>
      <c r="BJ5" s="1309"/>
      <c r="BK5" s="1309"/>
      <c r="BL5" s="1309"/>
      <c r="BM5" s="1309"/>
      <c r="BN5" s="1309"/>
      <c r="BO5" s="1309"/>
      <c r="BP5" s="1309"/>
      <c r="BQ5" s="1309"/>
      <c r="BR5" s="1309"/>
      <c r="BS5" s="1309"/>
      <c r="BT5" s="1309"/>
      <c r="BU5" s="1309"/>
      <c r="BV5" s="1309"/>
      <c r="BW5" s="1309"/>
      <c r="BX5" s="1309"/>
      <c r="BY5" s="1309"/>
      <c r="BZ5" s="1309"/>
      <c r="CA5" s="1309"/>
      <c r="CB5" s="1309"/>
      <c r="CC5" s="1309"/>
      <c r="CD5" s="1309"/>
      <c r="CE5" s="1309"/>
      <c r="CF5" s="1309"/>
      <c r="CG5" s="1309"/>
      <c r="CH5" s="1309"/>
      <c r="CI5" s="1309"/>
      <c r="CJ5" s="1309"/>
      <c r="CK5" s="1309"/>
      <c r="CL5" s="1309"/>
      <c r="CM5" s="1309"/>
      <c r="CN5" s="1309"/>
      <c r="CO5" s="1309"/>
      <c r="CP5" s="1309"/>
      <c r="CQ5" s="1309"/>
      <c r="CR5" s="1309"/>
      <c r="CS5" s="1309"/>
      <c r="CT5" s="1309"/>
      <c r="CU5" s="1309"/>
      <c r="CV5" s="1309"/>
      <c r="CW5" s="1309"/>
      <c r="CX5" s="1309"/>
      <c r="CY5" s="1309"/>
      <c r="CZ5" s="1309"/>
      <c r="DA5" s="1309"/>
      <c r="DB5" s="1309"/>
      <c r="DC5" s="1309"/>
      <c r="DD5" s="1309"/>
      <c r="DE5" s="1309"/>
      <c r="DF5" s="1309"/>
      <c r="DG5" s="1309"/>
      <c r="DH5" s="1309"/>
      <c r="DI5" s="1309"/>
      <c r="DJ5" s="1309"/>
      <c r="DK5" s="1309"/>
      <c r="DL5" s="1309"/>
      <c r="DM5" s="1309"/>
      <c r="DN5" s="1309"/>
      <c r="DO5" s="1309"/>
      <c r="DP5" s="1309"/>
      <c r="DQ5" s="1309"/>
      <c r="DR5" s="1309"/>
      <c r="DS5" s="1309"/>
      <c r="DT5" s="1309"/>
      <c r="DU5" s="1309"/>
      <c r="DV5" s="1309"/>
      <c r="DW5" s="1309"/>
      <c r="DX5" s="1309"/>
      <c r="DY5" s="1309"/>
      <c r="DZ5" s="1309"/>
      <c r="EA5" s="1309"/>
      <c r="EB5" s="1309"/>
      <c r="EC5" s="1309"/>
      <c r="ED5" s="1309"/>
      <c r="EE5" s="1309"/>
      <c r="EF5" s="1309"/>
      <c r="EG5" s="1309"/>
      <c r="EH5" s="1309"/>
      <c r="EI5" s="1309"/>
      <c r="EJ5" s="1309"/>
      <c r="EK5" s="1309"/>
      <c r="EL5" s="1309"/>
      <c r="EM5" s="1309"/>
      <c r="EN5" s="1309"/>
      <c r="EO5" s="1309"/>
      <c r="EP5" s="1309"/>
      <c r="EQ5" s="1309"/>
      <c r="ER5" s="1309"/>
      <c r="ES5" s="1309"/>
      <c r="ET5" s="1309"/>
      <c r="EU5" s="1309"/>
      <c r="EV5" s="1309"/>
      <c r="EW5" s="1309"/>
      <c r="EX5" s="1309"/>
      <c r="EY5" s="1309"/>
      <c r="EZ5" s="1309"/>
      <c r="FA5" s="1309"/>
      <c r="FB5" s="1309"/>
      <c r="FC5" s="1309"/>
      <c r="FD5" s="1309"/>
      <c r="FE5" s="1309"/>
      <c r="FF5" s="1309"/>
      <c r="FG5" s="1309"/>
      <c r="FH5" s="1309"/>
      <c r="FI5" s="1309"/>
      <c r="FJ5" s="1309"/>
      <c r="FK5" s="1309"/>
      <c r="FL5" s="1309"/>
      <c r="FM5" s="1309"/>
      <c r="FN5" s="1309"/>
      <c r="FO5" s="1309"/>
      <c r="FP5" s="1309"/>
      <c r="FQ5" s="1309"/>
      <c r="FR5" s="1309"/>
      <c r="FS5" s="1309"/>
      <c r="FT5" s="1309"/>
      <c r="FU5" s="1309"/>
      <c r="FV5" s="1309"/>
      <c r="FW5" s="1309"/>
      <c r="FX5" s="1309"/>
      <c r="FY5" s="1309"/>
      <c r="FZ5" s="1309"/>
      <c r="GA5" s="1309"/>
      <c r="GB5" s="1309"/>
      <c r="GC5" s="1309"/>
    </row>
    <row r="6" spans="1:185" ht="6.75" customHeight="1">
      <c r="A6" s="1296"/>
      <c r="B6" s="1311"/>
      <c r="C6" s="1311"/>
      <c r="D6" s="1311"/>
      <c r="E6" s="1312"/>
      <c r="F6" s="1311"/>
      <c r="G6" s="1311"/>
      <c r="H6" s="1311"/>
      <c r="I6" s="1311"/>
      <c r="J6" s="1311"/>
      <c r="K6" s="1313"/>
      <c r="L6" s="1296"/>
      <c r="M6" s="1073"/>
      <c r="N6" s="1073"/>
      <c r="O6" s="1073"/>
      <c r="P6" s="1073"/>
      <c r="Q6" s="1073"/>
      <c r="R6" s="1073"/>
      <c r="S6" s="1073"/>
      <c r="T6" s="1073"/>
      <c r="U6" s="1073"/>
    </row>
    <row r="7" spans="1:185" ht="15" customHeight="1">
      <c r="A7" s="1296"/>
      <c r="B7" s="1314" t="s">
        <v>1738</v>
      </c>
      <c r="C7" s="1315" t="str">
        <f>IF('1. Informations générales'!$F$8="","",'1. Informations générales'!F8)</f>
        <v>PE242-XXX</v>
      </c>
      <c r="D7" s="1311"/>
      <c r="E7" s="1311"/>
      <c r="F7" s="1311"/>
      <c r="G7" s="1311"/>
      <c r="H7" s="1311"/>
      <c r="I7" s="1311"/>
      <c r="J7" s="1311"/>
      <c r="K7" s="1313"/>
      <c r="L7" s="1296"/>
      <c r="M7" s="1073"/>
      <c r="N7" s="1073"/>
      <c r="O7" s="1073"/>
      <c r="P7" s="1073"/>
      <c r="Q7" s="1073"/>
      <c r="R7" s="1073"/>
      <c r="S7" s="1073"/>
      <c r="T7" s="1073"/>
      <c r="U7" s="1073"/>
    </row>
    <row r="8" spans="1:185" ht="6.75" customHeight="1" thickBot="1">
      <c r="A8" s="1296"/>
      <c r="B8" s="1316"/>
      <c r="C8" s="1316"/>
      <c r="D8" s="1316"/>
      <c r="E8" s="1317"/>
      <c r="F8" s="1316"/>
      <c r="G8" s="1316"/>
      <c r="H8" s="1316"/>
      <c r="I8" s="1316"/>
      <c r="J8" s="1316"/>
      <c r="K8" s="1318"/>
      <c r="L8" s="1296"/>
      <c r="M8" s="1073"/>
      <c r="N8" s="1073"/>
      <c r="O8" s="1073"/>
      <c r="P8" s="1073"/>
      <c r="Q8" s="1073"/>
      <c r="R8" s="1073"/>
      <c r="S8" s="1073"/>
      <c r="T8" s="1073"/>
      <c r="U8" s="1073"/>
    </row>
    <row r="9" spans="1:185" ht="16.5" thickBot="1">
      <c r="A9" s="1296"/>
      <c r="B9" s="1919">
        <v>1</v>
      </c>
      <c r="C9" s="1918"/>
      <c r="D9" s="1319"/>
      <c r="E9" s="1915" t="s">
        <v>1674</v>
      </c>
      <c r="F9" s="1916"/>
      <c r="G9" s="1916"/>
      <c r="H9" s="1916"/>
      <c r="I9" s="1916"/>
      <c r="J9" s="1916"/>
      <c r="K9" s="1916"/>
      <c r="L9" s="1296"/>
      <c r="M9" s="1073"/>
      <c r="N9" s="1073"/>
      <c r="O9" s="1073"/>
      <c r="P9" s="1073"/>
      <c r="Q9" s="1073"/>
      <c r="R9" s="1073"/>
      <c r="S9" s="1073"/>
      <c r="T9" s="1073"/>
      <c r="U9" s="1073"/>
    </row>
    <row r="10" spans="1:185" ht="16.5" thickBot="1">
      <c r="A10" s="1296"/>
      <c r="B10" s="1929"/>
      <c r="C10" s="1930"/>
      <c r="D10" s="1320"/>
      <c r="E10" s="1917">
        <v>2</v>
      </c>
      <c r="F10" s="1918"/>
      <c r="G10" s="1319"/>
      <c r="H10" s="1917">
        <v>3</v>
      </c>
      <c r="I10" s="1919"/>
      <c r="J10" s="1322">
        <v>4</v>
      </c>
      <c r="K10" s="1321">
        <v>5</v>
      </c>
      <c r="L10" s="1296"/>
      <c r="M10" s="1073"/>
      <c r="N10" s="1073"/>
      <c r="O10" s="1073"/>
      <c r="P10" s="1073"/>
      <c r="Q10" s="1073"/>
      <c r="R10" s="1073"/>
      <c r="S10" s="1073"/>
      <c r="T10" s="1073"/>
      <c r="U10" s="1073"/>
    </row>
    <row r="11" spans="1:185" ht="16.5" thickBot="1">
      <c r="A11" s="1296"/>
      <c r="B11" s="1920" t="s">
        <v>1675</v>
      </c>
      <c r="C11" s="1897" t="s">
        <v>1823</v>
      </c>
      <c r="D11" s="1897" t="s">
        <v>1826</v>
      </c>
      <c r="E11" s="1922" t="s">
        <v>1676</v>
      </c>
      <c r="F11" s="1923"/>
      <c r="G11" s="1323"/>
      <c r="H11" s="1924" t="s">
        <v>1677</v>
      </c>
      <c r="I11" s="1925"/>
      <c r="J11" s="1926" t="s">
        <v>1678</v>
      </c>
      <c r="K11" s="1927" t="s">
        <v>1679</v>
      </c>
      <c r="L11" s="1296"/>
      <c r="M11" s="1073"/>
      <c r="N11" s="1073"/>
      <c r="O11" s="1073"/>
      <c r="P11" s="1073"/>
      <c r="Q11" s="1073"/>
      <c r="R11" s="1073"/>
      <c r="S11" s="1073"/>
      <c r="T11" s="1073"/>
      <c r="U11" s="1073"/>
    </row>
    <row r="12" spans="1:185" ht="18.75" thickBot="1">
      <c r="A12" s="1296"/>
      <c r="B12" s="1921"/>
      <c r="C12" s="1898"/>
      <c r="D12" s="1898"/>
      <c r="E12" s="1324" t="s">
        <v>1680</v>
      </c>
      <c r="F12" s="1325" t="s">
        <v>1681</v>
      </c>
      <c r="G12" s="1326" t="s">
        <v>1825</v>
      </c>
      <c r="H12" s="1327" t="s">
        <v>1682</v>
      </c>
      <c r="I12" s="1328" t="s">
        <v>663</v>
      </c>
      <c r="J12" s="1926"/>
      <c r="K12" s="1928"/>
      <c r="L12" s="1296"/>
      <c r="M12" s="1073"/>
      <c r="N12" s="1073"/>
      <c r="O12" s="1073"/>
      <c r="P12" s="1073"/>
      <c r="Q12" s="1073"/>
      <c r="R12" s="1073"/>
      <c r="S12" s="1073"/>
      <c r="T12" s="1073"/>
      <c r="U12" s="1073"/>
    </row>
    <row r="13" spans="1:185">
      <c r="A13" s="1296"/>
      <c r="B13" s="1912" t="s">
        <v>1683</v>
      </c>
      <c r="C13" s="1899" t="s">
        <v>1683</v>
      </c>
      <c r="D13" s="1899" t="s">
        <v>1683</v>
      </c>
      <c r="E13" s="1329" t="s">
        <v>1811</v>
      </c>
      <c r="F13" s="1330"/>
      <c r="G13" s="1904">
        <f>F16</f>
        <v>0</v>
      </c>
      <c r="H13" s="1331"/>
      <c r="I13" s="1331"/>
      <c r="J13" s="1332"/>
      <c r="K13" s="1333"/>
      <c r="L13" s="1296"/>
      <c r="M13" s="1073"/>
      <c r="N13" s="1073"/>
      <c r="O13" s="1073"/>
      <c r="P13" s="1073"/>
      <c r="Q13" s="1073"/>
      <c r="R13" s="1073"/>
      <c r="S13" s="1073"/>
      <c r="T13" s="1073"/>
      <c r="U13" s="1073"/>
    </row>
    <row r="14" spans="1:185">
      <c r="A14" s="1296"/>
      <c r="B14" s="1913"/>
      <c r="C14" s="1900"/>
      <c r="D14" s="1900"/>
      <c r="E14" s="1334" t="s">
        <v>1812</v>
      </c>
      <c r="F14" s="1335"/>
      <c r="G14" s="1905"/>
      <c r="H14" s="1336"/>
      <c r="I14" s="1336"/>
      <c r="J14" s="1337"/>
      <c r="K14" s="1338"/>
      <c r="L14" s="1296"/>
      <c r="M14" s="1073"/>
      <c r="N14" s="1073"/>
      <c r="O14" s="1073"/>
      <c r="P14" s="1073"/>
      <c r="Q14" s="1073"/>
      <c r="R14" s="1073"/>
      <c r="S14" s="1073"/>
      <c r="T14" s="1073"/>
      <c r="U14" s="1073"/>
    </row>
    <row r="15" spans="1:185" ht="25.5">
      <c r="A15" s="1296"/>
      <c r="B15" s="1913"/>
      <c r="C15" s="1901"/>
      <c r="D15" s="1901"/>
      <c r="E15" s="1334" t="s">
        <v>1813</v>
      </c>
      <c r="F15" s="1335"/>
      <c r="G15" s="1906"/>
      <c r="H15" s="1336"/>
      <c r="I15" s="1336"/>
      <c r="J15" s="1337"/>
      <c r="K15" s="1338"/>
      <c r="L15" s="1296"/>
      <c r="M15" s="1073"/>
      <c r="N15" s="1073"/>
      <c r="O15" s="1073"/>
      <c r="P15" s="1073"/>
      <c r="Q15" s="1073"/>
      <c r="R15" s="1073"/>
      <c r="S15" s="1073"/>
      <c r="T15" s="1073"/>
      <c r="U15" s="1073"/>
    </row>
    <row r="16" spans="1:185" s="1348" customFormat="1" ht="15">
      <c r="A16" s="1339"/>
      <c r="B16" s="1340" t="s">
        <v>1684</v>
      </c>
      <c r="C16" s="1341"/>
      <c r="D16" s="1341"/>
      <c r="E16" s="1342"/>
      <c r="F16" s="1343">
        <f>SUM(F13:F15)</f>
        <v>0</v>
      </c>
      <c r="G16" s="1343"/>
      <c r="H16" s="1344"/>
      <c r="I16" s="1344"/>
      <c r="J16" s="1345"/>
      <c r="K16" s="1346"/>
      <c r="L16" s="1339"/>
      <c r="M16" s="1074"/>
      <c r="N16" s="1074"/>
      <c r="O16" s="1074"/>
      <c r="P16" s="1074"/>
      <c r="Q16" s="1074"/>
      <c r="R16" s="1074"/>
      <c r="S16" s="1074"/>
      <c r="T16" s="1074"/>
      <c r="U16" s="1074"/>
      <c r="V16" s="1347"/>
      <c r="W16" s="1347"/>
      <c r="X16" s="1347"/>
      <c r="Y16" s="1347"/>
      <c r="Z16" s="1347"/>
      <c r="AA16" s="1347"/>
      <c r="AB16" s="1347"/>
      <c r="AC16" s="1347"/>
      <c r="AD16" s="1347"/>
      <c r="AE16" s="1347"/>
      <c r="AF16" s="1347"/>
      <c r="AG16" s="1347"/>
      <c r="AH16" s="1347"/>
      <c r="AI16" s="1347"/>
      <c r="AJ16" s="1347"/>
      <c r="AK16" s="1347"/>
      <c r="AL16" s="1347"/>
      <c r="AM16" s="1347"/>
      <c r="AN16" s="1347"/>
      <c r="AO16" s="1347"/>
      <c r="AP16" s="1347"/>
      <c r="AQ16" s="1347"/>
      <c r="AR16" s="1347"/>
      <c r="AS16" s="1347"/>
      <c r="AT16" s="1347"/>
      <c r="AU16" s="1347"/>
      <c r="AV16" s="1347"/>
      <c r="AW16" s="1347"/>
      <c r="AX16" s="1347"/>
      <c r="AY16" s="1347"/>
      <c r="AZ16" s="1347"/>
      <c r="BA16" s="1347"/>
      <c r="BB16" s="1347"/>
      <c r="BC16" s="1347"/>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7"/>
      <c r="BY16" s="1347"/>
      <c r="BZ16" s="1347"/>
      <c r="CA16" s="1347"/>
      <c r="CB16" s="1347"/>
      <c r="CC16" s="1347"/>
      <c r="CD16" s="1347"/>
      <c r="CE16" s="1347"/>
      <c r="CF16" s="1347"/>
      <c r="CG16" s="1347"/>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347"/>
      <c r="DI16" s="1347"/>
      <c r="DJ16" s="1347"/>
      <c r="DK16" s="1347"/>
      <c r="DL16" s="1347"/>
      <c r="DM16" s="1347"/>
      <c r="DN16" s="1347"/>
      <c r="DO16" s="1347"/>
      <c r="DP16" s="1347"/>
      <c r="DQ16" s="1347"/>
      <c r="DR16" s="1347"/>
      <c r="DS16" s="1347"/>
      <c r="DT16" s="1347"/>
      <c r="DU16" s="1347"/>
      <c r="DV16" s="1347"/>
      <c r="DW16" s="1347"/>
      <c r="DX16" s="1347"/>
      <c r="DY16" s="1347"/>
      <c r="DZ16" s="1347"/>
      <c r="EA16" s="1347"/>
      <c r="EB16" s="1347"/>
      <c r="EC16" s="1347"/>
      <c r="ED16" s="1347"/>
      <c r="EE16" s="1347"/>
      <c r="EF16" s="1347"/>
      <c r="EG16" s="1347"/>
      <c r="EH16" s="1347"/>
      <c r="EI16" s="1347"/>
      <c r="EJ16" s="1347"/>
      <c r="EK16" s="1347"/>
      <c r="EL16" s="1347"/>
      <c r="EM16" s="1347"/>
      <c r="EN16" s="1347"/>
      <c r="EO16" s="1347"/>
      <c r="EP16" s="1347"/>
      <c r="EQ16" s="1347"/>
      <c r="ER16" s="1347"/>
      <c r="ES16" s="1347"/>
      <c r="ET16" s="1347"/>
      <c r="EU16" s="1347"/>
      <c r="EV16" s="1347"/>
      <c r="EW16" s="1347"/>
      <c r="EX16" s="1347"/>
      <c r="EY16" s="1347"/>
      <c r="EZ16" s="1347"/>
      <c r="FA16" s="1347"/>
      <c r="FB16" s="1347"/>
      <c r="FC16" s="1347"/>
      <c r="FD16" s="1347"/>
      <c r="FE16" s="1347"/>
      <c r="FF16" s="1347"/>
      <c r="FG16" s="1347"/>
      <c r="FH16" s="1347"/>
      <c r="FI16" s="1347"/>
      <c r="FJ16" s="1347"/>
      <c r="FK16" s="1347"/>
      <c r="FL16" s="1347"/>
      <c r="FM16" s="1347"/>
      <c r="FN16" s="1347"/>
      <c r="FO16" s="1347"/>
      <c r="FP16" s="1347"/>
      <c r="FQ16" s="1347"/>
      <c r="FR16" s="1347"/>
      <c r="FS16" s="1347"/>
      <c r="FT16" s="1347"/>
      <c r="FU16" s="1347"/>
      <c r="FV16" s="1347"/>
      <c r="FW16" s="1347"/>
      <c r="FX16" s="1347"/>
      <c r="FY16" s="1347"/>
      <c r="FZ16" s="1347"/>
      <c r="GA16" s="1347"/>
      <c r="GB16" s="1347"/>
      <c r="GC16" s="1347"/>
    </row>
    <row r="17" spans="1:185">
      <c r="A17" s="1914"/>
      <c r="B17" s="1911" t="s">
        <v>15</v>
      </c>
      <c r="C17" s="1894" t="s">
        <v>15</v>
      </c>
      <c r="D17" s="1894" t="str">
        <f>B17&amp;C17</f>
        <v>&lt; sélectionner &gt;&lt; sélectionner &gt;</v>
      </c>
      <c r="E17" s="1094"/>
      <c r="F17" s="1090"/>
      <c r="G17" s="1907">
        <f>F27</f>
        <v>0</v>
      </c>
      <c r="H17" s="1092"/>
      <c r="I17" s="1092"/>
      <c r="J17" s="1094"/>
      <c r="K17" s="1192"/>
      <c r="L17" s="1296"/>
      <c r="M17" s="1073"/>
      <c r="N17" s="1073"/>
      <c r="O17" s="1073"/>
      <c r="P17" s="1073"/>
      <c r="Q17" s="1073"/>
      <c r="R17" s="1073"/>
      <c r="S17" s="1073"/>
      <c r="T17" s="1073"/>
      <c r="U17" s="1073"/>
    </row>
    <row r="18" spans="1:185">
      <c r="A18" s="1914"/>
      <c r="B18" s="1911"/>
      <c r="C18" s="1895"/>
      <c r="D18" s="1895"/>
      <c r="E18" s="1095"/>
      <c r="F18" s="1090"/>
      <c r="G18" s="1908"/>
      <c r="H18" s="1092"/>
      <c r="I18" s="1092"/>
      <c r="J18" s="1094"/>
      <c r="K18" s="1192"/>
      <c r="L18" s="1296"/>
      <c r="M18" s="1073"/>
      <c r="N18" s="1073"/>
      <c r="O18" s="1073"/>
      <c r="P18" s="1073"/>
      <c r="Q18" s="1073"/>
      <c r="R18" s="1073"/>
      <c r="S18" s="1073"/>
      <c r="T18" s="1073"/>
      <c r="U18" s="1073"/>
    </row>
    <row r="19" spans="1:185">
      <c r="A19" s="1914"/>
      <c r="B19" s="1911"/>
      <c r="C19" s="1895"/>
      <c r="D19" s="1895"/>
      <c r="E19" s="1095"/>
      <c r="F19" s="1090"/>
      <c r="G19" s="1908"/>
      <c r="H19" s="1092"/>
      <c r="I19" s="1092"/>
      <c r="J19" s="1094"/>
      <c r="K19" s="1192"/>
      <c r="L19" s="1296"/>
      <c r="M19" s="1073"/>
      <c r="N19" s="1073"/>
      <c r="O19" s="1073"/>
      <c r="P19" s="1073"/>
      <c r="Q19" s="1073"/>
      <c r="R19" s="1073"/>
      <c r="S19" s="1073"/>
      <c r="T19" s="1073"/>
      <c r="U19" s="1073"/>
    </row>
    <row r="20" spans="1:185">
      <c r="A20" s="1914"/>
      <c r="B20" s="1911"/>
      <c r="C20" s="1895"/>
      <c r="D20" s="1895"/>
      <c r="E20" s="1095"/>
      <c r="F20" s="1090"/>
      <c r="G20" s="1908"/>
      <c r="H20" s="1092"/>
      <c r="I20" s="1092"/>
      <c r="J20" s="1094"/>
      <c r="K20" s="1192"/>
      <c r="L20" s="1296"/>
      <c r="M20" s="1073"/>
      <c r="N20" s="1073"/>
      <c r="O20" s="1073"/>
      <c r="P20" s="1073"/>
      <c r="Q20" s="1073"/>
      <c r="R20" s="1073"/>
      <c r="S20" s="1073"/>
      <c r="T20" s="1073"/>
      <c r="U20" s="1073"/>
    </row>
    <row r="21" spans="1:185">
      <c r="A21" s="1914"/>
      <c r="B21" s="1911"/>
      <c r="C21" s="1895"/>
      <c r="D21" s="1895"/>
      <c r="E21" s="1095"/>
      <c r="F21" s="1090"/>
      <c r="G21" s="1908"/>
      <c r="H21" s="1092"/>
      <c r="I21" s="1092"/>
      <c r="J21" s="1094"/>
      <c r="K21" s="1192"/>
      <c r="L21" s="1296"/>
      <c r="M21" s="1073"/>
      <c r="N21" s="1073"/>
      <c r="O21" s="1073"/>
      <c r="P21" s="1073"/>
      <c r="Q21" s="1073"/>
      <c r="R21" s="1073"/>
      <c r="S21" s="1073"/>
      <c r="T21" s="1073"/>
      <c r="U21" s="1073"/>
    </row>
    <row r="22" spans="1:185">
      <c r="A22" s="1914"/>
      <c r="B22" s="1911"/>
      <c r="C22" s="1895"/>
      <c r="D22" s="1895"/>
      <c r="E22" s="1095"/>
      <c r="F22" s="1090"/>
      <c r="G22" s="1908"/>
      <c r="H22" s="1092"/>
      <c r="I22" s="1092"/>
      <c r="J22" s="1094"/>
      <c r="K22" s="1192"/>
      <c r="L22" s="1296"/>
      <c r="M22" s="1073"/>
      <c r="N22" s="1073"/>
      <c r="O22" s="1073"/>
      <c r="P22" s="1073"/>
      <c r="Q22" s="1073"/>
      <c r="R22" s="1073"/>
      <c r="S22" s="1073"/>
      <c r="T22" s="1073"/>
      <c r="U22" s="1073"/>
    </row>
    <row r="23" spans="1:185">
      <c r="A23" s="1914"/>
      <c r="B23" s="1911"/>
      <c r="C23" s="1895"/>
      <c r="D23" s="1895"/>
      <c r="E23" s="1095"/>
      <c r="F23" s="1090"/>
      <c r="G23" s="1908"/>
      <c r="H23" s="1092"/>
      <c r="I23" s="1092"/>
      <c r="J23" s="1094"/>
      <c r="K23" s="1192"/>
      <c r="L23" s="1296"/>
      <c r="M23" s="1073"/>
      <c r="N23" s="1073"/>
      <c r="O23" s="1073"/>
      <c r="P23" s="1073"/>
      <c r="Q23" s="1073"/>
      <c r="R23" s="1073"/>
      <c r="S23" s="1073"/>
      <c r="T23" s="1073"/>
      <c r="U23" s="1073"/>
    </row>
    <row r="24" spans="1:185">
      <c r="A24" s="1914"/>
      <c r="B24" s="1911"/>
      <c r="C24" s="1895"/>
      <c r="D24" s="1895"/>
      <c r="E24" s="1095"/>
      <c r="F24" s="1090"/>
      <c r="G24" s="1908"/>
      <c r="H24" s="1092"/>
      <c r="I24" s="1092"/>
      <c r="J24" s="1094"/>
      <c r="K24" s="1192"/>
      <c r="L24" s="1296"/>
      <c r="M24" s="1073"/>
      <c r="N24" s="1073"/>
      <c r="O24" s="1073"/>
      <c r="P24" s="1073"/>
      <c r="Q24" s="1073"/>
      <c r="R24" s="1073"/>
      <c r="S24" s="1073"/>
      <c r="T24" s="1073"/>
      <c r="U24" s="1073"/>
    </row>
    <row r="25" spans="1:185">
      <c r="A25" s="1914"/>
      <c r="B25" s="1911"/>
      <c r="C25" s="1895"/>
      <c r="D25" s="1895"/>
      <c r="E25" s="1095"/>
      <c r="F25" s="1090"/>
      <c r="G25" s="1908"/>
      <c r="H25" s="1092"/>
      <c r="I25" s="1092"/>
      <c r="J25" s="1094"/>
      <c r="K25" s="1192"/>
      <c r="L25" s="1296"/>
      <c r="M25" s="1073"/>
      <c r="N25" s="1073"/>
      <c r="O25" s="1073"/>
      <c r="P25" s="1073"/>
      <c r="Q25" s="1073"/>
      <c r="R25" s="1073"/>
      <c r="S25" s="1073"/>
      <c r="T25" s="1073"/>
      <c r="U25" s="1073"/>
    </row>
    <row r="26" spans="1:185">
      <c r="A26" s="1914"/>
      <c r="B26" s="1911"/>
      <c r="C26" s="1896"/>
      <c r="D26" s="1896"/>
      <c r="E26" s="1095"/>
      <c r="F26" s="1090"/>
      <c r="G26" s="1909"/>
      <c r="H26" s="1092"/>
      <c r="I26" s="1092"/>
      <c r="J26" s="1094"/>
      <c r="K26" s="1192"/>
      <c r="L26" s="1296"/>
      <c r="M26" s="1073"/>
      <c r="N26" s="1073"/>
      <c r="O26" s="1073"/>
      <c r="P26" s="1073"/>
      <c r="Q26" s="1073"/>
      <c r="R26" s="1073"/>
      <c r="S26" s="1073"/>
      <c r="T26" s="1073"/>
      <c r="U26" s="1073"/>
    </row>
    <row r="27" spans="1:185" s="1351" customFormat="1" ht="15">
      <c r="A27" s="1349"/>
      <c r="B27" s="1340" t="s">
        <v>1684</v>
      </c>
      <c r="C27" s="1341"/>
      <c r="D27" s="1341"/>
      <c r="E27" s="1345"/>
      <c r="F27" s="1343">
        <f>SUM(F17:F26)</f>
        <v>0</v>
      </c>
      <c r="G27" s="1343"/>
      <c r="H27" s="1344"/>
      <c r="I27" s="1344"/>
      <c r="J27" s="1345"/>
      <c r="K27" s="1346"/>
      <c r="L27" s="1349"/>
      <c r="M27" s="1075"/>
      <c r="N27" s="1075"/>
      <c r="O27" s="1075"/>
      <c r="P27" s="1075"/>
      <c r="Q27" s="1075"/>
      <c r="R27" s="1075"/>
      <c r="S27" s="1075"/>
      <c r="T27" s="1075"/>
      <c r="U27" s="1075"/>
      <c r="V27" s="1350"/>
      <c r="W27" s="1350"/>
      <c r="X27" s="1350"/>
      <c r="Y27" s="1350"/>
      <c r="Z27" s="1350"/>
      <c r="AA27" s="1350"/>
      <c r="AB27" s="1350"/>
      <c r="AC27" s="1350"/>
      <c r="AD27" s="1350"/>
      <c r="AE27" s="1350"/>
      <c r="AF27" s="1350"/>
      <c r="AG27" s="1350"/>
      <c r="AH27" s="1350"/>
      <c r="AI27" s="1350"/>
      <c r="AJ27" s="1350"/>
      <c r="AK27" s="1350"/>
      <c r="AL27" s="1350"/>
      <c r="AM27" s="1350"/>
      <c r="AN27" s="1350"/>
      <c r="AO27" s="1350"/>
      <c r="AP27" s="1350"/>
      <c r="AQ27" s="1350"/>
      <c r="AR27" s="1350"/>
      <c r="AS27" s="1350"/>
      <c r="AT27" s="1350"/>
      <c r="AU27" s="1350"/>
      <c r="AV27" s="1350"/>
      <c r="AW27" s="1350"/>
      <c r="AX27" s="1350"/>
      <c r="AY27" s="1350"/>
      <c r="AZ27" s="1350"/>
      <c r="BA27" s="1350"/>
      <c r="BB27" s="1350"/>
      <c r="BC27" s="1350"/>
      <c r="BD27" s="1350"/>
      <c r="BE27" s="1350"/>
      <c r="BF27" s="1350"/>
      <c r="BG27" s="1350"/>
      <c r="BH27" s="1350"/>
      <c r="BI27" s="1350"/>
      <c r="BJ27" s="1350"/>
      <c r="BK27" s="1350"/>
      <c r="BL27" s="1350"/>
      <c r="BM27" s="1350"/>
      <c r="BN27" s="1350"/>
      <c r="BO27" s="1350"/>
      <c r="BP27" s="1350"/>
      <c r="BQ27" s="1350"/>
      <c r="BR27" s="1350"/>
      <c r="BS27" s="1350"/>
      <c r="BT27" s="1350"/>
      <c r="BU27" s="1350"/>
      <c r="BV27" s="1350"/>
      <c r="BW27" s="1350"/>
      <c r="BX27" s="1350"/>
      <c r="BY27" s="1350"/>
      <c r="BZ27" s="1350"/>
      <c r="CA27" s="1350"/>
      <c r="CB27" s="1350"/>
      <c r="CC27" s="1350"/>
      <c r="CD27" s="1350"/>
      <c r="CE27" s="1350"/>
      <c r="CF27" s="1350"/>
      <c r="CG27" s="1350"/>
      <c r="CH27" s="1350"/>
      <c r="CI27" s="1350"/>
      <c r="CJ27" s="1350"/>
      <c r="CK27" s="1350"/>
      <c r="CL27" s="1350"/>
      <c r="CM27" s="1350"/>
      <c r="CN27" s="1350"/>
      <c r="CO27" s="1350"/>
      <c r="CP27" s="1350"/>
      <c r="CQ27" s="1350"/>
      <c r="CR27" s="1350"/>
      <c r="CS27" s="1350"/>
      <c r="CT27" s="1350"/>
      <c r="CU27" s="1350"/>
      <c r="CV27" s="1350"/>
      <c r="CW27" s="1350"/>
      <c r="CX27" s="1350"/>
      <c r="CY27" s="1350"/>
      <c r="CZ27" s="1350"/>
      <c r="DA27" s="1350"/>
      <c r="DB27" s="1350"/>
      <c r="DC27" s="1350"/>
      <c r="DD27" s="1350"/>
      <c r="DE27" s="1350"/>
      <c r="DF27" s="1350"/>
      <c r="DG27" s="1350"/>
      <c r="DH27" s="1350"/>
      <c r="DI27" s="1350"/>
      <c r="DJ27" s="1350"/>
      <c r="DK27" s="1350"/>
      <c r="DL27" s="1350"/>
      <c r="DM27" s="1350"/>
      <c r="DN27" s="1350"/>
      <c r="DO27" s="1350"/>
      <c r="DP27" s="1350"/>
      <c r="DQ27" s="1350"/>
      <c r="DR27" s="1350"/>
      <c r="DS27" s="1350"/>
      <c r="DT27" s="1350"/>
      <c r="DU27" s="1350"/>
      <c r="DV27" s="1350"/>
      <c r="DW27" s="1350"/>
      <c r="DX27" s="1350"/>
      <c r="DY27" s="1350"/>
      <c r="DZ27" s="1350"/>
      <c r="EA27" s="1350"/>
      <c r="EB27" s="1350"/>
      <c r="EC27" s="1350"/>
      <c r="ED27" s="1350"/>
      <c r="EE27" s="1350"/>
      <c r="EF27" s="1350"/>
      <c r="EG27" s="1350"/>
      <c r="EH27" s="1350"/>
      <c r="EI27" s="1350"/>
      <c r="EJ27" s="1350"/>
      <c r="EK27" s="1350"/>
      <c r="EL27" s="1350"/>
      <c r="EM27" s="1350"/>
      <c r="EN27" s="1350"/>
      <c r="EO27" s="1350"/>
      <c r="EP27" s="1350"/>
      <c r="EQ27" s="1350"/>
      <c r="ER27" s="1350"/>
      <c r="ES27" s="1350"/>
      <c r="ET27" s="1350"/>
      <c r="EU27" s="1350"/>
      <c r="EV27" s="1350"/>
      <c r="EW27" s="1350"/>
      <c r="EX27" s="1350"/>
      <c r="EY27" s="1350"/>
      <c r="EZ27" s="1350"/>
      <c r="FA27" s="1350"/>
      <c r="FB27" s="1350"/>
      <c r="FC27" s="1350"/>
      <c r="FD27" s="1350"/>
      <c r="FE27" s="1350"/>
      <c r="FF27" s="1350"/>
      <c r="FG27" s="1350"/>
      <c r="FH27" s="1350"/>
      <c r="FI27" s="1350"/>
      <c r="FJ27" s="1350"/>
      <c r="FK27" s="1350"/>
      <c r="FL27" s="1350"/>
      <c r="FM27" s="1350"/>
      <c r="FN27" s="1350"/>
      <c r="FO27" s="1350"/>
      <c r="FP27" s="1350"/>
      <c r="FQ27" s="1350"/>
      <c r="FR27" s="1350"/>
      <c r="FS27" s="1350"/>
      <c r="FT27" s="1350"/>
      <c r="FU27" s="1350"/>
      <c r="FV27" s="1350"/>
      <c r="FW27" s="1350"/>
      <c r="FX27" s="1350"/>
      <c r="FY27" s="1350"/>
      <c r="FZ27" s="1350"/>
      <c r="GA27" s="1350"/>
      <c r="GB27" s="1350"/>
      <c r="GC27" s="1350"/>
    </row>
    <row r="28" spans="1:185">
      <c r="A28" s="1914"/>
      <c r="B28" s="1911" t="s">
        <v>15</v>
      </c>
      <c r="C28" s="1894" t="s">
        <v>15</v>
      </c>
      <c r="D28" s="1894" t="str">
        <f>B28&amp;C28</f>
        <v>&lt; sélectionner &gt;&lt; sélectionner &gt;</v>
      </c>
      <c r="E28" s="1094"/>
      <c r="F28" s="1090"/>
      <c r="G28" s="1907">
        <f>F38</f>
        <v>0</v>
      </c>
      <c r="H28" s="1092"/>
      <c r="I28" s="1092"/>
      <c r="J28" s="1094"/>
      <c r="K28" s="1192"/>
      <c r="L28" s="1296"/>
      <c r="M28" s="1073"/>
      <c r="N28" s="1073"/>
      <c r="O28" s="1073"/>
      <c r="P28" s="1073"/>
      <c r="Q28" s="1073"/>
      <c r="R28" s="1073"/>
      <c r="S28" s="1073"/>
      <c r="T28" s="1073"/>
      <c r="U28" s="1073"/>
    </row>
    <row r="29" spans="1:185">
      <c r="A29" s="1914"/>
      <c r="B29" s="1911"/>
      <c r="C29" s="1895"/>
      <c r="D29" s="1895"/>
      <c r="E29" s="1094"/>
      <c r="F29" s="1090"/>
      <c r="G29" s="1908"/>
      <c r="H29" s="1092"/>
      <c r="I29" s="1092"/>
      <c r="J29" s="1094"/>
      <c r="K29" s="1192"/>
      <c r="L29" s="1296"/>
      <c r="M29" s="1073"/>
      <c r="N29" s="1073"/>
      <c r="O29" s="1073"/>
      <c r="P29" s="1073"/>
      <c r="Q29" s="1073"/>
      <c r="R29" s="1073"/>
      <c r="S29" s="1073"/>
      <c r="T29" s="1073"/>
      <c r="U29" s="1073"/>
    </row>
    <row r="30" spans="1:185">
      <c r="A30" s="1914"/>
      <c r="B30" s="1911"/>
      <c r="C30" s="1895"/>
      <c r="D30" s="1895"/>
      <c r="E30" s="1094"/>
      <c r="F30" s="1090"/>
      <c r="G30" s="1908"/>
      <c r="H30" s="1092"/>
      <c r="I30" s="1092"/>
      <c r="J30" s="1094"/>
      <c r="K30" s="1192"/>
      <c r="L30" s="1296"/>
      <c r="M30" s="1073"/>
      <c r="N30" s="1073"/>
      <c r="O30" s="1073"/>
      <c r="P30" s="1073"/>
      <c r="Q30" s="1073"/>
      <c r="R30" s="1073"/>
      <c r="S30" s="1073"/>
      <c r="T30" s="1073"/>
      <c r="U30" s="1073"/>
    </row>
    <row r="31" spans="1:185">
      <c r="A31" s="1914"/>
      <c r="B31" s="1911"/>
      <c r="C31" s="1895"/>
      <c r="D31" s="1895"/>
      <c r="E31" s="1094"/>
      <c r="F31" s="1090"/>
      <c r="G31" s="1908"/>
      <c r="H31" s="1092"/>
      <c r="I31" s="1092"/>
      <c r="J31" s="1094"/>
      <c r="K31" s="1192"/>
      <c r="L31" s="1296"/>
      <c r="M31" s="1073"/>
      <c r="N31" s="1073"/>
      <c r="O31" s="1073"/>
      <c r="P31" s="1073"/>
      <c r="Q31" s="1073"/>
      <c r="R31" s="1073"/>
      <c r="S31" s="1073"/>
      <c r="T31" s="1073"/>
      <c r="U31" s="1073"/>
    </row>
    <row r="32" spans="1:185">
      <c r="A32" s="1914"/>
      <c r="B32" s="1911"/>
      <c r="C32" s="1895"/>
      <c r="D32" s="1895"/>
      <c r="E32" s="1094"/>
      <c r="F32" s="1090"/>
      <c r="G32" s="1908"/>
      <c r="H32" s="1092"/>
      <c r="I32" s="1092"/>
      <c r="J32" s="1094"/>
      <c r="K32" s="1192"/>
      <c r="L32" s="1296"/>
      <c r="M32" s="1073"/>
      <c r="N32" s="1073"/>
      <c r="O32" s="1073"/>
      <c r="P32" s="1073"/>
      <c r="Q32" s="1073"/>
      <c r="R32" s="1073"/>
      <c r="S32" s="1073"/>
      <c r="T32" s="1073"/>
      <c r="U32" s="1073"/>
    </row>
    <row r="33" spans="1:185">
      <c r="A33" s="1914"/>
      <c r="B33" s="1911"/>
      <c r="C33" s="1895"/>
      <c r="D33" s="1895"/>
      <c r="E33" s="1094"/>
      <c r="F33" s="1090"/>
      <c r="G33" s="1908"/>
      <c r="H33" s="1092"/>
      <c r="I33" s="1092"/>
      <c r="J33" s="1094"/>
      <c r="K33" s="1192"/>
      <c r="L33" s="1296"/>
      <c r="M33" s="1073"/>
      <c r="N33" s="1073"/>
      <c r="O33" s="1073"/>
      <c r="P33" s="1073"/>
      <c r="Q33" s="1073"/>
      <c r="R33" s="1073"/>
      <c r="S33" s="1073"/>
      <c r="T33" s="1073"/>
      <c r="U33" s="1073"/>
    </row>
    <row r="34" spans="1:185">
      <c r="A34" s="1914"/>
      <c r="B34" s="1911"/>
      <c r="C34" s="1895"/>
      <c r="D34" s="1895"/>
      <c r="E34" s="1095"/>
      <c r="F34" s="1090"/>
      <c r="G34" s="1908"/>
      <c r="H34" s="1092"/>
      <c r="I34" s="1092"/>
      <c r="J34" s="1094"/>
      <c r="K34" s="1192"/>
      <c r="L34" s="1296"/>
      <c r="M34" s="1073"/>
      <c r="N34" s="1073"/>
      <c r="O34" s="1073"/>
      <c r="P34" s="1073"/>
      <c r="Q34" s="1073"/>
      <c r="R34" s="1073"/>
      <c r="S34" s="1073"/>
      <c r="T34" s="1073"/>
      <c r="U34" s="1073"/>
    </row>
    <row r="35" spans="1:185">
      <c r="A35" s="1914"/>
      <c r="B35" s="1911"/>
      <c r="C35" s="1895"/>
      <c r="D35" s="1895"/>
      <c r="E35" s="1095"/>
      <c r="F35" s="1090"/>
      <c r="G35" s="1908"/>
      <c r="H35" s="1092"/>
      <c r="I35" s="1092"/>
      <c r="J35" s="1094"/>
      <c r="K35" s="1192"/>
      <c r="L35" s="1296"/>
      <c r="M35" s="1073"/>
      <c r="N35" s="1073"/>
      <c r="O35" s="1073"/>
      <c r="P35" s="1073"/>
      <c r="Q35" s="1073"/>
      <c r="R35" s="1073"/>
      <c r="S35" s="1073"/>
      <c r="T35" s="1073"/>
      <c r="U35" s="1073"/>
    </row>
    <row r="36" spans="1:185">
      <c r="A36" s="1914"/>
      <c r="B36" s="1911"/>
      <c r="C36" s="1895"/>
      <c r="D36" s="1895"/>
      <c r="E36" s="1095"/>
      <c r="F36" s="1090"/>
      <c r="G36" s="1908"/>
      <c r="H36" s="1092"/>
      <c r="I36" s="1092"/>
      <c r="J36" s="1094"/>
      <c r="K36" s="1192"/>
      <c r="L36" s="1296"/>
      <c r="M36" s="1073"/>
      <c r="N36" s="1073"/>
      <c r="O36" s="1073"/>
      <c r="P36" s="1073"/>
      <c r="Q36" s="1073"/>
      <c r="R36" s="1073"/>
      <c r="S36" s="1073"/>
      <c r="T36" s="1073"/>
      <c r="U36" s="1073"/>
    </row>
    <row r="37" spans="1:185">
      <c r="A37" s="1914"/>
      <c r="B37" s="1911"/>
      <c r="C37" s="1896"/>
      <c r="D37" s="1896"/>
      <c r="E37" s="1095"/>
      <c r="F37" s="1090"/>
      <c r="G37" s="1909"/>
      <c r="H37" s="1092"/>
      <c r="I37" s="1092"/>
      <c r="J37" s="1094"/>
      <c r="K37" s="1192"/>
      <c r="L37" s="1296"/>
      <c r="M37" s="1073"/>
      <c r="N37" s="1073"/>
      <c r="O37" s="1073"/>
      <c r="P37" s="1073"/>
      <c r="Q37" s="1073"/>
      <c r="R37" s="1073"/>
      <c r="S37" s="1073"/>
      <c r="T37" s="1073"/>
      <c r="U37" s="1073"/>
    </row>
    <row r="38" spans="1:185" s="1351" customFormat="1" ht="15">
      <c r="A38" s="1349"/>
      <c r="B38" s="1340" t="s">
        <v>1684</v>
      </c>
      <c r="C38" s="1341"/>
      <c r="D38" s="1341"/>
      <c r="E38" s="1345"/>
      <c r="F38" s="1343">
        <f>SUM(F28:F37)</f>
        <v>0</v>
      </c>
      <c r="G38" s="1343"/>
      <c r="H38" s="1344"/>
      <c r="I38" s="1344"/>
      <c r="J38" s="1345"/>
      <c r="K38" s="1346"/>
      <c r="L38" s="1349"/>
      <c r="M38" s="1075"/>
      <c r="N38" s="1075"/>
      <c r="O38" s="1075"/>
      <c r="P38" s="1075"/>
      <c r="Q38" s="1075"/>
      <c r="R38" s="1075"/>
      <c r="S38" s="1075"/>
      <c r="T38" s="1075"/>
      <c r="U38" s="1075"/>
      <c r="V38" s="1350"/>
      <c r="W38" s="1350"/>
      <c r="X38" s="1350"/>
      <c r="Y38" s="1350"/>
      <c r="Z38" s="1350"/>
      <c r="AA38" s="1350"/>
      <c r="AB38" s="1350"/>
      <c r="AC38" s="1350"/>
      <c r="AD38" s="1350"/>
      <c r="AE38" s="1350"/>
      <c r="AF38" s="1350"/>
      <c r="AG38" s="1350"/>
      <c r="AH38" s="1350"/>
      <c r="AI38" s="1350"/>
      <c r="AJ38" s="1350"/>
      <c r="AK38" s="1350"/>
      <c r="AL38" s="1350"/>
      <c r="AM38" s="1350"/>
      <c r="AN38" s="1350"/>
      <c r="AO38" s="1350"/>
      <c r="AP38" s="1350"/>
      <c r="AQ38" s="1350"/>
      <c r="AR38" s="1350"/>
      <c r="AS38" s="1350"/>
      <c r="AT38" s="1350"/>
      <c r="AU38" s="1350"/>
      <c r="AV38" s="1350"/>
      <c r="AW38" s="1350"/>
      <c r="AX38" s="1350"/>
      <c r="AY38" s="1350"/>
      <c r="AZ38" s="1350"/>
      <c r="BA38" s="1350"/>
      <c r="BB38" s="1350"/>
      <c r="BC38" s="1350"/>
      <c r="BD38" s="1350"/>
      <c r="BE38" s="1350"/>
      <c r="BF38" s="1350"/>
      <c r="BG38" s="1350"/>
      <c r="BH38" s="1350"/>
      <c r="BI38" s="1350"/>
      <c r="BJ38" s="1350"/>
      <c r="BK38" s="1350"/>
      <c r="BL38" s="1350"/>
      <c r="BM38" s="1350"/>
      <c r="BN38" s="1350"/>
      <c r="BO38" s="1350"/>
      <c r="BP38" s="1350"/>
      <c r="BQ38" s="1350"/>
      <c r="BR38" s="1350"/>
      <c r="BS38" s="1350"/>
      <c r="BT38" s="1350"/>
      <c r="BU38" s="1350"/>
      <c r="BV38" s="1350"/>
      <c r="BW38" s="1350"/>
      <c r="BX38" s="1350"/>
      <c r="BY38" s="1350"/>
      <c r="BZ38" s="1350"/>
      <c r="CA38" s="1350"/>
      <c r="CB38" s="1350"/>
      <c r="CC38" s="1350"/>
      <c r="CD38" s="1350"/>
      <c r="CE38" s="1350"/>
      <c r="CF38" s="1350"/>
      <c r="CG38" s="1350"/>
      <c r="CH38" s="1350"/>
      <c r="CI38" s="1350"/>
      <c r="CJ38" s="1350"/>
      <c r="CK38" s="1350"/>
      <c r="CL38" s="1350"/>
      <c r="CM38" s="1350"/>
      <c r="CN38" s="1350"/>
      <c r="CO38" s="1350"/>
      <c r="CP38" s="1350"/>
      <c r="CQ38" s="1350"/>
      <c r="CR38" s="1350"/>
      <c r="CS38" s="1350"/>
      <c r="CT38" s="1350"/>
      <c r="CU38" s="1350"/>
      <c r="CV38" s="1350"/>
      <c r="CW38" s="1350"/>
      <c r="CX38" s="1350"/>
      <c r="CY38" s="1350"/>
      <c r="CZ38" s="1350"/>
      <c r="DA38" s="1350"/>
      <c r="DB38" s="1350"/>
      <c r="DC38" s="1350"/>
      <c r="DD38" s="1350"/>
      <c r="DE38" s="1350"/>
      <c r="DF38" s="1350"/>
      <c r="DG38" s="1350"/>
      <c r="DH38" s="1350"/>
      <c r="DI38" s="1350"/>
      <c r="DJ38" s="1350"/>
      <c r="DK38" s="1350"/>
      <c r="DL38" s="1350"/>
      <c r="DM38" s="1350"/>
      <c r="DN38" s="1350"/>
      <c r="DO38" s="1350"/>
      <c r="DP38" s="1350"/>
      <c r="DQ38" s="1350"/>
      <c r="DR38" s="1350"/>
      <c r="DS38" s="1350"/>
      <c r="DT38" s="1350"/>
      <c r="DU38" s="1350"/>
      <c r="DV38" s="1350"/>
      <c r="DW38" s="1350"/>
      <c r="DX38" s="1350"/>
      <c r="DY38" s="1350"/>
      <c r="DZ38" s="1350"/>
      <c r="EA38" s="1350"/>
      <c r="EB38" s="1350"/>
      <c r="EC38" s="1350"/>
      <c r="ED38" s="1350"/>
      <c r="EE38" s="1350"/>
      <c r="EF38" s="1350"/>
      <c r="EG38" s="1350"/>
      <c r="EH38" s="1350"/>
      <c r="EI38" s="1350"/>
      <c r="EJ38" s="1350"/>
      <c r="EK38" s="1350"/>
      <c r="EL38" s="1350"/>
      <c r="EM38" s="1350"/>
      <c r="EN38" s="1350"/>
      <c r="EO38" s="1350"/>
      <c r="EP38" s="1350"/>
      <c r="EQ38" s="1350"/>
      <c r="ER38" s="1350"/>
      <c r="ES38" s="1350"/>
      <c r="ET38" s="1350"/>
      <c r="EU38" s="1350"/>
      <c r="EV38" s="1350"/>
      <c r="EW38" s="1350"/>
      <c r="EX38" s="1350"/>
      <c r="EY38" s="1350"/>
      <c r="EZ38" s="1350"/>
      <c r="FA38" s="1350"/>
      <c r="FB38" s="1350"/>
      <c r="FC38" s="1350"/>
      <c r="FD38" s="1350"/>
      <c r="FE38" s="1350"/>
      <c r="FF38" s="1350"/>
      <c r="FG38" s="1350"/>
      <c r="FH38" s="1350"/>
      <c r="FI38" s="1350"/>
      <c r="FJ38" s="1350"/>
      <c r="FK38" s="1350"/>
      <c r="FL38" s="1350"/>
      <c r="FM38" s="1350"/>
      <c r="FN38" s="1350"/>
      <c r="FO38" s="1350"/>
      <c r="FP38" s="1350"/>
      <c r="FQ38" s="1350"/>
      <c r="FR38" s="1350"/>
      <c r="FS38" s="1350"/>
      <c r="FT38" s="1350"/>
      <c r="FU38" s="1350"/>
      <c r="FV38" s="1350"/>
      <c r="FW38" s="1350"/>
      <c r="FX38" s="1350"/>
      <c r="FY38" s="1350"/>
      <c r="FZ38" s="1350"/>
      <c r="GA38" s="1350"/>
      <c r="GB38" s="1350"/>
      <c r="GC38" s="1350"/>
    </row>
    <row r="39" spans="1:185">
      <c r="A39" s="1914"/>
      <c r="B39" s="1911" t="s">
        <v>15</v>
      </c>
      <c r="C39" s="1894" t="s">
        <v>15</v>
      </c>
      <c r="D39" s="1894" t="str">
        <f>B39&amp;C39</f>
        <v>&lt; sélectionner &gt;&lt; sélectionner &gt;</v>
      </c>
      <c r="E39" s="1094"/>
      <c r="F39" s="1090"/>
      <c r="G39" s="1907">
        <f>F49</f>
        <v>0</v>
      </c>
      <c r="H39" s="1092"/>
      <c r="I39" s="1092"/>
      <c r="J39" s="1094"/>
      <c r="K39" s="1192"/>
      <c r="L39" s="1296"/>
      <c r="M39" s="1073"/>
      <c r="N39" s="1073"/>
      <c r="O39" s="1073"/>
      <c r="P39" s="1073"/>
      <c r="Q39" s="1073"/>
      <c r="R39" s="1073"/>
      <c r="S39" s="1073"/>
      <c r="T39" s="1073"/>
      <c r="U39" s="1073"/>
    </row>
    <row r="40" spans="1:185">
      <c r="A40" s="1914"/>
      <c r="B40" s="1911"/>
      <c r="C40" s="1895"/>
      <c r="D40" s="1895"/>
      <c r="E40" s="1095"/>
      <c r="F40" s="1090"/>
      <c r="G40" s="1908"/>
      <c r="H40" s="1092"/>
      <c r="I40" s="1092"/>
      <c r="J40" s="1094"/>
      <c r="K40" s="1192"/>
      <c r="L40" s="1296"/>
      <c r="M40" s="1073"/>
      <c r="N40" s="1073"/>
      <c r="O40" s="1073"/>
      <c r="P40" s="1073"/>
      <c r="Q40" s="1073"/>
      <c r="R40" s="1073"/>
      <c r="S40" s="1073"/>
      <c r="T40" s="1073"/>
      <c r="U40" s="1073"/>
    </row>
    <row r="41" spans="1:185">
      <c r="A41" s="1914"/>
      <c r="B41" s="1911"/>
      <c r="C41" s="1895"/>
      <c r="D41" s="1895"/>
      <c r="E41" s="1095"/>
      <c r="F41" s="1090"/>
      <c r="G41" s="1908"/>
      <c r="H41" s="1092"/>
      <c r="I41" s="1092"/>
      <c r="J41" s="1094"/>
      <c r="K41" s="1192"/>
      <c r="L41" s="1296"/>
      <c r="M41" s="1073"/>
      <c r="N41" s="1073"/>
      <c r="O41" s="1073"/>
      <c r="P41" s="1073"/>
      <c r="Q41" s="1073"/>
      <c r="R41" s="1073"/>
      <c r="S41" s="1073"/>
      <c r="T41" s="1073"/>
      <c r="U41" s="1073"/>
    </row>
    <row r="42" spans="1:185">
      <c r="A42" s="1914"/>
      <c r="B42" s="1911"/>
      <c r="C42" s="1895"/>
      <c r="D42" s="1895"/>
      <c r="E42" s="1095"/>
      <c r="F42" s="1090"/>
      <c r="G42" s="1908"/>
      <c r="H42" s="1092"/>
      <c r="I42" s="1092"/>
      <c r="J42" s="1094"/>
      <c r="K42" s="1192"/>
      <c r="L42" s="1296"/>
      <c r="M42" s="1073"/>
      <c r="N42" s="1073"/>
      <c r="O42" s="1073"/>
      <c r="P42" s="1073"/>
      <c r="Q42" s="1073"/>
      <c r="R42" s="1073"/>
      <c r="S42" s="1073"/>
      <c r="T42" s="1073"/>
      <c r="U42" s="1073"/>
    </row>
    <row r="43" spans="1:185">
      <c r="A43" s="1914"/>
      <c r="B43" s="1911"/>
      <c r="C43" s="1895"/>
      <c r="D43" s="1895"/>
      <c r="E43" s="1095"/>
      <c r="F43" s="1090"/>
      <c r="G43" s="1908"/>
      <c r="H43" s="1092"/>
      <c r="I43" s="1092"/>
      <c r="J43" s="1094"/>
      <c r="K43" s="1192"/>
      <c r="L43" s="1296"/>
      <c r="M43" s="1073"/>
      <c r="N43" s="1073"/>
      <c r="O43" s="1073"/>
      <c r="P43" s="1073"/>
      <c r="Q43" s="1073"/>
      <c r="R43" s="1073"/>
      <c r="S43" s="1073"/>
      <c r="T43" s="1073"/>
      <c r="U43" s="1073"/>
    </row>
    <row r="44" spans="1:185">
      <c r="A44" s="1914"/>
      <c r="B44" s="1911"/>
      <c r="C44" s="1895"/>
      <c r="D44" s="1895"/>
      <c r="E44" s="1095"/>
      <c r="F44" s="1090"/>
      <c r="G44" s="1908"/>
      <c r="H44" s="1092"/>
      <c r="I44" s="1092"/>
      <c r="J44" s="1094"/>
      <c r="K44" s="1192"/>
      <c r="L44" s="1296"/>
      <c r="M44" s="1073"/>
      <c r="N44" s="1073"/>
      <c r="O44" s="1073"/>
      <c r="P44" s="1073"/>
      <c r="Q44" s="1073"/>
      <c r="R44" s="1073"/>
      <c r="S44" s="1073"/>
      <c r="T44" s="1073"/>
      <c r="U44" s="1073"/>
    </row>
    <row r="45" spans="1:185">
      <c r="A45" s="1914"/>
      <c r="B45" s="1911"/>
      <c r="C45" s="1895"/>
      <c r="D45" s="1895"/>
      <c r="E45" s="1095"/>
      <c r="F45" s="1090"/>
      <c r="G45" s="1908"/>
      <c r="H45" s="1092"/>
      <c r="I45" s="1092"/>
      <c r="J45" s="1094"/>
      <c r="K45" s="1192"/>
      <c r="L45" s="1296"/>
      <c r="M45" s="1073"/>
      <c r="N45" s="1073"/>
      <c r="O45" s="1073"/>
      <c r="P45" s="1073"/>
      <c r="Q45" s="1073"/>
      <c r="R45" s="1073"/>
      <c r="S45" s="1073"/>
      <c r="T45" s="1073"/>
      <c r="U45" s="1073"/>
    </row>
    <row r="46" spans="1:185">
      <c r="A46" s="1914"/>
      <c r="B46" s="1911"/>
      <c r="C46" s="1895"/>
      <c r="D46" s="1895"/>
      <c r="E46" s="1095"/>
      <c r="F46" s="1090"/>
      <c r="G46" s="1908"/>
      <c r="H46" s="1092"/>
      <c r="I46" s="1092"/>
      <c r="J46" s="1094"/>
      <c r="K46" s="1192"/>
      <c r="L46" s="1296"/>
      <c r="M46" s="1073"/>
      <c r="N46" s="1073"/>
      <c r="O46" s="1073"/>
      <c r="P46" s="1073"/>
      <c r="Q46" s="1073"/>
      <c r="R46" s="1073"/>
      <c r="S46" s="1073"/>
      <c r="T46" s="1073"/>
      <c r="U46" s="1073"/>
    </row>
    <row r="47" spans="1:185">
      <c r="A47" s="1914"/>
      <c r="B47" s="1911"/>
      <c r="C47" s="1895"/>
      <c r="D47" s="1895"/>
      <c r="E47" s="1095"/>
      <c r="F47" s="1090"/>
      <c r="G47" s="1908"/>
      <c r="H47" s="1092"/>
      <c r="I47" s="1092"/>
      <c r="J47" s="1094"/>
      <c r="K47" s="1192"/>
      <c r="L47" s="1296"/>
      <c r="M47" s="1073"/>
      <c r="N47" s="1073"/>
      <c r="O47" s="1073"/>
      <c r="P47" s="1073"/>
      <c r="Q47" s="1073"/>
      <c r="R47" s="1073"/>
      <c r="S47" s="1073"/>
      <c r="T47" s="1073"/>
      <c r="U47" s="1073"/>
    </row>
    <row r="48" spans="1:185">
      <c r="A48" s="1914"/>
      <c r="B48" s="1911"/>
      <c r="C48" s="1896"/>
      <c r="D48" s="1896"/>
      <c r="E48" s="1095"/>
      <c r="F48" s="1090"/>
      <c r="G48" s="1909"/>
      <c r="H48" s="1092"/>
      <c r="I48" s="1092"/>
      <c r="J48" s="1094"/>
      <c r="K48" s="1192"/>
      <c r="L48" s="1296"/>
      <c r="M48" s="1073"/>
      <c r="N48" s="1073"/>
      <c r="O48" s="1073"/>
      <c r="P48" s="1073"/>
      <c r="Q48" s="1073"/>
      <c r="R48" s="1073"/>
      <c r="S48" s="1073"/>
      <c r="T48" s="1073"/>
      <c r="U48" s="1073"/>
    </row>
    <row r="49" spans="1:185" s="1351" customFormat="1" ht="15">
      <c r="A49" s="1349"/>
      <c r="B49" s="1340" t="s">
        <v>1684</v>
      </c>
      <c r="C49" s="1341"/>
      <c r="D49" s="1341"/>
      <c r="E49" s="1345"/>
      <c r="F49" s="1343">
        <f>SUM(F39:F48)</f>
        <v>0</v>
      </c>
      <c r="G49" s="1343"/>
      <c r="H49" s="1344"/>
      <c r="I49" s="1344"/>
      <c r="J49" s="1345"/>
      <c r="K49" s="1346"/>
      <c r="L49" s="1349"/>
      <c r="M49" s="1075"/>
      <c r="N49" s="1075"/>
      <c r="O49" s="1075"/>
      <c r="P49" s="1075"/>
      <c r="Q49" s="1075"/>
      <c r="R49" s="1075"/>
      <c r="S49" s="1075"/>
      <c r="T49" s="1075"/>
      <c r="U49" s="1075"/>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1350"/>
      <c r="AV49" s="1350"/>
      <c r="AW49" s="1350"/>
      <c r="AX49" s="1350"/>
      <c r="AY49" s="1350"/>
      <c r="AZ49" s="1350"/>
      <c r="BA49" s="1350"/>
      <c r="BB49" s="1350"/>
      <c r="BC49" s="1350"/>
      <c r="BD49" s="1350"/>
      <c r="BE49" s="1350"/>
      <c r="BF49" s="1350"/>
      <c r="BG49" s="1350"/>
      <c r="BH49" s="1350"/>
      <c r="BI49" s="1350"/>
      <c r="BJ49" s="1350"/>
      <c r="BK49" s="1350"/>
      <c r="BL49" s="1350"/>
      <c r="BM49" s="1350"/>
      <c r="BN49" s="1350"/>
      <c r="BO49" s="1350"/>
      <c r="BP49" s="1350"/>
      <c r="BQ49" s="1350"/>
      <c r="BR49" s="1350"/>
      <c r="BS49" s="1350"/>
      <c r="BT49" s="1350"/>
      <c r="BU49" s="1350"/>
      <c r="BV49" s="1350"/>
      <c r="BW49" s="1350"/>
      <c r="BX49" s="1350"/>
      <c r="BY49" s="1350"/>
      <c r="BZ49" s="1350"/>
      <c r="CA49" s="1350"/>
      <c r="CB49" s="1350"/>
      <c r="CC49" s="1350"/>
      <c r="CD49" s="1350"/>
      <c r="CE49" s="1350"/>
      <c r="CF49" s="1350"/>
      <c r="CG49" s="1350"/>
      <c r="CH49" s="1350"/>
      <c r="CI49" s="1350"/>
      <c r="CJ49" s="1350"/>
      <c r="CK49" s="1350"/>
      <c r="CL49" s="1350"/>
      <c r="CM49" s="1350"/>
      <c r="CN49" s="1350"/>
      <c r="CO49" s="1350"/>
      <c r="CP49" s="1350"/>
      <c r="CQ49" s="1350"/>
      <c r="CR49" s="1350"/>
      <c r="CS49" s="1350"/>
      <c r="CT49" s="1350"/>
      <c r="CU49" s="1350"/>
      <c r="CV49" s="1350"/>
      <c r="CW49" s="1350"/>
      <c r="CX49" s="1350"/>
      <c r="CY49" s="1350"/>
      <c r="CZ49" s="1350"/>
      <c r="DA49" s="1350"/>
      <c r="DB49" s="1350"/>
      <c r="DC49" s="1350"/>
      <c r="DD49" s="1350"/>
      <c r="DE49" s="1350"/>
      <c r="DF49" s="1350"/>
      <c r="DG49" s="1350"/>
      <c r="DH49" s="1350"/>
      <c r="DI49" s="1350"/>
      <c r="DJ49" s="1350"/>
      <c r="DK49" s="1350"/>
      <c r="DL49" s="1350"/>
      <c r="DM49" s="1350"/>
      <c r="DN49" s="1350"/>
      <c r="DO49" s="1350"/>
      <c r="DP49" s="1350"/>
      <c r="DQ49" s="1350"/>
      <c r="DR49" s="1350"/>
      <c r="DS49" s="1350"/>
      <c r="DT49" s="1350"/>
      <c r="DU49" s="1350"/>
      <c r="DV49" s="1350"/>
      <c r="DW49" s="1350"/>
      <c r="DX49" s="1350"/>
      <c r="DY49" s="1350"/>
      <c r="DZ49" s="1350"/>
      <c r="EA49" s="1350"/>
      <c r="EB49" s="1350"/>
      <c r="EC49" s="1350"/>
      <c r="ED49" s="1350"/>
      <c r="EE49" s="1350"/>
      <c r="EF49" s="1350"/>
      <c r="EG49" s="1350"/>
      <c r="EH49" s="1350"/>
      <c r="EI49" s="1350"/>
      <c r="EJ49" s="1350"/>
      <c r="EK49" s="1350"/>
      <c r="EL49" s="1350"/>
      <c r="EM49" s="1350"/>
      <c r="EN49" s="1350"/>
      <c r="EO49" s="1350"/>
      <c r="EP49" s="1350"/>
      <c r="EQ49" s="1350"/>
      <c r="ER49" s="1350"/>
      <c r="ES49" s="1350"/>
      <c r="ET49" s="1350"/>
      <c r="EU49" s="1350"/>
      <c r="EV49" s="1350"/>
      <c r="EW49" s="1350"/>
      <c r="EX49" s="1350"/>
      <c r="EY49" s="1350"/>
      <c r="EZ49" s="1350"/>
      <c r="FA49" s="1350"/>
      <c r="FB49" s="1350"/>
      <c r="FC49" s="1350"/>
      <c r="FD49" s="1350"/>
      <c r="FE49" s="1350"/>
      <c r="FF49" s="1350"/>
      <c r="FG49" s="1350"/>
      <c r="FH49" s="1350"/>
      <c r="FI49" s="1350"/>
      <c r="FJ49" s="1350"/>
      <c r="FK49" s="1350"/>
      <c r="FL49" s="1350"/>
      <c r="FM49" s="1350"/>
      <c r="FN49" s="1350"/>
      <c r="FO49" s="1350"/>
      <c r="FP49" s="1350"/>
      <c r="FQ49" s="1350"/>
      <c r="FR49" s="1350"/>
      <c r="FS49" s="1350"/>
      <c r="FT49" s="1350"/>
      <c r="FU49" s="1350"/>
      <c r="FV49" s="1350"/>
      <c r="FW49" s="1350"/>
      <c r="FX49" s="1350"/>
      <c r="FY49" s="1350"/>
      <c r="FZ49" s="1350"/>
      <c r="GA49" s="1350"/>
      <c r="GB49" s="1350"/>
      <c r="GC49" s="1350"/>
    </row>
    <row r="50" spans="1:185">
      <c r="A50" s="1296"/>
      <c r="B50" s="1911" t="s">
        <v>15</v>
      </c>
      <c r="C50" s="1894" t="s">
        <v>15</v>
      </c>
      <c r="D50" s="1894" t="str">
        <f>B50&amp;C50</f>
        <v>&lt; sélectionner &gt;&lt; sélectionner &gt;</v>
      </c>
      <c r="E50" s="1094"/>
      <c r="F50" s="1090"/>
      <c r="G50" s="1907">
        <f>F60</f>
        <v>0</v>
      </c>
      <c r="H50" s="1092"/>
      <c r="I50" s="1092"/>
      <c r="J50" s="1094"/>
      <c r="K50" s="1192"/>
      <c r="L50" s="1296"/>
      <c r="M50" s="1073"/>
      <c r="N50" s="1073"/>
      <c r="O50" s="1073"/>
      <c r="P50" s="1073"/>
      <c r="Q50" s="1073"/>
      <c r="R50" s="1073"/>
      <c r="S50" s="1073"/>
      <c r="T50" s="1073"/>
      <c r="U50" s="1073"/>
    </row>
    <row r="51" spans="1:185">
      <c r="A51" s="1296"/>
      <c r="B51" s="1911"/>
      <c r="C51" s="1895"/>
      <c r="D51" s="1895"/>
      <c r="E51" s="1095"/>
      <c r="F51" s="1090"/>
      <c r="G51" s="1908"/>
      <c r="H51" s="1092"/>
      <c r="I51" s="1092"/>
      <c r="J51" s="1094"/>
      <c r="K51" s="1192"/>
      <c r="L51" s="1296"/>
      <c r="M51" s="1073"/>
      <c r="N51" s="1073"/>
      <c r="O51" s="1073"/>
      <c r="P51" s="1073"/>
      <c r="Q51" s="1073"/>
      <c r="R51" s="1073"/>
      <c r="S51" s="1073"/>
      <c r="T51" s="1073"/>
      <c r="U51" s="1073"/>
    </row>
    <row r="52" spans="1:185">
      <c r="A52" s="1296"/>
      <c r="B52" s="1911"/>
      <c r="C52" s="1895"/>
      <c r="D52" s="1895"/>
      <c r="E52" s="1095"/>
      <c r="F52" s="1090"/>
      <c r="G52" s="1908"/>
      <c r="H52" s="1092"/>
      <c r="I52" s="1092"/>
      <c r="J52" s="1094"/>
      <c r="K52" s="1192"/>
      <c r="L52" s="1296"/>
      <c r="M52" s="1073"/>
      <c r="N52" s="1073"/>
      <c r="O52" s="1073"/>
      <c r="P52" s="1073"/>
      <c r="Q52" s="1073"/>
      <c r="R52" s="1073"/>
      <c r="S52" s="1073"/>
      <c r="T52" s="1073"/>
      <c r="U52" s="1073"/>
    </row>
    <row r="53" spans="1:185">
      <c r="A53" s="1296"/>
      <c r="B53" s="1911"/>
      <c r="C53" s="1895"/>
      <c r="D53" s="1895"/>
      <c r="E53" s="1095"/>
      <c r="F53" s="1090"/>
      <c r="G53" s="1908"/>
      <c r="H53" s="1092"/>
      <c r="I53" s="1092"/>
      <c r="J53" s="1094"/>
      <c r="K53" s="1192"/>
      <c r="L53" s="1296"/>
      <c r="M53" s="1073"/>
      <c r="N53" s="1073"/>
      <c r="O53" s="1073"/>
      <c r="P53" s="1073"/>
      <c r="Q53" s="1073"/>
      <c r="R53" s="1073"/>
      <c r="S53" s="1073"/>
      <c r="T53" s="1073"/>
      <c r="U53" s="1073"/>
    </row>
    <row r="54" spans="1:185">
      <c r="A54" s="1296"/>
      <c r="B54" s="1911"/>
      <c r="C54" s="1895"/>
      <c r="D54" s="1895"/>
      <c r="E54" s="1095"/>
      <c r="F54" s="1090"/>
      <c r="G54" s="1908"/>
      <c r="H54" s="1092"/>
      <c r="I54" s="1092"/>
      <c r="J54" s="1094"/>
      <c r="K54" s="1192"/>
      <c r="L54" s="1296"/>
      <c r="M54" s="1073"/>
      <c r="N54" s="1073"/>
      <c r="O54" s="1073"/>
      <c r="P54" s="1073"/>
      <c r="Q54" s="1073"/>
      <c r="R54" s="1073"/>
      <c r="S54" s="1073"/>
      <c r="T54" s="1073"/>
      <c r="U54" s="1073"/>
    </row>
    <row r="55" spans="1:185">
      <c r="A55" s="1296"/>
      <c r="B55" s="1911"/>
      <c r="C55" s="1895"/>
      <c r="D55" s="1895"/>
      <c r="E55" s="1095"/>
      <c r="F55" s="1090"/>
      <c r="G55" s="1908"/>
      <c r="H55" s="1092"/>
      <c r="I55" s="1092"/>
      <c r="J55" s="1094"/>
      <c r="K55" s="1192"/>
      <c r="L55" s="1296"/>
      <c r="M55" s="1073"/>
      <c r="N55" s="1073"/>
      <c r="O55" s="1073"/>
      <c r="P55" s="1073"/>
      <c r="Q55" s="1073"/>
      <c r="R55" s="1073"/>
      <c r="S55" s="1073"/>
      <c r="T55" s="1073"/>
      <c r="U55" s="1073"/>
    </row>
    <row r="56" spans="1:185">
      <c r="A56" s="1296"/>
      <c r="B56" s="1911"/>
      <c r="C56" s="1895"/>
      <c r="D56" s="1895"/>
      <c r="E56" s="1095"/>
      <c r="F56" s="1090"/>
      <c r="G56" s="1908"/>
      <c r="H56" s="1092"/>
      <c r="I56" s="1092"/>
      <c r="J56" s="1094"/>
      <c r="K56" s="1192"/>
      <c r="L56" s="1296"/>
      <c r="M56" s="1073"/>
      <c r="N56" s="1073"/>
      <c r="O56" s="1073"/>
      <c r="P56" s="1073"/>
      <c r="Q56" s="1073"/>
      <c r="R56" s="1073"/>
      <c r="S56" s="1073"/>
      <c r="T56" s="1073"/>
      <c r="U56" s="1073"/>
    </row>
    <row r="57" spans="1:185">
      <c r="A57" s="1296"/>
      <c r="B57" s="1911"/>
      <c r="C57" s="1895"/>
      <c r="D57" s="1895"/>
      <c r="E57" s="1095"/>
      <c r="F57" s="1090"/>
      <c r="G57" s="1908"/>
      <c r="H57" s="1092"/>
      <c r="I57" s="1092"/>
      <c r="J57" s="1094"/>
      <c r="K57" s="1192"/>
      <c r="L57" s="1296"/>
      <c r="M57" s="1073"/>
      <c r="N57" s="1073"/>
      <c r="O57" s="1073"/>
      <c r="P57" s="1073"/>
      <c r="Q57" s="1073"/>
      <c r="R57" s="1073"/>
      <c r="S57" s="1073"/>
      <c r="T57" s="1073"/>
      <c r="U57" s="1073"/>
    </row>
    <row r="58" spans="1:185">
      <c r="A58" s="1296"/>
      <c r="B58" s="1911"/>
      <c r="C58" s="1895"/>
      <c r="D58" s="1895"/>
      <c r="E58" s="1095"/>
      <c r="F58" s="1090"/>
      <c r="G58" s="1908"/>
      <c r="H58" s="1092"/>
      <c r="I58" s="1092"/>
      <c r="J58" s="1094"/>
      <c r="K58" s="1192"/>
      <c r="L58" s="1296"/>
      <c r="M58" s="1073"/>
      <c r="N58" s="1073"/>
      <c r="O58" s="1073"/>
      <c r="P58" s="1073"/>
      <c r="Q58" s="1073"/>
      <c r="R58" s="1073"/>
      <c r="S58" s="1073"/>
      <c r="T58" s="1073"/>
      <c r="U58" s="1073"/>
    </row>
    <row r="59" spans="1:185">
      <c r="A59" s="1296"/>
      <c r="B59" s="1911"/>
      <c r="C59" s="1896"/>
      <c r="D59" s="1896"/>
      <c r="E59" s="1095"/>
      <c r="F59" s="1090"/>
      <c r="G59" s="1909"/>
      <c r="H59" s="1092"/>
      <c r="I59" s="1092"/>
      <c r="J59" s="1094"/>
      <c r="K59" s="1192"/>
      <c r="L59" s="1296"/>
      <c r="M59" s="1073"/>
      <c r="N59" s="1073"/>
      <c r="O59" s="1073"/>
      <c r="P59" s="1073"/>
      <c r="Q59" s="1073"/>
      <c r="R59" s="1073"/>
      <c r="S59" s="1073"/>
      <c r="T59" s="1073"/>
      <c r="U59" s="1073"/>
    </row>
    <row r="60" spans="1:185" s="1351" customFormat="1" ht="15">
      <c r="A60" s="1349"/>
      <c r="B60" s="1340" t="s">
        <v>1684</v>
      </c>
      <c r="C60" s="1341"/>
      <c r="D60" s="1341"/>
      <c r="E60" s="1345"/>
      <c r="F60" s="1343">
        <f>SUM(F50:F59)</f>
        <v>0</v>
      </c>
      <c r="G60" s="1343"/>
      <c r="H60" s="1344"/>
      <c r="I60" s="1344"/>
      <c r="J60" s="1345"/>
      <c r="K60" s="1346"/>
      <c r="L60" s="1349"/>
      <c r="M60" s="1075"/>
      <c r="N60" s="1075"/>
      <c r="O60" s="1075"/>
      <c r="P60" s="1075"/>
      <c r="Q60" s="1075"/>
      <c r="R60" s="1075"/>
      <c r="S60" s="1075"/>
      <c r="T60" s="1075"/>
      <c r="U60" s="1075"/>
      <c r="V60" s="1350"/>
      <c r="W60" s="1350"/>
      <c r="X60" s="1350"/>
      <c r="Y60" s="1350"/>
      <c r="Z60" s="1350"/>
      <c r="AA60" s="1350"/>
      <c r="AB60" s="1350"/>
      <c r="AC60" s="1350"/>
      <c r="AD60" s="1350"/>
      <c r="AE60" s="1350"/>
      <c r="AF60" s="1350"/>
      <c r="AG60" s="1350"/>
      <c r="AH60" s="1350"/>
      <c r="AI60" s="1350"/>
      <c r="AJ60" s="1350"/>
      <c r="AK60" s="1350"/>
      <c r="AL60" s="1350"/>
      <c r="AM60" s="1350"/>
      <c r="AN60" s="1350"/>
      <c r="AO60" s="1350"/>
      <c r="AP60" s="1350"/>
      <c r="AQ60" s="1350"/>
      <c r="AR60" s="1350"/>
      <c r="AS60" s="1350"/>
      <c r="AT60" s="1350"/>
      <c r="AU60" s="1350"/>
      <c r="AV60" s="1350"/>
      <c r="AW60" s="1350"/>
      <c r="AX60" s="1350"/>
      <c r="AY60" s="1350"/>
      <c r="AZ60" s="1350"/>
      <c r="BA60" s="1350"/>
      <c r="BB60" s="1350"/>
      <c r="BC60" s="1350"/>
      <c r="BD60" s="1350"/>
      <c r="BE60" s="1350"/>
      <c r="BF60" s="1350"/>
      <c r="BG60" s="1350"/>
      <c r="BH60" s="1350"/>
      <c r="BI60" s="1350"/>
      <c r="BJ60" s="1350"/>
      <c r="BK60" s="1350"/>
      <c r="BL60" s="1350"/>
      <c r="BM60" s="1350"/>
      <c r="BN60" s="1350"/>
      <c r="BO60" s="1350"/>
      <c r="BP60" s="1350"/>
      <c r="BQ60" s="1350"/>
      <c r="BR60" s="1350"/>
      <c r="BS60" s="1350"/>
      <c r="BT60" s="1350"/>
      <c r="BU60" s="1350"/>
      <c r="BV60" s="1350"/>
      <c r="BW60" s="1350"/>
      <c r="BX60" s="1350"/>
      <c r="BY60" s="1350"/>
      <c r="BZ60" s="1350"/>
      <c r="CA60" s="1350"/>
      <c r="CB60" s="1350"/>
      <c r="CC60" s="1350"/>
      <c r="CD60" s="1350"/>
      <c r="CE60" s="1350"/>
      <c r="CF60" s="1350"/>
      <c r="CG60" s="1350"/>
      <c r="CH60" s="1350"/>
      <c r="CI60" s="1350"/>
      <c r="CJ60" s="1350"/>
      <c r="CK60" s="1350"/>
      <c r="CL60" s="1350"/>
      <c r="CM60" s="1350"/>
      <c r="CN60" s="1350"/>
      <c r="CO60" s="1350"/>
      <c r="CP60" s="1350"/>
      <c r="CQ60" s="1350"/>
      <c r="CR60" s="1350"/>
      <c r="CS60" s="1350"/>
      <c r="CT60" s="1350"/>
      <c r="CU60" s="1350"/>
      <c r="CV60" s="1350"/>
      <c r="CW60" s="1350"/>
      <c r="CX60" s="1350"/>
      <c r="CY60" s="1350"/>
      <c r="CZ60" s="1350"/>
      <c r="DA60" s="1350"/>
      <c r="DB60" s="1350"/>
      <c r="DC60" s="1350"/>
      <c r="DD60" s="1350"/>
      <c r="DE60" s="1350"/>
      <c r="DF60" s="1350"/>
      <c r="DG60" s="1350"/>
      <c r="DH60" s="1350"/>
      <c r="DI60" s="1350"/>
      <c r="DJ60" s="1350"/>
      <c r="DK60" s="1350"/>
      <c r="DL60" s="1350"/>
      <c r="DM60" s="1350"/>
      <c r="DN60" s="1350"/>
      <c r="DO60" s="1350"/>
      <c r="DP60" s="1350"/>
      <c r="DQ60" s="1350"/>
      <c r="DR60" s="1350"/>
      <c r="DS60" s="1350"/>
      <c r="DT60" s="1350"/>
      <c r="DU60" s="1350"/>
      <c r="DV60" s="1350"/>
      <c r="DW60" s="1350"/>
      <c r="DX60" s="1350"/>
      <c r="DY60" s="1350"/>
      <c r="DZ60" s="1350"/>
      <c r="EA60" s="1350"/>
      <c r="EB60" s="1350"/>
      <c r="EC60" s="1350"/>
      <c r="ED60" s="1350"/>
      <c r="EE60" s="1350"/>
      <c r="EF60" s="1350"/>
      <c r="EG60" s="1350"/>
      <c r="EH60" s="1350"/>
      <c r="EI60" s="1350"/>
      <c r="EJ60" s="1350"/>
      <c r="EK60" s="1350"/>
      <c r="EL60" s="1350"/>
      <c r="EM60" s="1350"/>
      <c r="EN60" s="1350"/>
      <c r="EO60" s="1350"/>
      <c r="EP60" s="1350"/>
      <c r="EQ60" s="1350"/>
      <c r="ER60" s="1350"/>
      <c r="ES60" s="1350"/>
      <c r="ET60" s="1350"/>
      <c r="EU60" s="1350"/>
      <c r="EV60" s="1350"/>
      <c r="EW60" s="1350"/>
      <c r="EX60" s="1350"/>
      <c r="EY60" s="1350"/>
      <c r="EZ60" s="1350"/>
      <c r="FA60" s="1350"/>
      <c r="FB60" s="1350"/>
      <c r="FC60" s="1350"/>
      <c r="FD60" s="1350"/>
      <c r="FE60" s="1350"/>
      <c r="FF60" s="1350"/>
      <c r="FG60" s="1350"/>
      <c r="FH60" s="1350"/>
      <c r="FI60" s="1350"/>
      <c r="FJ60" s="1350"/>
      <c r="FK60" s="1350"/>
      <c r="FL60" s="1350"/>
      <c r="FM60" s="1350"/>
      <c r="FN60" s="1350"/>
      <c r="FO60" s="1350"/>
      <c r="FP60" s="1350"/>
      <c r="FQ60" s="1350"/>
      <c r="FR60" s="1350"/>
      <c r="FS60" s="1350"/>
      <c r="FT60" s="1350"/>
      <c r="FU60" s="1350"/>
      <c r="FV60" s="1350"/>
      <c r="FW60" s="1350"/>
      <c r="FX60" s="1350"/>
      <c r="FY60" s="1350"/>
      <c r="FZ60" s="1350"/>
      <c r="GA60" s="1350"/>
      <c r="GB60" s="1350"/>
      <c r="GC60" s="1350"/>
    </row>
    <row r="61" spans="1:185">
      <c r="A61" s="1296"/>
      <c r="B61" s="1911" t="s">
        <v>15</v>
      </c>
      <c r="C61" s="1894" t="s">
        <v>15</v>
      </c>
      <c r="D61" s="1894" t="str">
        <f>B61&amp;C61</f>
        <v>&lt; sélectionner &gt;&lt; sélectionner &gt;</v>
      </c>
      <c r="E61" s="1094"/>
      <c r="F61" s="1090"/>
      <c r="G61" s="1907">
        <f>F71</f>
        <v>0</v>
      </c>
      <c r="H61" s="1092"/>
      <c r="I61" s="1092"/>
      <c r="J61" s="1094"/>
      <c r="K61" s="1192"/>
      <c r="L61" s="1296"/>
      <c r="M61" s="1073"/>
      <c r="N61" s="1073"/>
      <c r="O61" s="1073"/>
      <c r="P61" s="1073"/>
      <c r="Q61" s="1073"/>
      <c r="R61" s="1073"/>
      <c r="S61" s="1073"/>
      <c r="T61" s="1073"/>
      <c r="U61" s="1073"/>
    </row>
    <row r="62" spans="1:185">
      <c r="A62" s="1296"/>
      <c r="B62" s="1911"/>
      <c r="C62" s="1895"/>
      <c r="D62" s="1895"/>
      <c r="E62" s="1095"/>
      <c r="F62" s="1090"/>
      <c r="G62" s="1908"/>
      <c r="H62" s="1092"/>
      <c r="I62" s="1092"/>
      <c r="J62" s="1094"/>
      <c r="K62" s="1192"/>
      <c r="L62" s="1296"/>
      <c r="M62" s="1073"/>
      <c r="N62" s="1073"/>
      <c r="O62" s="1073"/>
      <c r="P62" s="1073"/>
      <c r="Q62" s="1073"/>
      <c r="R62" s="1073"/>
      <c r="S62" s="1073"/>
      <c r="T62" s="1073"/>
      <c r="U62" s="1073"/>
    </row>
    <row r="63" spans="1:185">
      <c r="A63" s="1296"/>
      <c r="B63" s="1911"/>
      <c r="C63" s="1895"/>
      <c r="D63" s="1895"/>
      <c r="E63" s="1095"/>
      <c r="F63" s="1090"/>
      <c r="G63" s="1908"/>
      <c r="H63" s="1092"/>
      <c r="I63" s="1092"/>
      <c r="J63" s="1094"/>
      <c r="K63" s="1192"/>
      <c r="L63" s="1296"/>
      <c r="M63" s="1073"/>
      <c r="N63" s="1073"/>
      <c r="O63" s="1073"/>
      <c r="P63" s="1073"/>
      <c r="Q63" s="1073"/>
      <c r="R63" s="1073"/>
      <c r="S63" s="1073"/>
      <c r="T63" s="1073"/>
      <c r="U63" s="1073"/>
    </row>
    <row r="64" spans="1:185">
      <c r="A64" s="1296"/>
      <c r="B64" s="1911"/>
      <c r="C64" s="1895"/>
      <c r="D64" s="1895"/>
      <c r="E64" s="1095"/>
      <c r="F64" s="1090"/>
      <c r="G64" s="1908"/>
      <c r="H64" s="1092"/>
      <c r="I64" s="1092"/>
      <c r="J64" s="1094"/>
      <c r="K64" s="1192"/>
      <c r="L64" s="1296"/>
      <c r="M64" s="1073"/>
      <c r="N64" s="1073"/>
      <c r="O64" s="1073"/>
      <c r="P64" s="1073"/>
      <c r="Q64" s="1073"/>
      <c r="R64" s="1073"/>
      <c r="S64" s="1073"/>
      <c r="T64" s="1073"/>
      <c r="U64" s="1073"/>
    </row>
    <row r="65" spans="1:185">
      <c r="A65" s="1296"/>
      <c r="B65" s="1911"/>
      <c r="C65" s="1895"/>
      <c r="D65" s="1895"/>
      <c r="E65" s="1095"/>
      <c r="F65" s="1090"/>
      <c r="G65" s="1908"/>
      <c r="H65" s="1092"/>
      <c r="I65" s="1092"/>
      <c r="J65" s="1094"/>
      <c r="K65" s="1192"/>
      <c r="L65" s="1296"/>
      <c r="M65" s="1073"/>
      <c r="N65" s="1073"/>
      <c r="O65" s="1073"/>
      <c r="P65" s="1073"/>
      <c r="Q65" s="1073"/>
      <c r="R65" s="1073"/>
      <c r="S65" s="1073"/>
      <c r="T65" s="1073"/>
      <c r="U65" s="1073"/>
    </row>
    <row r="66" spans="1:185">
      <c r="A66" s="1296"/>
      <c r="B66" s="1911"/>
      <c r="C66" s="1895"/>
      <c r="D66" s="1895"/>
      <c r="E66" s="1095"/>
      <c r="F66" s="1090"/>
      <c r="G66" s="1908"/>
      <c r="H66" s="1092"/>
      <c r="I66" s="1092"/>
      <c r="J66" s="1094"/>
      <c r="K66" s="1192"/>
      <c r="L66" s="1296"/>
      <c r="M66" s="1073"/>
      <c r="N66" s="1073"/>
      <c r="O66" s="1073"/>
      <c r="P66" s="1073"/>
      <c r="Q66" s="1073"/>
      <c r="R66" s="1073"/>
      <c r="S66" s="1073"/>
      <c r="T66" s="1073"/>
      <c r="U66" s="1073"/>
    </row>
    <row r="67" spans="1:185">
      <c r="A67" s="1296"/>
      <c r="B67" s="1911"/>
      <c r="C67" s="1895"/>
      <c r="D67" s="1895"/>
      <c r="E67" s="1095"/>
      <c r="F67" s="1090"/>
      <c r="G67" s="1908"/>
      <c r="H67" s="1092"/>
      <c r="I67" s="1092"/>
      <c r="J67" s="1094"/>
      <c r="K67" s="1192"/>
      <c r="L67" s="1296"/>
      <c r="M67" s="1073"/>
      <c r="N67" s="1073"/>
      <c r="O67" s="1073"/>
      <c r="P67" s="1073"/>
      <c r="Q67" s="1073"/>
      <c r="R67" s="1073"/>
      <c r="S67" s="1073"/>
      <c r="T67" s="1073"/>
      <c r="U67" s="1073"/>
    </row>
    <row r="68" spans="1:185">
      <c r="A68" s="1296"/>
      <c r="B68" s="1911"/>
      <c r="C68" s="1895"/>
      <c r="D68" s="1895"/>
      <c r="E68" s="1095"/>
      <c r="F68" s="1090"/>
      <c r="G68" s="1908"/>
      <c r="H68" s="1092"/>
      <c r="I68" s="1092"/>
      <c r="J68" s="1094"/>
      <c r="K68" s="1192"/>
      <c r="L68" s="1296"/>
      <c r="M68" s="1073"/>
      <c r="N68" s="1073"/>
      <c r="O68" s="1073"/>
      <c r="P68" s="1073"/>
      <c r="Q68" s="1073"/>
      <c r="R68" s="1073"/>
      <c r="S68" s="1073"/>
      <c r="T68" s="1073"/>
      <c r="U68" s="1073"/>
    </row>
    <row r="69" spans="1:185">
      <c r="A69" s="1296"/>
      <c r="B69" s="1911"/>
      <c r="C69" s="1895"/>
      <c r="D69" s="1895"/>
      <c r="E69" s="1095"/>
      <c r="F69" s="1090"/>
      <c r="G69" s="1908"/>
      <c r="H69" s="1092"/>
      <c r="I69" s="1092"/>
      <c r="J69" s="1094"/>
      <c r="K69" s="1192"/>
      <c r="L69" s="1296"/>
      <c r="M69" s="1073"/>
      <c r="N69" s="1073"/>
      <c r="O69" s="1073"/>
      <c r="P69" s="1073"/>
      <c r="Q69" s="1073"/>
      <c r="R69" s="1073"/>
      <c r="S69" s="1073"/>
      <c r="T69" s="1073"/>
      <c r="U69" s="1073"/>
    </row>
    <row r="70" spans="1:185">
      <c r="A70" s="1296"/>
      <c r="B70" s="1911"/>
      <c r="C70" s="1896"/>
      <c r="D70" s="1896"/>
      <c r="E70" s="1095"/>
      <c r="F70" s="1090"/>
      <c r="G70" s="1909"/>
      <c r="H70" s="1092"/>
      <c r="I70" s="1092"/>
      <c r="J70" s="1094"/>
      <c r="K70" s="1192"/>
      <c r="L70" s="1296"/>
      <c r="M70" s="1073"/>
      <c r="N70" s="1073"/>
      <c r="O70" s="1073"/>
      <c r="P70" s="1073"/>
      <c r="Q70" s="1073"/>
      <c r="R70" s="1073"/>
      <c r="S70" s="1073"/>
      <c r="T70" s="1073"/>
      <c r="U70" s="1073"/>
    </row>
    <row r="71" spans="1:185" s="1351" customFormat="1" ht="15">
      <c r="A71" s="1349"/>
      <c r="B71" s="1340" t="s">
        <v>1684</v>
      </c>
      <c r="C71" s="1341"/>
      <c r="D71" s="1341"/>
      <c r="E71" s="1345"/>
      <c r="F71" s="1343">
        <f>SUM(F61:F70)</f>
        <v>0</v>
      </c>
      <c r="G71" s="1343"/>
      <c r="H71" s="1344"/>
      <c r="I71" s="1344"/>
      <c r="J71" s="1345"/>
      <c r="K71" s="1346"/>
      <c r="L71" s="1349"/>
      <c r="M71" s="1075"/>
      <c r="N71" s="1075"/>
      <c r="O71" s="1075"/>
      <c r="P71" s="1075"/>
      <c r="Q71" s="1075"/>
      <c r="R71" s="1075"/>
      <c r="S71" s="1075"/>
      <c r="T71" s="1075"/>
      <c r="U71" s="1075"/>
      <c r="V71" s="1350"/>
      <c r="W71" s="1350"/>
      <c r="X71" s="1350"/>
      <c r="Y71" s="1350"/>
      <c r="Z71" s="1350"/>
      <c r="AA71" s="1350"/>
      <c r="AB71" s="1350"/>
      <c r="AC71" s="1350"/>
      <c r="AD71" s="1350"/>
      <c r="AE71" s="1350"/>
      <c r="AF71" s="1350"/>
      <c r="AG71" s="1350"/>
      <c r="AH71" s="1350"/>
      <c r="AI71" s="1350"/>
      <c r="AJ71" s="1350"/>
      <c r="AK71" s="1350"/>
      <c r="AL71" s="1350"/>
      <c r="AM71" s="1350"/>
      <c r="AN71" s="1350"/>
      <c r="AO71" s="1350"/>
      <c r="AP71" s="1350"/>
      <c r="AQ71" s="1350"/>
      <c r="AR71" s="1350"/>
      <c r="AS71" s="1350"/>
      <c r="AT71" s="1350"/>
      <c r="AU71" s="1350"/>
      <c r="AV71" s="1350"/>
      <c r="AW71" s="1350"/>
      <c r="AX71" s="1350"/>
      <c r="AY71" s="1350"/>
      <c r="AZ71" s="1350"/>
      <c r="BA71" s="1350"/>
      <c r="BB71" s="1350"/>
      <c r="BC71" s="1350"/>
      <c r="BD71" s="1350"/>
      <c r="BE71" s="1350"/>
      <c r="BF71" s="1350"/>
      <c r="BG71" s="1350"/>
      <c r="BH71" s="1350"/>
      <c r="BI71" s="1350"/>
      <c r="BJ71" s="1350"/>
      <c r="BK71" s="1350"/>
      <c r="BL71" s="1350"/>
      <c r="BM71" s="1350"/>
      <c r="BN71" s="1350"/>
      <c r="BO71" s="1350"/>
      <c r="BP71" s="1350"/>
      <c r="BQ71" s="1350"/>
      <c r="BR71" s="1350"/>
      <c r="BS71" s="1350"/>
      <c r="BT71" s="1350"/>
      <c r="BU71" s="1350"/>
      <c r="BV71" s="1350"/>
      <c r="BW71" s="1350"/>
      <c r="BX71" s="1350"/>
      <c r="BY71" s="1350"/>
      <c r="BZ71" s="1350"/>
      <c r="CA71" s="1350"/>
      <c r="CB71" s="1350"/>
      <c r="CC71" s="1350"/>
      <c r="CD71" s="1350"/>
      <c r="CE71" s="1350"/>
      <c r="CF71" s="1350"/>
      <c r="CG71" s="1350"/>
      <c r="CH71" s="1350"/>
      <c r="CI71" s="1350"/>
      <c r="CJ71" s="1350"/>
      <c r="CK71" s="1350"/>
      <c r="CL71" s="1350"/>
      <c r="CM71" s="1350"/>
      <c r="CN71" s="1350"/>
      <c r="CO71" s="1350"/>
      <c r="CP71" s="1350"/>
      <c r="CQ71" s="1350"/>
      <c r="CR71" s="1350"/>
      <c r="CS71" s="1350"/>
      <c r="CT71" s="1350"/>
      <c r="CU71" s="1350"/>
      <c r="CV71" s="1350"/>
      <c r="CW71" s="1350"/>
      <c r="CX71" s="1350"/>
      <c r="CY71" s="1350"/>
      <c r="CZ71" s="1350"/>
      <c r="DA71" s="1350"/>
      <c r="DB71" s="1350"/>
      <c r="DC71" s="1350"/>
      <c r="DD71" s="1350"/>
      <c r="DE71" s="1350"/>
      <c r="DF71" s="1350"/>
      <c r="DG71" s="1350"/>
      <c r="DH71" s="1350"/>
      <c r="DI71" s="1350"/>
      <c r="DJ71" s="1350"/>
      <c r="DK71" s="1350"/>
      <c r="DL71" s="1350"/>
      <c r="DM71" s="1350"/>
      <c r="DN71" s="1350"/>
      <c r="DO71" s="1350"/>
      <c r="DP71" s="1350"/>
      <c r="DQ71" s="1350"/>
      <c r="DR71" s="1350"/>
      <c r="DS71" s="1350"/>
      <c r="DT71" s="1350"/>
      <c r="DU71" s="1350"/>
      <c r="DV71" s="1350"/>
      <c r="DW71" s="1350"/>
      <c r="DX71" s="1350"/>
      <c r="DY71" s="1350"/>
      <c r="DZ71" s="1350"/>
      <c r="EA71" s="1350"/>
      <c r="EB71" s="1350"/>
      <c r="EC71" s="1350"/>
      <c r="ED71" s="1350"/>
      <c r="EE71" s="1350"/>
      <c r="EF71" s="1350"/>
      <c r="EG71" s="1350"/>
      <c r="EH71" s="1350"/>
      <c r="EI71" s="1350"/>
      <c r="EJ71" s="1350"/>
      <c r="EK71" s="1350"/>
      <c r="EL71" s="1350"/>
      <c r="EM71" s="1350"/>
      <c r="EN71" s="1350"/>
      <c r="EO71" s="1350"/>
      <c r="EP71" s="1350"/>
      <c r="EQ71" s="1350"/>
      <c r="ER71" s="1350"/>
      <c r="ES71" s="1350"/>
      <c r="ET71" s="1350"/>
      <c r="EU71" s="1350"/>
      <c r="EV71" s="1350"/>
      <c r="EW71" s="1350"/>
      <c r="EX71" s="1350"/>
      <c r="EY71" s="1350"/>
      <c r="EZ71" s="1350"/>
      <c r="FA71" s="1350"/>
      <c r="FB71" s="1350"/>
      <c r="FC71" s="1350"/>
      <c r="FD71" s="1350"/>
      <c r="FE71" s="1350"/>
      <c r="FF71" s="1350"/>
      <c r="FG71" s="1350"/>
      <c r="FH71" s="1350"/>
      <c r="FI71" s="1350"/>
      <c r="FJ71" s="1350"/>
      <c r="FK71" s="1350"/>
      <c r="FL71" s="1350"/>
      <c r="FM71" s="1350"/>
      <c r="FN71" s="1350"/>
      <c r="FO71" s="1350"/>
      <c r="FP71" s="1350"/>
      <c r="FQ71" s="1350"/>
      <c r="FR71" s="1350"/>
      <c r="FS71" s="1350"/>
      <c r="FT71" s="1350"/>
      <c r="FU71" s="1350"/>
      <c r="FV71" s="1350"/>
      <c r="FW71" s="1350"/>
      <c r="FX71" s="1350"/>
      <c r="FY71" s="1350"/>
      <c r="FZ71" s="1350"/>
      <c r="GA71" s="1350"/>
      <c r="GB71" s="1350"/>
      <c r="GC71" s="1350"/>
    </row>
    <row r="72" spans="1:185">
      <c r="A72" s="1296"/>
      <c r="B72" s="1911" t="s">
        <v>15</v>
      </c>
      <c r="C72" s="1894" t="s">
        <v>15</v>
      </c>
      <c r="D72" s="1894" t="str">
        <f>B72&amp;C72</f>
        <v>&lt; sélectionner &gt;&lt; sélectionner &gt;</v>
      </c>
      <c r="E72" s="1094"/>
      <c r="F72" s="1090"/>
      <c r="G72" s="1907">
        <f>F82</f>
        <v>0</v>
      </c>
      <c r="H72" s="1092"/>
      <c r="I72" s="1092"/>
      <c r="J72" s="1094"/>
      <c r="K72" s="1192"/>
      <c r="L72" s="1296"/>
      <c r="M72" s="1073"/>
      <c r="N72" s="1073"/>
      <c r="O72" s="1073"/>
      <c r="P72" s="1073"/>
      <c r="Q72" s="1073"/>
      <c r="R72" s="1073"/>
      <c r="S72" s="1073"/>
      <c r="T72" s="1073"/>
      <c r="U72" s="1073"/>
    </row>
    <row r="73" spans="1:185">
      <c r="A73" s="1296"/>
      <c r="B73" s="1911"/>
      <c r="C73" s="1895"/>
      <c r="D73" s="1895"/>
      <c r="E73" s="1095"/>
      <c r="F73" s="1090"/>
      <c r="G73" s="1908"/>
      <c r="H73" s="1092"/>
      <c r="I73" s="1092"/>
      <c r="J73" s="1094"/>
      <c r="K73" s="1192"/>
      <c r="L73" s="1296"/>
      <c r="M73" s="1073"/>
      <c r="N73" s="1073"/>
      <c r="O73" s="1073"/>
      <c r="P73" s="1073"/>
      <c r="Q73" s="1073"/>
      <c r="R73" s="1073"/>
      <c r="S73" s="1073"/>
      <c r="T73" s="1073"/>
      <c r="U73" s="1073"/>
    </row>
    <row r="74" spans="1:185">
      <c r="A74" s="1296"/>
      <c r="B74" s="1911"/>
      <c r="C74" s="1895"/>
      <c r="D74" s="1895"/>
      <c r="E74" s="1095"/>
      <c r="F74" s="1090"/>
      <c r="G74" s="1908"/>
      <c r="H74" s="1092"/>
      <c r="I74" s="1092"/>
      <c r="J74" s="1094"/>
      <c r="K74" s="1192"/>
      <c r="L74" s="1296"/>
      <c r="M74" s="1073"/>
      <c r="N74" s="1073"/>
      <c r="O74" s="1073"/>
      <c r="P74" s="1073"/>
      <c r="Q74" s="1073"/>
      <c r="R74" s="1073"/>
      <c r="S74" s="1073"/>
      <c r="T74" s="1073"/>
      <c r="U74" s="1073"/>
    </row>
    <row r="75" spans="1:185">
      <c r="A75" s="1296"/>
      <c r="B75" s="1911"/>
      <c r="C75" s="1895"/>
      <c r="D75" s="1895"/>
      <c r="E75" s="1095"/>
      <c r="F75" s="1090"/>
      <c r="G75" s="1908"/>
      <c r="H75" s="1092"/>
      <c r="I75" s="1092"/>
      <c r="J75" s="1094"/>
      <c r="K75" s="1192"/>
      <c r="L75" s="1296"/>
      <c r="M75" s="1073"/>
      <c r="N75" s="1073"/>
      <c r="O75" s="1073"/>
      <c r="P75" s="1073"/>
      <c r="Q75" s="1073"/>
      <c r="R75" s="1073"/>
      <c r="S75" s="1073"/>
      <c r="T75" s="1073"/>
      <c r="U75" s="1073"/>
    </row>
    <row r="76" spans="1:185">
      <c r="A76" s="1296"/>
      <c r="B76" s="1911"/>
      <c r="C76" s="1895"/>
      <c r="D76" s="1895"/>
      <c r="E76" s="1095"/>
      <c r="F76" s="1090"/>
      <c r="G76" s="1908"/>
      <c r="H76" s="1092"/>
      <c r="I76" s="1092"/>
      <c r="J76" s="1094"/>
      <c r="K76" s="1192"/>
      <c r="L76" s="1296"/>
      <c r="M76" s="1073"/>
      <c r="N76" s="1073"/>
      <c r="O76" s="1073"/>
      <c r="P76" s="1073"/>
      <c r="Q76" s="1073"/>
      <c r="R76" s="1073"/>
      <c r="S76" s="1073"/>
      <c r="T76" s="1073"/>
      <c r="U76" s="1073"/>
    </row>
    <row r="77" spans="1:185">
      <c r="A77" s="1296"/>
      <c r="B77" s="1911"/>
      <c r="C77" s="1895"/>
      <c r="D77" s="1895"/>
      <c r="E77" s="1095"/>
      <c r="F77" s="1090"/>
      <c r="G77" s="1908"/>
      <c r="H77" s="1092"/>
      <c r="I77" s="1092"/>
      <c r="J77" s="1094"/>
      <c r="K77" s="1192"/>
      <c r="L77" s="1296"/>
      <c r="M77" s="1073"/>
      <c r="N77" s="1073"/>
      <c r="O77" s="1073"/>
      <c r="P77" s="1073"/>
      <c r="Q77" s="1073"/>
      <c r="R77" s="1073"/>
      <c r="S77" s="1073"/>
      <c r="T77" s="1073"/>
      <c r="U77" s="1073"/>
    </row>
    <row r="78" spans="1:185">
      <c r="A78" s="1296"/>
      <c r="B78" s="1911"/>
      <c r="C78" s="1895"/>
      <c r="D78" s="1895"/>
      <c r="E78" s="1095"/>
      <c r="F78" s="1090"/>
      <c r="G78" s="1908"/>
      <c r="H78" s="1092"/>
      <c r="I78" s="1092"/>
      <c r="J78" s="1094"/>
      <c r="K78" s="1192"/>
      <c r="L78" s="1296"/>
      <c r="M78" s="1073"/>
      <c r="N78" s="1073"/>
      <c r="O78" s="1073"/>
      <c r="P78" s="1073"/>
      <c r="Q78" s="1073"/>
      <c r="R78" s="1073"/>
      <c r="S78" s="1073"/>
      <c r="T78" s="1073"/>
      <c r="U78" s="1073"/>
    </row>
    <row r="79" spans="1:185">
      <c r="A79" s="1296"/>
      <c r="B79" s="1911"/>
      <c r="C79" s="1895"/>
      <c r="D79" s="1895"/>
      <c r="E79" s="1095"/>
      <c r="F79" s="1090"/>
      <c r="G79" s="1908"/>
      <c r="H79" s="1092"/>
      <c r="I79" s="1092"/>
      <c r="J79" s="1094"/>
      <c r="K79" s="1192"/>
      <c r="L79" s="1296"/>
      <c r="M79" s="1073"/>
      <c r="N79" s="1073"/>
      <c r="O79" s="1073"/>
      <c r="P79" s="1073"/>
      <c r="Q79" s="1073"/>
      <c r="R79" s="1073"/>
      <c r="S79" s="1073"/>
      <c r="T79" s="1073"/>
      <c r="U79" s="1073"/>
    </row>
    <row r="80" spans="1:185">
      <c r="A80" s="1296"/>
      <c r="B80" s="1911"/>
      <c r="C80" s="1895"/>
      <c r="D80" s="1895"/>
      <c r="E80" s="1095"/>
      <c r="F80" s="1090"/>
      <c r="G80" s="1908"/>
      <c r="H80" s="1092"/>
      <c r="I80" s="1092"/>
      <c r="J80" s="1094"/>
      <c r="K80" s="1192"/>
      <c r="L80" s="1296"/>
      <c r="M80" s="1073"/>
      <c r="N80" s="1073"/>
      <c r="O80" s="1073"/>
      <c r="P80" s="1073"/>
      <c r="Q80" s="1073"/>
      <c r="R80" s="1073"/>
      <c r="S80" s="1073"/>
      <c r="T80" s="1073"/>
      <c r="U80" s="1073"/>
    </row>
    <row r="81" spans="1:185">
      <c r="A81" s="1296"/>
      <c r="B81" s="1911"/>
      <c r="C81" s="1896"/>
      <c r="D81" s="1896"/>
      <c r="E81" s="1095"/>
      <c r="F81" s="1090"/>
      <c r="G81" s="1909"/>
      <c r="H81" s="1092"/>
      <c r="I81" s="1092"/>
      <c r="J81" s="1094"/>
      <c r="K81" s="1192"/>
      <c r="L81" s="1296"/>
      <c r="M81" s="1073"/>
      <c r="N81" s="1073"/>
      <c r="O81" s="1073"/>
      <c r="P81" s="1073"/>
      <c r="Q81" s="1073"/>
      <c r="R81" s="1073"/>
      <c r="S81" s="1073"/>
      <c r="T81" s="1073"/>
      <c r="U81" s="1073"/>
    </row>
    <row r="82" spans="1:185" s="1351" customFormat="1" ht="15">
      <c r="A82" s="1349"/>
      <c r="B82" s="1340" t="s">
        <v>1684</v>
      </c>
      <c r="C82" s="1341"/>
      <c r="D82" s="1341"/>
      <c r="E82" s="1345"/>
      <c r="F82" s="1343">
        <f>SUM(F72:F81)</f>
        <v>0</v>
      </c>
      <c r="G82" s="1343"/>
      <c r="H82" s="1344"/>
      <c r="I82" s="1344"/>
      <c r="J82" s="1345"/>
      <c r="K82" s="1346"/>
      <c r="L82" s="1349"/>
      <c r="M82" s="1075"/>
      <c r="N82" s="1075"/>
      <c r="O82" s="1075"/>
      <c r="P82" s="1075"/>
      <c r="Q82" s="1075"/>
      <c r="R82" s="1075"/>
      <c r="S82" s="1075"/>
      <c r="T82" s="1075"/>
      <c r="U82" s="1075"/>
      <c r="V82" s="1350"/>
      <c r="W82" s="1350"/>
      <c r="X82" s="1350"/>
      <c r="Y82" s="1350"/>
      <c r="Z82" s="1350"/>
      <c r="AA82" s="1350"/>
      <c r="AB82" s="1350"/>
      <c r="AC82" s="1350"/>
      <c r="AD82" s="1350"/>
      <c r="AE82" s="1350"/>
      <c r="AF82" s="1350"/>
      <c r="AG82" s="1350"/>
      <c r="AH82" s="1350"/>
      <c r="AI82" s="1350"/>
      <c r="AJ82" s="1350"/>
      <c r="AK82" s="1350"/>
      <c r="AL82" s="1350"/>
      <c r="AM82" s="1350"/>
      <c r="AN82" s="1350"/>
      <c r="AO82" s="1350"/>
      <c r="AP82" s="1350"/>
      <c r="AQ82" s="1350"/>
      <c r="AR82" s="1350"/>
      <c r="AS82" s="1350"/>
      <c r="AT82" s="1350"/>
      <c r="AU82" s="1350"/>
      <c r="AV82" s="1350"/>
      <c r="AW82" s="1350"/>
      <c r="AX82" s="1350"/>
      <c r="AY82" s="1350"/>
      <c r="AZ82" s="1350"/>
      <c r="BA82" s="1350"/>
      <c r="BB82" s="1350"/>
      <c r="BC82" s="1350"/>
      <c r="BD82" s="1350"/>
      <c r="BE82" s="1350"/>
      <c r="BF82" s="1350"/>
      <c r="BG82" s="1350"/>
      <c r="BH82" s="1350"/>
      <c r="BI82" s="1350"/>
      <c r="BJ82" s="1350"/>
      <c r="BK82" s="1350"/>
      <c r="BL82" s="1350"/>
      <c r="BM82" s="1350"/>
      <c r="BN82" s="1350"/>
      <c r="BO82" s="1350"/>
      <c r="BP82" s="1350"/>
      <c r="BQ82" s="1350"/>
      <c r="BR82" s="1350"/>
      <c r="BS82" s="1350"/>
      <c r="BT82" s="1350"/>
      <c r="BU82" s="1350"/>
      <c r="BV82" s="1350"/>
      <c r="BW82" s="1350"/>
      <c r="BX82" s="1350"/>
      <c r="BY82" s="1350"/>
      <c r="BZ82" s="1350"/>
      <c r="CA82" s="1350"/>
      <c r="CB82" s="1350"/>
      <c r="CC82" s="1350"/>
      <c r="CD82" s="1350"/>
      <c r="CE82" s="1350"/>
      <c r="CF82" s="1350"/>
      <c r="CG82" s="1350"/>
      <c r="CH82" s="1350"/>
      <c r="CI82" s="1350"/>
      <c r="CJ82" s="1350"/>
      <c r="CK82" s="1350"/>
      <c r="CL82" s="1350"/>
      <c r="CM82" s="1350"/>
      <c r="CN82" s="1350"/>
      <c r="CO82" s="1350"/>
      <c r="CP82" s="1350"/>
      <c r="CQ82" s="1350"/>
      <c r="CR82" s="1350"/>
      <c r="CS82" s="1350"/>
      <c r="CT82" s="1350"/>
      <c r="CU82" s="1350"/>
      <c r="CV82" s="1350"/>
      <c r="CW82" s="1350"/>
      <c r="CX82" s="1350"/>
      <c r="CY82" s="1350"/>
      <c r="CZ82" s="1350"/>
      <c r="DA82" s="1350"/>
      <c r="DB82" s="1350"/>
      <c r="DC82" s="1350"/>
      <c r="DD82" s="1350"/>
      <c r="DE82" s="1350"/>
      <c r="DF82" s="1350"/>
      <c r="DG82" s="1350"/>
      <c r="DH82" s="1350"/>
      <c r="DI82" s="1350"/>
      <c r="DJ82" s="1350"/>
      <c r="DK82" s="1350"/>
      <c r="DL82" s="1350"/>
      <c r="DM82" s="1350"/>
      <c r="DN82" s="1350"/>
      <c r="DO82" s="1350"/>
      <c r="DP82" s="1350"/>
      <c r="DQ82" s="1350"/>
      <c r="DR82" s="1350"/>
      <c r="DS82" s="1350"/>
      <c r="DT82" s="1350"/>
      <c r="DU82" s="1350"/>
      <c r="DV82" s="1350"/>
      <c r="DW82" s="1350"/>
      <c r="DX82" s="1350"/>
      <c r="DY82" s="1350"/>
      <c r="DZ82" s="1350"/>
      <c r="EA82" s="1350"/>
      <c r="EB82" s="1350"/>
      <c r="EC82" s="1350"/>
      <c r="ED82" s="1350"/>
      <c r="EE82" s="1350"/>
      <c r="EF82" s="1350"/>
      <c r="EG82" s="1350"/>
      <c r="EH82" s="1350"/>
      <c r="EI82" s="1350"/>
      <c r="EJ82" s="1350"/>
      <c r="EK82" s="1350"/>
      <c r="EL82" s="1350"/>
      <c r="EM82" s="1350"/>
      <c r="EN82" s="1350"/>
      <c r="EO82" s="1350"/>
      <c r="EP82" s="1350"/>
      <c r="EQ82" s="1350"/>
      <c r="ER82" s="1350"/>
      <c r="ES82" s="1350"/>
      <c r="ET82" s="1350"/>
      <c r="EU82" s="1350"/>
      <c r="EV82" s="1350"/>
      <c r="EW82" s="1350"/>
      <c r="EX82" s="1350"/>
      <c r="EY82" s="1350"/>
      <c r="EZ82" s="1350"/>
      <c r="FA82" s="1350"/>
      <c r="FB82" s="1350"/>
      <c r="FC82" s="1350"/>
      <c r="FD82" s="1350"/>
      <c r="FE82" s="1350"/>
      <c r="FF82" s="1350"/>
      <c r="FG82" s="1350"/>
      <c r="FH82" s="1350"/>
      <c r="FI82" s="1350"/>
      <c r="FJ82" s="1350"/>
      <c r="FK82" s="1350"/>
      <c r="FL82" s="1350"/>
      <c r="FM82" s="1350"/>
      <c r="FN82" s="1350"/>
      <c r="FO82" s="1350"/>
      <c r="FP82" s="1350"/>
      <c r="FQ82" s="1350"/>
      <c r="FR82" s="1350"/>
      <c r="FS82" s="1350"/>
      <c r="FT82" s="1350"/>
      <c r="FU82" s="1350"/>
      <c r="FV82" s="1350"/>
      <c r="FW82" s="1350"/>
      <c r="FX82" s="1350"/>
      <c r="FY82" s="1350"/>
      <c r="FZ82" s="1350"/>
      <c r="GA82" s="1350"/>
      <c r="GB82" s="1350"/>
      <c r="GC82" s="1350"/>
    </row>
    <row r="83" spans="1:185">
      <c r="A83" s="1296"/>
      <c r="B83" s="1911" t="s">
        <v>15</v>
      </c>
      <c r="C83" s="1894" t="s">
        <v>15</v>
      </c>
      <c r="D83" s="1894" t="str">
        <f>B83&amp;C83</f>
        <v>&lt; sélectionner &gt;&lt; sélectionner &gt;</v>
      </c>
      <c r="E83" s="1094"/>
      <c r="F83" s="1090"/>
      <c r="G83" s="1907">
        <f>F93</f>
        <v>0</v>
      </c>
      <c r="H83" s="1092"/>
      <c r="I83" s="1092"/>
      <c r="J83" s="1094"/>
      <c r="K83" s="1192"/>
      <c r="L83" s="1296"/>
      <c r="M83" s="1073"/>
      <c r="N83" s="1073"/>
      <c r="O83" s="1073"/>
      <c r="P83" s="1073"/>
      <c r="Q83" s="1073"/>
      <c r="R83" s="1073"/>
      <c r="S83" s="1073"/>
      <c r="T83" s="1073"/>
      <c r="U83" s="1073"/>
    </row>
    <row r="84" spans="1:185">
      <c r="A84" s="1296"/>
      <c r="B84" s="1911"/>
      <c r="C84" s="1895"/>
      <c r="D84" s="1895"/>
      <c r="E84" s="1095"/>
      <c r="F84" s="1090"/>
      <c r="G84" s="1908"/>
      <c r="H84" s="1092"/>
      <c r="I84" s="1092"/>
      <c r="J84" s="1094"/>
      <c r="K84" s="1192"/>
      <c r="L84" s="1296"/>
      <c r="M84" s="1073"/>
      <c r="N84" s="1073"/>
      <c r="O84" s="1073"/>
      <c r="P84" s="1073"/>
      <c r="Q84" s="1073"/>
      <c r="R84" s="1073"/>
      <c r="S84" s="1073"/>
      <c r="T84" s="1073"/>
      <c r="U84" s="1073"/>
    </row>
    <row r="85" spans="1:185">
      <c r="A85" s="1296"/>
      <c r="B85" s="1911"/>
      <c r="C85" s="1895"/>
      <c r="D85" s="1895"/>
      <c r="E85" s="1095"/>
      <c r="F85" s="1090"/>
      <c r="G85" s="1908"/>
      <c r="H85" s="1092"/>
      <c r="I85" s="1092"/>
      <c r="J85" s="1094"/>
      <c r="K85" s="1192"/>
      <c r="L85" s="1296"/>
      <c r="M85" s="1073"/>
      <c r="N85" s="1073"/>
      <c r="O85" s="1073"/>
      <c r="P85" s="1073"/>
      <c r="Q85" s="1073"/>
      <c r="R85" s="1073"/>
      <c r="S85" s="1073"/>
      <c r="T85" s="1073"/>
      <c r="U85" s="1073"/>
    </row>
    <row r="86" spans="1:185">
      <c r="A86" s="1296"/>
      <c r="B86" s="1911"/>
      <c r="C86" s="1895"/>
      <c r="D86" s="1895"/>
      <c r="E86" s="1095"/>
      <c r="F86" s="1090"/>
      <c r="G86" s="1908"/>
      <c r="H86" s="1092"/>
      <c r="I86" s="1092"/>
      <c r="J86" s="1094"/>
      <c r="K86" s="1192"/>
      <c r="L86" s="1296"/>
      <c r="M86" s="1073"/>
      <c r="N86" s="1073"/>
      <c r="O86" s="1073"/>
      <c r="P86" s="1073"/>
      <c r="Q86" s="1073"/>
      <c r="R86" s="1073"/>
      <c r="S86" s="1073"/>
      <c r="T86" s="1073"/>
      <c r="U86" s="1073"/>
    </row>
    <row r="87" spans="1:185">
      <c r="A87" s="1296"/>
      <c r="B87" s="1911"/>
      <c r="C87" s="1895"/>
      <c r="D87" s="1895"/>
      <c r="E87" s="1095"/>
      <c r="F87" s="1090"/>
      <c r="G87" s="1908"/>
      <c r="H87" s="1092"/>
      <c r="I87" s="1092"/>
      <c r="J87" s="1094"/>
      <c r="K87" s="1192"/>
      <c r="L87" s="1296"/>
      <c r="M87" s="1073"/>
      <c r="N87" s="1073"/>
      <c r="O87" s="1073"/>
      <c r="P87" s="1073"/>
      <c r="Q87" s="1073"/>
      <c r="R87" s="1073"/>
      <c r="S87" s="1073"/>
      <c r="T87" s="1073"/>
      <c r="U87" s="1073"/>
    </row>
    <row r="88" spans="1:185">
      <c r="A88" s="1296"/>
      <c r="B88" s="1911"/>
      <c r="C88" s="1895"/>
      <c r="D88" s="1895"/>
      <c r="E88" s="1095"/>
      <c r="F88" s="1090"/>
      <c r="G88" s="1908"/>
      <c r="H88" s="1092"/>
      <c r="I88" s="1092"/>
      <c r="J88" s="1094"/>
      <c r="K88" s="1192"/>
      <c r="L88" s="1296"/>
      <c r="M88" s="1073"/>
      <c r="N88" s="1073"/>
      <c r="O88" s="1073"/>
      <c r="P88" s="1073"/>
      <c r="Q88" s="1073"/>
      <c r="R88" s="1073"/>
      <c r="S88" s="1073"/>
      <c r="T88" s="1073"/>
      <c r="U88" s="1073"/>
    </row>
    <row r="89" spans="1:185">
      <c r="A89" s="1296"/>
      <c r="B89" s="1911"/>
      <c r="C89" s="1895"/>
      <c r="D89" s="1895"/>
      <c r="E89" s="1095"/>
      <c r="F89" s="1090"/>
      <c r="G89" s="1908"/>
      <c r="H89" s="1092"/>
      <c r="I89" s="1092"/>
      <c r="J89" s="1094"/>
      <c r="K89" s="1192"/>
      <c r="L89" s="1296"/>
      <c r="M89" s="1073"/>
      <c r="N89" s="1073"/>
      <c r="O89" s="1073"/>
      <c r="P89" s="1073"/>
      <c r="Q89" s="1073"/>
      <c r="R89" s="1073"/>
      <c r="S89" s="1073"/>
      <c r="T89" s="1073"/>
      <c r="U89" s="1073"/>
    </row>
    <row r="90" spans="1:185">
      <c r="A90" s="1296"/>
      <c r="B90" s="1911"/>
      <c r="C90" s="1895"/>
      <c r="D90" s="1895"/>
      <c r="E90" s="1095"/>
      <c r="F90" s="1090"/>
      <c r="G90" s="1908"/>
      <c r="H90" s="1092"/>
      <c r="I90" s="1092"/>
      <c r="J90" s="1094"/>
      <c r="K90" s="1192"/>
      <c r="L90" s="1296"/>
      <c r="M90" s="1073"/>
      <c r="N90" s="1073"/>
      <c r="O90" s="1073"/>
      <c r="P90" s="1073"/>
      <c r="Q90" s="1073"/>
      <c r="R90" s="1073"/>
      <c r="S90" s="1073"/>
      <c r="T90" s="1073"/>
      <c r="U90" s="1073"/>
    </row>
    <row r="91" spans="1:185">
      <c r="A91" s="1296"/>
      <c r="B91" s="1911"/>
      <c r="C91" s="1895"/>
      <c r="D91" s="1895"/>
      <c r="E91" s="1095"/>
      <c r="F91" s="1090"/>
      <c r="G91" s="1908"/>
      <c r="H91" s="1092"/>
      <c r="I91" s="1092"/>
      <c r="J91" s="1094"/>
      <c r="K91" s="1192"/>
      <c r="L91" s="1296"/>
      <c r="M91" s="1073"/>
      <c r="N91" s="1073"/>
      <c r="O91" s="1073"/>
      <c r="P91" s="1073"/>
      <c r="Q91" s="1073"/>
      <c r="R91" s="1073"/>
      <c r="S91" s="1073"/>
      <c r="T91" s="1073"/>
      <c r="U91" s="1073"/>
    </row>
    <row r="92" spans="1:185">
      <c r="A92" s="1296"/>
      <c r="B92" s="1911"/>
      <c r="C92" s="1896"/>
      <c r="D92" s="1896"/>
      <c r="E92" s="1095"/>
      <c r="F92" s="1090"/>
      <c r="G92" s="1909"/>
      <c r="H92" s="1092"/>
      <c r="I92" s="1092"/>
      <c r="J92" s="1094"/>
      <c r="K92" s="1192"/>
      <c r="L92" s="1296"/>
      <c r="M92" s="1073"/>
      <c r="N92" s="1073"/>
      <c r="O92" s="1073"/>
      <c r="P92" s="1073"/>
      <c r="Q92" s="1073"/>
      <c r="R92" s="1073"/>
      <c r="S92" s="1073"/>
      <c r="T92" s="1073"/>
      <c r="U92" s="1073"/>
    </row>
    <row r="93" spans="1:185" s="1351" customFormat="1" ht="15">
      <c r="A93" s="1349"/>
      <c r="B93" s="1340" t="s">
        <v>1684</v>
      </c>
      <c r="C93" s="1341"/>
      <c r="D93" s="1341"/>
      <c r="E93" s="1345"/>
      <c r="F93" s="1343">
        <f>SUM(F83:F92)</f>
        <v>0</v>
      </c>
      <c r="G93" s="1343"/>
      <c r="H93" s="1344"/>
      <c r="I93" s="1344"/>
      <c r="J93" s="1345"/>
      <c r="K93" s="1346"/>
      <c r="L93" s="1349"/>
      <c r="M93" s="1075"/>
      <c r="N93" s="1075"/>
      <c r="O93" s="1075"/>
      <c r="P93" s="1075"/>
      <c r="Q93" s="1075"/>
      <c r="R93" s="1075"/>
      <c r="S93" s="1075"/>
      <c r="T93" s="1075"/>
      <c r="U93" s="1075"/>
      <c r="V93" s="1350"/>
      <c r="W93" s="1350"/>
      <c r="X93" s="1350"/>
      <c r="Y93" s="1350"/>
      <c r="Z93" s="1350"/>
      <c r="AA93" s="1350"/>
      <c r="AB93" s="1350"/>
      <c r="AC93" s="1350"/>
      <c r="AD93" s="1350"/>
      <c r="AE93" s="1350"/>
      <c r="AF93" s="1350"/>
      <c r="AG93" s="1350"/>
      <c r="AH93" s="1350"/>
      <c r="AI93" s="1350"/>
      <c r="AJ93" s="1350"/>
      <c r="AK93" s="1350"/>
      <c r="AL93" s="1350"/>
      <c r="AM93" s="1350"/>
      <c r="AN93" s="1350"/>
      <c r="AO93" s="1350"/>
      <c r="AP93" s="1350"/>
      <c r="AQ93" s="1350"/>
      <c r="AR93" s="1350"/>
      <c r="AS93" s="1350"/>
      <c r="AT93" s="1350"/>
      <c r="AU93" s="1350"/>
      <c r="AV93" s="1350"/>
      <c r="AW93" s="1350"/>
      <c r="AX93" s="1350"/>
      <c r="AY93" s="1350"/>
      <c r="AZ93" s="1350"/>
      <c r="BA93" s="1350"/>
      <c r="BB93" s="1350"/>
      <c r="BC93" s="1350"/>
      <c r="BD93" s="1350"/>
      <c r="BE93" s="1350"/>
      <c r="BF93" s="1350"/>
      <c r="BG93" s="1350"/>
      <c r="BH93" s="1350"/>
      <c r="BI93" s="1350"/>
      <c r="BJ93" s="1350"/>
      <c r="BK93" s="1350"/>
      <c r="BL93" s="1350"/>
      <c r="BM93" s="1350"/>
      <c r="BN93" s="1350"/>
      <c r="BO93" s="1350"/>
      <c r="BP93" s="1350"/>
      <c r="BQ93" s="1350"/>
      <c r="BR93" s="1350"/>
      <c r="BS93" s="1350"/>
      <c r="BT93" s="1350"/>
      <c r="BU93" s="1350"/>
      <c r="BV93" s="1350"/>
      <c r="BW93" s="1350"/>
      <c r="BX93" s="1350"/>
      <c r="BY93" s="1350"/>
      <c r="BZ93" s="1350"/>
      <c r="CA93" s="1350"/>
      <c r="CB93" s="1350"/>
      <c r="CC93" s="1350"/>
      <c r="CD93" s="1350"/>
      <c r="CE93" s="1350"/>
      <c r="CF93" s="1350"/>
      <c r="CG93" s="1350"/>
      <c r="CH93" s="1350"/>
      <c r="CI93" s="1350"/>
      <c r="CJ93" s="1350"/>
      <c r="CK93" s="1350"/>
      <c r="CL93" s="1350"/>
      <c r="CM93" s="1350"/>
      <c r="CN93" s="1350"/>
      <c r="CO93" s="1350"/>
      <c r="CP93" s="1350"/>
      <c r="CQ93" s="1350"/>
      <c r="CR93" s="1350"/>
      <c r="CS93" s="1350"/>
      <c r="CT93" s="1350"/>
      <c r="CU93" s="1350"/>
      <c r="CV93" s="1350"/>
      <c r="CW93" s="1350"/>
      <c r="CX93" s="1350"/>
      <c r="CY93" s="1350"/>
      <c r="CZ93" s="1350"/>
      <c r="DA93" s="1350"/>
      <c r="DB93" s="1350"/>
      <c r="DC93" s="1350"/>
      <c r="DD93" s="1350"/>
      <c r="DE93" s="1350"/>
      <c r="DF93" s="1350"/>
      <c r="DG93" s="1350"/>
      <c r="DH93" s="1350"/>
      <c r="DI93" s="1350"/>
      <c r="DJ93" s="1350"/>
      <c r="DK93" s="1350"/>
      <c r="DL93" s="1350"/>
      <c r="DM93" s="1350"/>
      <c r="DN93" s="1350"/>
      <c r="DO93" s="1350"/>
      <c r="DP93" s="1350"/>
      <c r="DQ93" s="1350"/>
      <c r="DR93" s="1350"/>
      <c r="DS93" s="1350"/>
      <c r="DT93" s="1350"/>
      <c r="DU93" s="1350"/>
      <c r="DV93" s="1350"/>
      <c r="DW93" s="1350"/>
      <c r="DX93" s="1350"/>
      <c r="DY93" s="1350"/>
      <c r="DZ93" s="1350"/>
      <c r="EA93" s="1350"/>
      <c r="EB93" s="1350"/>
      <c r="EC93" s="1350"/>
      <c r="ED93" s="1350"/>
      <c r="EE93" s="1350"/>
      <c r="EF93" s="1350"/>
      <c r="EG93" s="1350"/>
      <c r="EH93" s="1350"/>
      <c r="EI93" s="1350"/>
      <c r="EJ93" s="1350"/>
      <c r="EK93" s="1350"/>
      <c r="EL93" s="1350"/>
      <c r="EM93" s="1350"/>
      <c r="EN93" s="1350"/>
      <c r="EO93" s="1350"/>
      <c r="EP93" s="1350"/>
      <c r="EQ93" s="1350"/>
      <c r="ER93" s="1350"/>
      <c r="ES93" s="1350"/>
      <c r="ET93" s="1350"/>
      <c r="EU93" s="1350"/>
      <c r="EV93" s="1350"/>
      <c r="EW93" s="1350"/>
      <c r="EX93" s="1350"/>
      <c r="EY93" s="1350"/>
      <c r="EZ93" s="1350"/>
      <c r="FA93" s="1350"/>
      <c r="FB93" s="1350"/>
      <c r="FC93" s="1350"/>
      <c r="FD93" s="1350"/>
      <c r="FE93" s="1350"/>
      <c r="FF93" s="1350"/>
      <c r="FG93" s="1350"/>
      <c r="FH93" s="1350"/>
      <c r="FI93" s="1350"/>
      <c r="FJ93" s="1350"/>
      <c r="FK93" s="1350"/>
      <c r="FL93" s="1350"/>
      <c r="FM93" s="1350"/>
      <c r="FN93" s="1350"/>
      <c r="FO93" s="1350"/>
      <c r="FP93" s="1350"/>
      <c r="FQ93" s="1350"/>
      <c r="FR93" s="1350"/>
      <c r="FS93" s="1350"/>
      <c r="FT93" s="1350"/>
      <c r="FU93" s="1350"/>
      <c r="FV93" s="1350"/>
      <c r="FW93" s="1350"/>
      <c r="FX93" s="1350"/>
      <c r="FY93" s="1350"/>
      <c r="FZ93" s="1350"/>
      <c r="GA93" s="1350"/>
      <c r="GB93" s="1350"/>
      <c r="GC93" s="1350"/>
    </row>
    <row r="94" spans="1:185">
      <c r="A94" s="1296"/>
      <c r="B94" s="1911" t="s">
        <v>15</v>
      </c>
      <c r="C94" s="1894" t="s">
        <v>15</v>
      </c>
      <c r="D94" s="1894" t="str">
        <f>B94&amp;C94</f>
        <v>&lt; sélectionner &gt;&lt; sélectionner &gt;</v>
      </c>
      <c r="E94" s="1094"/>
      <c r="F94" s="1090"/>
      <c r="G94" s="1907">
        <f>F104</f>
        <v>0</v>
      </c>
      <c r="H94" s="1092"/>
      <c r="I94" s="1092"/>
      <c r="J94" s="1094"/>
      <c r="K94" s="1192"/>
      <c r="L94" s="1296"/>
      <c r="M94" s="1073"/>
      <c r="N94" s="1073"/>
      <c r="O94" s="1073"/>
      <c r="P94" s="1073"/>
      <c r="Q94" s="1073"/>
      <c r="R94" s="1073"/>
      <c r="S94" s="1073"/>
      <c r="T94" s="1073"/>
      <c r="U94" s="1073"/>
    </row>
    <row r="95" spans="1:185">
      <c r="A95" s="1296"/>
      <c r="B95" s="1911"/>
      <c r="C95" s="1895"/>
      <c r="D95" s="1895"/>
      <c r="E95" s="1095"/>
      <c r="F95" s="1090"/>
      <c r="G95" s="1908"/>
      <c r="H95" s="1092"/>
      <c r="I95" s="1092"/>
      <c r="J95" s="1094"/>
      <c r="K95" s="1192"/>
      <c r="L95" s="1296"/>
      <c r="M95" s="1073"/>
      <c r="N95" s="1073"/>
      <c r="O95" s="1073"/>
      <c r="P95" s="1073"/>
      <c r="Q95" s="1073"/>
      <c r="R95" s="1073"/>
      <c r="S95" s="1073"/>
      <c r="T95" s="1073"/>
      <c r="U95" s="1073"/>
    </row>
    <row r="96" spans="1:185">
      <c r="A96" s="1296"/>
      <c r="B96" s="1911"/>
      <c r="C96" s="1895"/>
      <c r="D96" s="1895"/>
      <c r="E96" s="1095"/>
      <c r="F96" s="1090"/>
      <c r="G96" s="1908"/>
      <c r="H96" s="1092"/>
      <c r="I96" s="1092"/>
      <c r="J96" s="1094"/>
      <c r="K96" s="1192"/>
      <c r="L96" s="1296"/>
      <c r="M96" s="1073"/>
      <c r="N96" s="1073"/>
      <c r="O96" s="1073"/>
      <c r="P96" s="1073"/>
      <c r="Q96" s="1073"/>
      <c r="R96" s="1073"/>
      <c r="S96" s="1073"/>
      <c r="T96" s="1073"/>
      <c r="U96" s="1073"/>
    </row>
    <row r="97" spans="1:185">
      <c r="A97" s="1296"/>
      <c r="B97" s="1911"/>
      <c r="C97" s="1895"/>
      <c r="D97" s="1895"/>
      <c r="E97" s="1095"/>
      <c r="F97" s="1090"/>
      <c r="G97" s="1908"/>
      <c r="H97" s="1092"/>
      <c r="I97" s="1092"/>
      <c r="J97" s="1094"/>
      <c r="K97" s="1192"/>
      <c r="L97" s="1296"/>
      <c r="M97" s="1073"/>
      <c r="N97" s="1073"/>
      <c r="O97" s="1073"/>
      <c r="P97" s="1073"/>
      <c r="Q97" s="1073"/>
      <c r="R97" s="1073"/>
      <c r="S97" s="1073"/>
      <c r="T97" s="1073"/>
      <c r="U97" s="1073"/>
    </row>
    <row r="98" spans="1:185">
      <c r="A98" s="1296"/>
      <c r="B98" s="1911"/>
      <c r="C98" s="1895"/>
      <c r="D98" s="1895"/>
      <c r="E98" s="1095"/>
      <c r="F98" s="1090"/>
      <c r="G98" s="1908"/>
      <c r="H98" s="1092"/>
      <c r="I98" s="1092"/>
      <c r="J98" s="1094"/>
      <c r="K98" s="1192"/>
      <c r="L98" s="1296"/>
      <c r="M98" s="1073"/>
      <c r="N98" s="1073"/>
      <c r="O98" s="1073"/>
      <c r="P98" s="1073"/>
      <c r="Q98" s="1073"/>
      <c r="R98" s="1073"/>
      <c r="S98" s="1073"/>
      <c r="T98" s="1073"/>
      <c r="U98" s="1073"/>
    </row>
    <row r="99" spans="1:185">
      <c r="A99" s="1296"/>
      <c r="B99" s="1911"/>
      <c r="C99" s="1895"/>
      <c r="D99" s="1895"/>
      <c r="E99" s="1095"/>
      <c r="F99" s="1090"/>
      <c r="G99" s="1908"/>
      <c r="H99" s="1092"/>
      <c r="I99" s="1092"/>
      <c r="J99" s="1094"/>
      <c r="K99" s="1192"/>
      <c r="L99" s="1296"/>
      <c r="M99" s="1073"/>
      <c r="N99" s="1073"/>
      <c r="O99" s="1073"/>
      <c r="P99" s="1073"/>
      <c r="Q99" s="1073"/>
      <c r="R99" s="1073"/>
      <c r="S99" s="1073"/>
      <c r="T99" s="1073"/>
      <c r="U99" s="1073"/>
    </row>
    <row r="100" spans="1:185">
      <c r="A100" s="1296"/>
      <c r="B100" s="1911"/>
      <c r="C100" s="1895"/>
      <c r="D100" s="1895"/>
      <c r="E100" s="1095"/>
      <c r="F100" s="1090"/>
      <c r="G100" s="1908"/>
      <c r="H100" s="1092"/>
      <c r="I100" s="1092"/>
      <c r="J100" s="1094"/>
      <c r="K100" s="1192"/>
      <c r="L100" s="1296"/>
      <c r="M100" s="1073"/>
      <c r="N100" s="1073"/>
      <c r="O100" s="1073"/>
      <c r="P100" s="1073"/>
      <c r="Q100" s="1073"/>
      <c r="R100" s="1073"/>
      <c r="S100" s="1073"/>
      <c r="T100" s="1073"/>
      <c r="U100" s="1073"/>
    </row>
    <row r="101" spans="1:185">
      <c r="A101" s="1296"/>
      <c r="B101" s="1911"/>
      <c r="C101" s="1895"/>
      <c r="D101" s="1895"/>
      <c r="E101" s="1095"/>
      <c r="F101" s="1090"/>
      <c r="G101" s="1908"/>
      <c r="H101" s="1092"/>
      <c r="I101" s="1092"/>
      <c r="J101" s="1094"/>
      <c r="K101" s="1192"/>
      <c r="L101" s="1296"/>
      <c r="M101" s="1073"/>
      <c r="N101" s="1073"/>
      <c r="O101" s="1073"/>
      <c r="P101" s="1073"/>
      <c r="Q101" s="1073"/>
      <c r="R101" s="1073"/>
      <c r="S101" s="1073"/>
      <c r="T101" s="1073"/>
      <c r="U101" s="1073"/>
    </row>
    <row r="102" spans="1:185">
      <c r="A102" s="1296"/>
      <c r="B102" s="1911"/>
      <c r="C102" s="1895"/>
      <c r="D102" s="1895"/>
      <c r="E102" s="1095"/>
      <c r="F102" s="1090"/>
      <c r="G102" s="1908"/>
      <c r="H102" s="1092"/>
      <c r="I102" s="1092"/>
      <c r="J102" s="1094"/>
      <c r="K102" s="1192"/>
      <c r="L102" s="1296"/>
      <c r="M102" s="1073"/>
      <c r="N102" s="1073"/>
      <c r="O102" s="1073"/>
      <c r="P102" s="1073"/>
      <c r="Q102" s="1073"/>
      <c r="R102" s="1073"/>
      <c r="S102" s="1073"/>
      <c r="T102" s="1073"/>
      <c r="U102" s="1073"/>
    </row>
    <row r="103" spans="1:185">
      <c r="A103" s="1296"/>
      <c r="B103" s="1911"/>
      <c r="C103" s="1896"/>
      <c r="D103" s="1896"/>
      <c r="E103" s="1095"/>
      <c r="F103" s="1090"/>
      <c r="G103" s="1909"/>
      <c r="H103" s="1092"/>
      <c r="I103" s="1092"/>
      <c r="J103" s="1094"/>
      <c r="K103" s="1192"/>
      <c r="L103" s="1296"/>
      <c r="M103" s="1073"/>
      <c r="N103" s="1073"/>
      <c r="O103" s="1073"/>
      <c r="P103" s="1073"/>
      <c r="Q103" s="1073"/>
      <c r="R103" s="1073"/>
      <c r="S103" s="1073"/>
      <c r="T103" s="1073"/>
      <c r="U103" s="1073"/>
    </row>
    <row r="104" spans="1:185" s="1351" customFormat="1" ht="15">
      <c r="A104" s="1349"/>
      <c r="B104" s="1340" t="s">
        <v>1684</v>
      </c>
      <c r="C104" s="1341"/>
      <c r="D104" s="1341"/>
      <c r="E104" s="1345"/>
      <c r="F104" s="1343">
        <f>SUM(F94:F103)</f>
        <v>0</v>
      </c>
      <c r="G104" s="1343"/>
      <c r="H104" s="1344"/>
      <c r="I104" s="1344"/>
      <c r="J104" s="1345"/>
      <c r="K104" s="1346"/>
      <c r="L104" s="1349"/>
      <c r="M104" s="1075"/>
      <c r="N104" s="1075"/>
      <c r="O104" s="1075"/>
      <c r="P104" s="1075"/>
      <c r="Q104" s="1075"/>
      <c r="R104" s="1075"/>
      <c r="S104" s="1075"/>
      <c r="T104" s="1075"/>
      <c r="U104" s="1075"/>
      <c r="V104" s="1350"/>
      <c r="W104" s="1350"/>
      <c r="X104" s="1350"/>
      <c r="Y104" s="1350"/>
      <c r="Z104" s="1350"/>
      <c r="AA104" s="1350"/>
      <c r="AB104" s="1350"/>
      <c r="AC104" s="1350"/>
      <c r="AD104" s="1350"/>
      <c r="AE104" s="1350"/>
      <c r="AF104" s="1350"/>
      <c r="AG104" s="1350"/>
      <c r="AH104" s="1350"/>
      <c r="AI104" s="1350"/>
      <c r="AJ104" s="1350"/>
      <c r="AK104" s="1350"/>
      <c r="AL104" s="1350"/>
      <c r="AM104" s="1350"/>
      <c r="AN104" s="1350"/>
      <c r="AO104" s="1350"/>
      <c r="AP104" s="1350"/>
      <c r="AQ104" s="1350"/>
      <c r="AR104" s="1350"/>
      <c r="AS104" s="1350"/>
      <c r="AT104" s="1350"/>
      <c r="AU104" s="1350"/>
      <c r="AV104" s="1350"/>
      <c r="AW104" s="1350"/>
      <c r="AX104" s="1350"/>
      <c r="AY104" s="1350"/>
      <c r="AZ104" s="1350"/>
      <c r="BA104" s="1350"/>
      <c r="BB104" s="1350"/>
      <c r="BC104" s="1350"/>
      <c r="BD104" s="1350"/>
      <c r="BE104" s="1350"/>
      <c r="BF104" s="1350"/>
      <c r="BG104" s="1350"/>
      <c r="BH104" s="1350"/>
      <c r="BI104" s="1350"/>
      <c r="BJ104" s="1350"/>
      <c r="BK104" s="1350"/>
      <c r="BL104" s="1350"/>
      <c r="BM104" s="1350"/>
      <c r="BN104" s="1350"/>
      <c r="BO104" s="1350"/>
      <c r="BP104" s="1350"/>
      <c r="BQ104" s="1350"/>
      <c r="BR104" s="1350"/>
      <c r="BS104" s="1350"/>
      <c r="BT104" s="1350"/>
      <c r="BU104" s="1350"/>
      <c r="BV104" s="1350"/>
      <c r="BW104" s="1350"/>
      <c r="BX104" s="1350"/>
      <c r="BY104" s="1350"/>
      <c r="BZ104" s="1350"/>
      <c r="CA104" s="1350"/>
      <c r="CB104" s="1350"/>
      <c r="CC104" s="1350"/>
      <c r="CD104" s="1350"/>
      <c r="CE104" s="1350"/>
      <c r="CF104" s="1350"/>
      <c r="CG104" s="1350"/>
      <c r="CH104" s="1350"/>
      <c r="CI104" s="1350"/>
      <c r="CJ104" s="1350"/>
      <c r="CK104" s="1350"/>
      <c r="CL104" s="1350"/>
      <c r="CM104" s="1350"/>
      <c r="CN104" s="1350"/>
      <c r="CO104" s="1350"/>
      <c r="CP104" s="1350"/>
      <c r="CQ104" s="1350"/>
      <c r="CR104" s="1350"/>
      <c r="CS104" s="1350"/>
      <c r="CT104" s="1350"/>
      <c r="CU104" s="1350"/>
      <c r="CV104" s="1350"/>
      <c r="CW104" s="1350"/>
      <c r="CX104" s="1350"/>
      <c r="CY104" s="1350"/>
      <c r="CZ104" s="1350"/>
      <c r="DA104" s="1350"/>
      <c r="DB104" s="1350"/>
      <c r="DC104" s="1350"/>
      <c r="DD104" s="1350"/>
      <c r="DE104" s="1350"/>
      <c r="DF104" s="1350"/>
      <c r="DG104" s="1350"/>
      <c r="DH104" s="1350"/>
      <c r="DI104" s="1350"/>
      <c r="DJ104" s="1350"/>
      <c r="DK104" s="1350"/>
      <c r="DL104" s="1350"/>
      <c r="DM104" s="1350"/>
      <c r="DN104" s="1350"/>
      <c r="DO104" s="1350"/>
      <c r="DP104" s="1350"/>
      <c r="DQ104" s="1350"/>
      <c r="DR104" s="1350"/>
      <c r="DS104" s="1350"/>
      <c r="DT104" s="1350"/>
      <c r="DU104" s="1350"/>
      <c r="DV104" s="1350"/>
      <c r="DW104" s="1350"/>
      <c r="DX104" s="1350"/>
      <c r="DY104" s="1350"/>
      <c r="DZ104" s="1350"/>
      <c r="EA104" s="1350"/>
      <c r="EB104" s="1350"/>
      <c r="EC104" s="1350"/>
      <c r="ED104" s="1350"/>
      <c r="EE104" s="1350"/>
      <c r="EF104" s="1350"/>
      <c r="EG104" s="1350"/>
      <c r="EH104" s="1350"/>
      <c r="EI104" s="1350"/>
      <c r="EJ104" s="1350"/>
      <c r="EK104" s="1350"/>
      <c r="EL104" s="1350"/>
      <c r="EM104" s="1350"/>
      <c r="EN104" s="1350"/>
      <c r="EO104" s="1350"/>
      <c r="EP104" s="1350"/>
      <c r="EQ104" s="1350"/>
      <c r="ER104" s="1350"/>
      <c r="ES104" s="1350"/>
      <c r="ET104" s="1350"/>
      <c r="EU104" s="1350"/>
      <c r="EV104" s="1350"/>
      <c r="EW104" s="1350"/>
      <c r="EX104" s="1350"/>
      <c r="EY104" s="1350"/>
      <c r="EZ104" s="1350"/>
      <c r="FA104" s="1350"/>
      <c r="FB104" s="1350"/>
      <c r="FC104" s="1350"/>
      <c r="FD104" s="1350"/>
      <c r="FE104" s="1350"/>
      <c r="FF104" s="1350"/>
      <c r="FG104" s="1350"/>
      <c r="FH104" s="1350"/>
      <c r="FI104" s="1350"/>
      <c r="FJ104" s="1350"/>
      <c r="FK104" s="1350"/>
      <c r="FL104" s="1350"/>
      <c r="FM104" s="1350"/>
      <c r="FN104" s="1350"/>
      <c r="FO104" s="1350"/>
      <c r="FP104" s="1350"/>
      <c r="FQ104" s="1350"/>
      <c r="FR104" s="1350"/>
      <c r="FS104" s="1350"/>
      <c r="FT104" s="1350"/>
      <c r="FU104" s="1350"/>
      <c r="FV104" s="1350"/>
      <c r="FW104" s="1350"/>
      <c r="FX104" s="1350"/>
      <c r="FY104" s="1350"/>
      <c r="FZ104" s="1350"/>
      <c r="GA104" s="1350"/>
      <c r="GB104" s="1350"/>
      <c r="GC104" s="1350"/>
    </row>
    <row r="105" spans="1:185">
      <c r="A105" s="1296"/>
      <c r="B105" s="1911" t="s">
        <v>15</v>
      </c>
      <c r="C105" s="1894" t="s">
        <v>15</v>
      </c>
      <c r="D105" s="1894" t="str">
        <f>B105&amp;C105</f>
        <v>&lt; sélectionner &gt;&lt; sélectionner &gt;</v>
      </c>
      <c r="E105" s="1094"/>
      <c r="F105" s="1090"/>
      <c r="G105" s="1907">
        <f>F115</f>
        <v>0</v>
      </c>
      <c r="H105" s="1092"/>
      <c r="I105" s="1092"/>
      <c r="J105" s="1094"/>
      <c r="K105" s="1192"/>
      <c r="L105" s="1296"/>
      <c r="M105" s="1073"/>
      <c r="N105" s="1073"/>
      <c r="O105" s="1073"/>
      <c r="P105" s="1073"/>
      <c r="Q105" s="1073"/>
      <c r="R105" s="1073"/>
      <c r="S105" s="1073"/>
      <c r="T105" s="1073"/>
      <c r="U105" s="1073"/>
    </row>
    <row r="106" spans="1:185">
      <c r="A106" s="1296"/>
      <c r="B106" s="1911"/>
      <c r="C106" s="1895"/>
      <c r="D106" s="1895"/>
      <c r="E106" s="1095"/>
      <c r="F106" s="1090"/>
      <c r="G106" s="1908"/>
      <c r="H106" s="1092"/>
      <c r="I106" s="1092"/>
      <c r="J106" s="1094"/>
      <c r="K106" s="1192"/>
      <c r="L106" s="1296"/>
      <c r="M106" s="1073"/>
      <c r="N106" s="1073"/>
      <c r="O106" s="1073"/>
      <c r="P106" s="1073"/>
      <c r="Q106" s="1073"/>
      <c r="R106" s="1073"/>
      <c r="S106" s="1073"/>
      <c r="T106" s="1073"/>
      <c r="U106" s="1073"/>
    </row>
    <row r="107" spans="1:185">
      <c r="A107" s="1296"/>
      <c r="B107" s="1911"/>
      <c r="C107" s="1895"/>
      <c r="D107" s="1895"/>
      <c r="E107" s="1095"/>
      <c r="F107" s="1090"/>
      <c r="G107" s="1908"/>
      <c r="H107" s="1092"/>
      <c r="I107" s="1092"/>
      <c r="J107" s="1094"/>
      <c r="K107" s="1192"/>
      <c r="L107" s="1296"/>
      <c r="M107" s="1073"/>
      <c r="N107" s="1073"/>
      <c r="O107" s="1073"/>
      <c r="P107" s="1073"/>
      <c r="Q107" s="1073"/>
      <c r="R107" s="1073"/>
      <c r="S107" s="1073"/>
      <c r="T107" s="1073"/>
      <c r="U107" s="1073"/>
    </row>
    <row r="108" spans="1:185">
      <c r="A108" s="1296"/>
      <c r="B108" s="1911"/>
      <c r="C108" s="1895"/>
      <c r="D108" s="1895"/>
      <c r="E108" s="1095"/>
      <c r="F108" s="1090"/>
      <c r="G108" s="1908"/>
      <c r="H108" s="1092"/>
      <c r="I108" s="1092"/>
      <c r="J108" s="1094"/>
      <c r="K108" s="1192"/>
      <c r="L108" s="1296"/>
      <c r="M108" s="1073"/>
      <c r="N108" s="1073"/>
      <c r="O108" s="1073"/>
      <c r="P108" s="1073"/>
      <c r="Q108" s="1073"/>
      <c r="R108" s="1073"/>
      <c r="S108" s="1073"/>
      <c r="T108" s="1073"/>
      <c r="U108" s="1073"/>
    </row>
    <row r="109" spans="1:185">
      <c r="A109" s="1296"/>
      <c r="B109" s="1911"/>
      <c r="C109" s="1895"/>
      <c r="D109" s="1895"/>
      <c r="E109" s="1095"/>
      <c r="F109" s="1090"/>
      <c r="G109" s="1908"/>
      <c r="H109" s="1092"/>
      <c r="I109" s="1092"/>
      <c r="J109" s="1094"/>
      <c r="K109" s="1192"/>
      <c r="L109" s="1296"/>
      <c r="M109" s="1073"/>
      <c r="N109" s="1073"/>
      <c r="O109" s="1073"/>
      <c r="P109" s="1073"/>
      <c r="Q109" s="1073"/>
      <c r="R109" s="1073"/>
      <c r="S109" s="1073"/>
      <c r="T109" s="1073"/>
      <c r="U109" s="1073"/>
    </row>
    <row r="110" spans="1:185">
      <c r="A110" s="1296"/>
      <c r="B110" s="1911"/>
      <c r="C110" s="1895"/>
      <c r="D110" s="1895"/>
      <c r="E110" s="1095"/>
      <c r="F110" s="1090"/>
      <c r="G110" s="1908"/>
      <c r="H110" s="1092"/>
      <c r="I110" s="1092"/>
      <c r="J110" s="1094"/>
      <c r="K110" s="1192"/>
      <c r="L110" s="1296"/>
      <c r="M110" s="1073"/>
      <c r="N110" s="1073"/>
      <c r="O110" s="1073"/>
      <c r="P110" s="1073"/>
      <c r="Q110" s="1073"/>
      <c r="R110" s="1073"/>
      <c r="S110" s="1073"/>
      <c r="T110" s="1073"/>
      <c r="U110" s="1073"/>
    </row>
    <row r="111" spans="1:185">
      <c r="A111" s="1296"/>
      <c r="B111" s="1911"/>
      <c r="C111" s="1895"/>
      <c r="D111" s="1895"/>
      <c r="E111" s="1095"/>
      <c r="F111" s="1090"/>
      <c r="G111" s="1908"/>
      <c r="H111" s="1092"/>
      <c r="I111" s="1092"/>
      <c r="J111" s="1094"/>
      <c r="K111" s="1192"/>
      <c r="L111" s="1296"/>
      <c r="M111" s="1073"/>
      <c r="N111" s="1073"/>
      <c r="O111" s="1073"/>
      <c r="P111" s="1073"/>
      <c r="Q111" s="1073"/>
      <c r="R111" s="1073"/>
      <c r="S111" s="1073"/>
      <c r="T111" s="1073"/>
      <c r="U111" s="1073"/>
    </row>
    <row r="112" spans="1:185">
      <c r="A112" s="1296"/>
      <c r="B112" s="1911"/>
      <c r="C112" s="1895"/>
      <c r="D112" s="1895"/>
      <c r="E112" s="1095"/>
      <c r="F112" s="1090"/>
      <c r="G112" s="1908"/>
      <c r="H112" s="1092"/>
      <c r="I112" s="1092"/>
      <c r="J112" s="1094"/>
      <c r="K112" s="1192"/>
      <c r="L112" s="1296"/>
      <c r="M112" s="1073"/>
      <c r="N112" s="1073"/>
      <c r="O112" s="1073"/>
      <c r="P112" s="1073"/>
      <c r="Q112" s="1073"/>
      <c r="R112" s="1073"/>
      <c r="S112" s="1073"/>
      <c r="T112" s="1073"/>
      <c r="U112" s="1073"/>
    </row>
    <row r="113" spans="1:185">
      <c r="A113" s="1296"/>
      <c r="B113" s="1911"/>
      <c r="C113" s="1895"/>
      <c r="D113" s="1895"/>
      <c r="E113" s="1095"/>
      <c r="F113" s="1090"/>
      <c r="G113" s="1908"/>
      <c r="H113" s="1092"/>
      <c r="I113" s="1092"/>
      <c r="J113" s="1094"/>
      <c r="K113" s="1192"/>
      <c r="L113" s="1296"/>
      <c r="M113" s="1073"/>
      <c r="N113" s="1073"/>
      <c r="O113" s="1073"/>
      <c r="P113" s="1073"/>
      <c r="Q113" s="1073"/>
      <c r="R113" s="1073"/>
      <c r="S113" s="1073"/>
      <c r="T113" s="1073"/>
      <c r="U113" s="1073"/>
    </row>
    <row r="114" spans="1:185">
      <c r="A114" s="1296"/>
      <c r="B114" s="1911"/>
      <c r="C114" s="1896"/>
      <c r="D114" s="1896"/>
      <c r="E114" s="1095"/>
      <c r="F114" s="1090"/>
      <c r="G114" s="1909"/>
      <c r="H114" s="1092"/>
      <c r="I114" s="1092"/>
      <c r="J114" s="1094"/>
      <c r="K114" s="1192"/>
      <c r="L114" s="1296"/>
      <c r="M114" s="1073"/>
      <c r="N114" s="1073"/>
      <c r="O114" s="1073"/>
      <c r="P114" s="1073"/>
      <c r="Q114" s="1073"/>
      <c r="R114" s="1073"/>
      <c r="S114" s="1073"/>
      <c r="T114" s="1073"/>
      <c r="U114" s="1073"/>
    </row>
    <row r="115" spans="1:185" s="1351" customFormat="1" ht="15">
      <c r="A115" s="1349"/>
      <c r="B115" s="1352" t="s">
        <v>1684</v>
      </c>
      <c r="C115" s="1353"/>
      <c r="D115" s="1353"/>
      <c r="E115" s="1345"/>
      <c r="F115" s="1343">
        <f>SUM(F105:F114)</f>
        <v>0</v>
      </c>
      <c r="G115" s="1343"/>
      <c r="H115" s="1344"/>
      <c r="I115" s="1344"/>
      <c r="J115" s="1354"/>
      <c r="K115" s="1355"/>
      <c r="L115" s="1349"/>
      <c r="M115" s="1075"/>
      <c r="N115" s="1075"/>
      <c r="O115" s="1075"/>
      <c r="P115" s="1075"/>
      <c r="Q115" s="1075"/>
      <c r="R115" s="1075"/>
      <c r="S115" s="1075"/>
      <c r="T115" s="1075"/>
      <c r="U115" s="1075"/>
      <c r="V115" s="1350"/>
      <c r="W115" s="1350"/>
      <c r="X115" s="1350"/>
      <c r="Y115" s="1350"/>
      <c r="Z115" s="1350"/>
      <c r="AA115" s="1350"/>
      <c r="AB115" s="1350"/>
      <c r="AC115" s="1350"/>
      <c r="AD115" s="1350"/>
      <c r="AE115" s="1350"/>
      <c r="AF115" s="1350"/>
      <c r="AG115" s="1350"/>
      <c r="AH115" s="1350"/>
      <c r="AI115" s="1350"/>
      <c r="AJ115" s="1350"/>
      <c r="AK115" s="1350"/>
      <c r="AL115" s="1350"/>
      <c r="AM115" s="1350"/>
      <c r="AN115" s="1350"/>
      <c r="AO115" s="1350"/>
      <c r="AP115" s="1350"/>
      <c r="AQ115" s="1350"/>
      <c r="AR115" s="1350"/>
      <c r="AS115" s="1350"/>
      <c r="AT115" s="1350"/>
      <c r="AU115" s="1350"/>
      <c r="AV115" s="1350"/>
      <c r="AW115" s="1350"/>
      <c r="AX115" s="1350"/>
      <c r="AY115" s="1350"/>
      <c r="AZ115" s="1350"/>
      <c r="BA115" s="1350"/>
      <c r="BB115" s="1350"/>
      <c r="BC115" s="1350"/>
      <c r="BD115" s="1350"/>
      <c r="BE115" s="1350"/>
      <c r="BF115" s="1350"/>
      <c r="BG115" s="1350"/>
      <c r="BH115" s="1350"/>
      <c r="BI115" s="1350"/>
      <c r="BJ115" s="1350"/>
      <c r="BK115" s="1350"/>
      <c r="BL115" s="1350"/>
      <c r="BM115" s="1350"/>
      <c r="BN115" s="1350"/>
      <c r="BO115" s="1350"/>
      <c r="BP115" s="1350"/>
      <c r="BQ115" s="1350"/>
      <c r="BR115" s="1350"/>
      <c r="BS115" s="1350"/>
      <c r="BT115" s="1350"/>
      <c r="BU115" s="1350"/>
      <c r="BV115" s="1350"/>
      <c r="BW115" s="1350"/>
      <c r="BX115" s="1350"/>
      <c r="BY115" s="1350"/>
      <c r="BZ115" s="1350"/>
      <c r="CA115" s="1350"/>
      <c r="CB115" s="1350"/>
      <c r="CC115" s="1350"/>
      <c r="CD115" s="1350"/>
      <c r="CE115" s="1350"/>
      <c r="CF115" s="1350"/>
      <c r="CG115" s="1350"/>
      <c r="CH115" s="1350"/>
      <c r="CI115" s="1350"/>
      <c r="CJ115" s="1350"/>
      <c r="CK115" s="1350"/>
      <c r="CL115" s="1350"/>
      <c r="CM115" s="1350"/>
      <c r="CN115" s="1350"/>
      <c r="CO115" s="1350"/>
      <c r="CP115" s="1350"/>
      <c r="CQ115" s="1350"/>
      <c r="CR115" s="1350"/>
      <c r="CS115" s="1350"/>
      <c r="CT115" s="1350"/>
      <c r="CU115" s="1350"/>
      <c r="CV115" s="1350"/>
      <c r="CW115" s="1350"/>
      <c r="CX115" s="1350"/>
      <c r="CY115" s="1350"/>
      <c r="CZ115" s="1350"/>
      <c r="DA115" s="1350"/>
      <c r="DB115" s="1350"/>
      <c r="DC115" s="1350"/>
      <c r="DD115" s="1350"/>
      <c r="DE115" s="1350"/>
      <c r="DF115" s="1350"/>
      <c r="DG115" s="1350"/>
      <c r="DH115" s="1350"/>
      <c r="DI115" s="1350"/>
      <c r="DJ115" s="1350"/>
      <c r="DK115" s="1350"/>
      <c r="DL115" s="1350"/>
      <c r="DM115" s="1350"/>
      <c r="DN115" s="1350"/>
      <c r="DO115" s="1350"/>
      <c r="DP115" s="1350"/>
      <c r="DQ115" s="1350"/>
      <c r="DR115" s="1350"/>
      <c r="DS115" s="1350"/>
      <c r="DT115" s="1350"/>
      <c r="DU115" s="1350"/>
      <c r="DV115" s="1350"/>
      <c r="DW115" s="1350"/>
      <c r="DX115" s="1350"/>
      <c r="DY115" s="1350"/>
      <c r="DZ115" s="1350"/>
      <c r="EA115" s="1350"/>
      <c r="EB115" s="1350"/>
      <c r="EC115" s="1350"/>
      <c r="ED115" s="1350"/>
      <c r="EE115" s="1350"/>
      <c r="EF115" s="1350"/>
      <c r="EG115" s="1350"/>
      <c r="EH115" s="1350"/>
      <c r="EI115" s="1350"/>
      <c r="EJ115" s="1350"/>
      <c r="EK115" s="1350"/>
      <c r="EL115" s="1350"/>
      <c r="EM115" s="1350"/>
      <c r="EN115" s="1350"/>
      <c r="EO115" s="1350"/>
      <c r="EP115" s="1350"/>
      <c r="EQ115" s="1350"/>
      <c r="ER115" s="1350"/>
      <c r="ES115" s="1350"/>
      <c r="ET115" s="1350"/>
      <c r="EU115" s="1350"/>
      <c r="EV115" s="1350"/>
      <c r="EW115" s="1350"/>
      <c r="EX115" s="1350"/>
      <c r="EY115" s="1350"/>
      <c r="EZ115" s="1350"/>
      <c r="FA115" s="1350"/>
      <c r="FB115" s="1350"/>
      <c r="FC115" s="1350"/>
      <c r="FD115" s="1350"/>
      <c r="FE115" s="1350"/>
      <c r="FF115" s="1350"/>
      <c r="FG115" s="1350"/>
      <c r="FH115" s="1350"/>
      <c r="FI115" s="1350"/>
      <c r="FJ115" s="1350"/>
      <c r="FK115" s="1350"/>
      <c r="FL115" s="1350"/>
      <c r="FM115" s="1350"/>
      <c r="FN115" s="1350"/>
      <c r="FO115" s="1350"/>
      <c r="FP115" s="1350"/>
      <c r="FQ115" s="1350"/>
      <c r="FR115" s="1350"/>
      <c r="FS115" s="1350"/>
      <c r="FT115" s="1350"/>
      <c r="FU115" s="1350"/>
      <c r="FV115" s="1350"/>
      <c r="FW115" s="1350"/>
      <c r="FX115" s="1350"/>
      <c r="FY115" s="1350"/>
      <c r="FZ115" s="1350"/>
      <c r="GA115" s="1350"/>
      <c r="GB115" s="1350"/>
      <c r="GC115" s="1350"/>
    </row>
    <row r="116" spans="1:185">
      <c r="A116" s="1296"/>
      <c r="B116" s="1911" t="s">
        <v>15</v>
      </c>
      <c r="C116" s="1894" t="s">
        <v>15</v>
      </c>
      <c r="D116" s="1894" t="str">
        <f>B116&amp;C116</f>
        <v>&lt; sélectionner &gt;&lt; sélectionner &gt;</v>
      </c>
      <c r="E116" s="1094"/>
      <c r="F116" s="1090"/>
      <c r="G116" s="1907">
        <f>F126</f>
        <v>0</v>
      </c>
      <c r="H116" s="1092"/>
      <c r="I116" s="1092"/>
      <c r="J116" s="1094"/>
      <c r="K116" s="1192"/>
      <c r="L116" s="1296"/>
      <c r="M116" s="1073"/>
      <c r="N116" s="1073"/>
      <c r="O116" s="1073"/>
      <c r="P116" s="1073"/>
      <c r="Q116" s="1073"/>
      <c r="R116" s="1073"/>
      <c r="S116" s="1073"/>
      <c r="T116" s="1073"/>
      <c r="U116" s="1073"/>
    </row>
    <row r="117" spans="1:185" ht="15" customHeight="1">
      <c r="A117" s="1296"/>
      <c r="B117" s="1911"/>
      <c r="C117" s="1895"/>
      <c r="D117" s="1895"/>
      <c r="E117" s="1095"/>
      <c r="F117" s="1090"/>
      <c r="G117" s="1908"/>
      <c r="H117" s="1092"/>
      <c r="I117" s="1092"/>
      <c r="J117" s="1094"/>
      <c r="K117" s="1192"/>
      <c r="L117" s="1296"/>
      <c r="M117" s="1073"/>
      <c r="N117" s="1073"/>
      <c r="O117" s="1073"/>
      <c r="P117" s="1073"/>
      <c r="Q117" s="1073"/>
      <c r="R117" s="1073"/>
      <c r="S117" s="1073"/>
      <c r="T117" s="1073"/>
      <c r="U117" s="1073"/>
    </row>
    <row r="118" spans="1:185" ht="15" customHeight="1">
      <c r="A118" s="1296"/>
      <c r="B118" s="1911"/>
      <c r="C118" s="1895"/>
      <c r="D118" s="1895"/>
      <c r="E118" s="1095"/>
      <c r="F118" s="1090"/>
      <c r="G118" s="1908"/>
      <c r="H118" s="1092"/>
      <c r="I118" s="1092"/>
      <c r="J118" s="1094"/>
      <c r="K118" s="1192"/>
      <c r="L118" s="1296"/>
      <c r="M118" s="1073"/>
      <c r="N118" s="1073"/>
      <c r="O118" s="1073"/>
      <c r="P118" s="1073"/>
      <c r="Q118" s="1073"/>
      <c r="R118" s="1073"/>
      <c r="S118" s="1073"/>
      <c r="T118" s="1073"/>
      <c r="U118" s="1073"/>
    </row>
    <row r="119" spans="1:185" ht="15" customHeight="1">
      <c r="A119" s="1296"/>
      <c r="B119" s="1911"/>
      <c r="C119" s="1895"/>
      <c r="D119" s="1895"/>
      <c r="E119" s="1095"/>
      <c r="F119" s="1090"/>
      <c r="G119" s="1908"/>
      <c r="H119" s="1092"/>
      <c r="I119" s="1092"/>
      <c r="J119" s="1094"/>
      <c r="K119" s="1192"/>
      <c r="L119" s="1296"/>
      <c r="M119" s="1073"/>
      <c r="N119" s="1073"/>
      <c r="O119" s="1073"/>
      <c r="P119" s="1073"/>
      <c r="Q119" s="1073"/>
      <c r="R119" s="1073"/>
      <c r="S119" s="1073"/>
      <c r="T119" s="1073"/>
      <c r="U119" s="1073"/>
    </row>
    <row r="120" spans="1:185" ht="15" customHeight="1">
      <c r="A120" s="1296"/>
      <c r="B120" s="1911"/>
      <c r="C120" s="1895"/>
      <c r="D120" s="1895"/>
      <c r="E120" s="1095"/>
      <c r="F120" s="1090"/>
      <c r="G120" s="1908"/>
      <c r="H120" s="1092"/>
      <c r="I120" s="1092"/>
      <c r="J120" s="1094"/>
      <c r="K120" s="1192"/>
      <c r="L120" s="1296"/>
      <c r="M120" s="1073"/>
      <c r="N120" s="1073"/>
      <c r="O120" s="1073"/>
      <c r="P120" s="1073"/>
      <c r="Q120" s="1073"/>
      <c r="R120" s="1073"/>
      <c r="S120" s="1073"/>
      <c r="T120" s="1073"/>
      <c r="U120" s="1073"/>
    </row>
    <row r="121" spans="1:185" ht="15" customHeight="1">
      <c r="A121" s="1296"/>
      <c r="B121" s="1911"/>
      <c r="C121" s="1895"/>
      <c r="D121" s="1895"/>
      <c r="E121" s="1095"/>
      <c r="F121" s="1090"/>
      <c r="G121" s="1908"/>
      <c r="H121" s="1092"/>
      <c r="I121" s="1092"/>
      <c r="J121" s="1094"/>
      <c r="K121" s="1192"/>
      <c r="L121" s="1296"/>
      <c r="M121" s="1073"/>
      <c r="N121" s="1073"/>
      <c r="O121" s="1073"/>
      <c r="P121" s="1073"/>
      <c r="Q121" s="1073"/>
      <c r="R121" s="1073"/>
      <c r="S121" s="1073"/>
      <c r="T121" s="1073"/>
      <c r="U121" s="1073"/>
    </row>
    <row r="122" spans="1:185" ht="15" customHeight="1">
      <c r="A122" s="1296"/>
      <c r="B122" s="1911"/>
      <c r="C122" s="1895"/>
      <c r="D122" s="1895"/>
      <c r="E122" s="1095"/>
      <c r="F122" s="1090"/>
      <c r="G122" s="1908"/>
      <c r="H122" s="1092"/>
      <c r="I122" s="1092"/>
      <c r="J122" s="1094"/>
      <c r="K122" s="1192"/>
      <c r="L122" s="1296"/>
      <c r="M122" s="1073"/>
      <c r="N122" s="1073"/>
      <c r="O122" s="1073"/>
      <c r="P122" s="1073"/>
      <c r="Q122" s="1073"/>
      <c r="R122" s="1073"/>
      <c r="S122" s="1073"/>
      <c r="T122" s="1073"/>
      <c r="U122" s="1073"/>
    </row>
    <row r="123" spans="1:185" ht="15" customHeight="1">
      <c r="A123" s="1296"/>
      <c r="B123" s="1911"/>
      <c r="C123" s="1895"/>
      <c r="D123" s="1895"/>
      <c r="E123" s="1095"/>
      <c r="F123" s="1090"/>
      <c r="G123" s="1908"/>
      <c r="H123" s="1092"/>
      <c r="I123" s="1092"/>
      <c r="J123" s="1094"/>
      <c r="K123" s="1192"/>
      <c r="L123" s="1296"/>
      <c r="M123" s="1073"/>
      <c r="N123" s="1073"/>
      <c r="O123" s="1073"/>
      <c r="P123" s="1073"/>
      <c r="Q123" s="1073"/>
      <c r="R123" s="1073"/>
      <c r="S123" s="1073"/>
      <c r="T123" s="1073"/>
      <c r="U123" s="1073"/>
    </row>
    <row r="124" spans="1:185" ht="15" customHeight="1">
      <c r="A124" s="1296"/>
      <c r="B124" s="1911"/>
      <c r="C124" s="1895"/>
      <c r="D124" s="1895"/>
      <c r="E124" s="1095"/>
      <c r="F124" s="1090"/>
      <c r="G124" s="1908"/>
      <c r="H124" s="1092"/>
      <c r="I124" s="1092"/>
      <c r="J124" s="1094"/>
      <c r="K124" s="1192"/>
      <c r="L124" s="1296"/>
      <c r="M124" s="1073"/>
      <c r="N124" s="1073"/>
      <c r="O124" s="1073"/>
      <c r="P124" s="1073"/>
      <c r="Q124" s="1073"/>
      <c r="R124" s="1073"/>
      <c r="S124" s="1073"/>
      <c r="T124" s="1073"/>
      <c r="U124" s="1073"/>
    </row>
    <row r="125" spans="1:185" ht="15.75" customHeight="1" thickBot="1">
      <c r="A125" s="1296"/>
      <c r="B125" s="1911"/>
      <c r="C125" s="1896"/>
      <c r="D125" s="1896"/>
      <c r="E125" s="1096"/>
      <c r="F125" s="1091"/>
      <c r="G125" s="1910"/>
      <c r="H125" s="1093"/>
      <c r="I125" s="1093"/>
      <c r="J125" s="1193"/>
      <c r="K125" s="1194"/>
      <c r="L125" s="1296"/>
      <c r="M125" s="1073"/>
      <c r="N125" s="1073"/>
      <c r="O125" s="1073"/>
      <c r="P125" s="1073"/>
      <c r="Q125" s="1073"/>
      <c r="R125" s="1073"/>
      <c r="S125" s="1073"/>
      <c r="T125" s="1073"/>
      <c r="U125" s="1073"/>
    </row>
    <row r="126" spans="1:185" s="1351" customFormat="1" ht="15.75" thickBot="1">
      <c r="A126" s="1349"/>
      <c r="B126" s="1356" t="s">
        <v>1684</v>
      </c>
      <c r="C126" s="1357"/>
      <c r="D126" s="1357"/>
      <c r="E126" s="1358"/>
      <c r="F126" s="1359">
        <f>SUM(F116:F125)</f>
        <v>0</v>
      </c>
      <c r="G126" s="1360"/>
      <c r="H126" s="1360"/>
      <c r="I126" s="1360"/>
      <c r="J126" s="1361"/>
      <c r="K126" s="1362"/>
      <c r="L126" s="1349"/>
      <c r="M126" s="1075"/>
      <c r="N126" s="1075"/>
      <c r="O126" s="1075"/>
      <c r="P126" s="1075"/>
      <c r="Q126" s="1075"/>
      <c r="R126" s="1075"/>
      <c r="S126" s="1075"/>
      <c r="T126" s="1075"/>
      <c r="U126" s="1075"/>
      <c r="V126" s="1350"/>
      <c r="W126" s="1350"/>
      <c r="X126" s="1350"/>
      <c r="Y126" s="1350"/>
      <c r="Z126" s="1350"/>
      <c r="AA126" s="1350"/>
      <c r="AB126" s="1350"/>
      <c r="AC126" s="1350"/>
      <c r="AD126" s="1350"/>
      <c r="AE126" s="1350"/>
      <c r="AF126" s="1350"/>
      <c r="AG126" s="1350"/>
      <c r="AH126" s="1350"/>
      <c r="AI126" s="1350"/>
      <c r="AJ126" s="1350"/>
      <c r="AK126" s="1350"/>
      <c r="AL126" s="1350"/>
      <c r="AM126" s="1350"/>
      <c r="AN126" s="1350"/>
      <c r="AO126" s="1350"/>
      <c r="AP126" s="1350"/>
      <c r="AQ126" s="1350"/>
      <c r="AR126" s="1350"/>
      <c r="AS126" s="1350"/>
      <c r="AT126" s="1350"/>
      <c r="AU126" s="1350"/>
      <c r="AV126" s="1350"/>
      <c r="AW126" s="1350"/>
      <c r="AX126" s="1350"/>
      <c r="AY126" s="1350"/>
      <c r="AZ126" s="1350"/>
      <c r="BA126" s="1350"/>
      <c r="BB126" s="1350"/>
      <c r="BC126" s="1350"/>
      <c r="BD126" s="1350"/>
      <c r="BE126" s="1350"/>
      <c r="BF126" s="1350"/>
      <c r="BG126" s="1350"/>
      <c r="BH126" s="1350"/>
      <c r="BI126" s="1350"/>
      <c r="BJ126" s="1350"/>
      <c r="BK126" s="1350"/>
      <c r="BL126" s="1350"/>
      <c r="BM126" s="1350"/>
      <c r="BN126" s="1350"/>
      <c r="BO126" s="1350"/>
      <c r="BP126" s="1350"/>
      <c r="BQ126" s="1350"/>
      <c r="BR126" s="1350"/>
      <c r="BS126" s="1350"/>
      <c r="BT126" s="1350"/>
      <c r="BU126" s="1350"/>
      <c r="BV126" s="1350"/>
      <c r="BW126" s="1350"/>
      <c r="BX126" s="1350"/>
      <c r="BY126" s="1350"/>
      <c r="BZ126" s="1350"/>
      <c r="CA126" s="1350"/>
      <c r="CB126" s="1350"/>
      <c r="CC126" s="1350"/>
      <c r="CD126" s="1350"/>
      <c r="CE126" s="1350"/>
      <c r="CF126" s="1350"/>
      <c r="CG126" s="1350"/>
      <c r="CH126" s="1350"/>
      <c r="CI126" s="1350"/>
      <c r="CJ126" s="1350"/>
      <c r="CK126" s="1350"/>
      <c r="CL126" s="1350"/>
      <c r="CM126" s="1350"/>
      <c r="CN126" s="1350"/>
      <c r="CO126" s="1350"/>
      <c r="CP126" s="1350"/>
      <c r="CQ126" s="1350"/>
      <c r="CR126" s="1350"/>
      <c r="CS126" s="1350"/>
      <c r="CT126" s="1350"/>
      <c r="CU126" s="1350"/>
      <c r="CV126" s="1350"/>
      <c r="CW126" s="1350"/>
      <c r="CX126" s="1350"/>
      <c r="CY126" s="1350"/>
      <c r="CZ126" s="1350"/>
      <c r="DA126" s="1350"/>
      <c r="DB126" s="1350"/>
      <c r="DC126" s="1350"/>
      <c r="DD126" s="1350"/>
      <c r="DE126" s="1350"/>
      <c r="DF126" s="1350"/>
      <c r="DG126" s="1350"/>
      <c r="DH126" s="1350"/>
      <c r="DI126" s="1350"/>
      <c r="DJ126" s="1350"/>
      <c r="DK126" s="1350"/>
      <c r="DL126" s="1350"/>
      <c r="DM126" s="1350"/>
      <c r="DN126" s="1350"/>
      <c r="DO126" s="1350"/>
      <c r="DP126" s="1350"/>
      <c r="DQ126" s="1350"/>
      <c r="DR126" s="1350"/>
      <c r="DS126" s="1350"/>
      <c r="DT126" s="1350"/>
      <c r="DU126" s="1350"/>
      <c r="DV126" s="1350"/>
      <c r="DW126" s="1350"/>
      <c r="DX126" s="1350"/>
      <c r="DY126" s="1350"/>
      <c r="DZ126" s="1350"/>
      <c r="EA126" s="1350"/>
      <c r="EB126" s="1350"/>
      <c r="EC126" s="1350"/>
      <c r="ED126" s="1350"/>
      <c r="EE126" s="1350"/>
      <c r="EF126" s="1350"/>
      <c r="EG126" s="1350"/>
      <c r="EH126" s="1350"/>
      <c r="EI126" s="1350"/>
      <c r="EJ126" s="1350"/>
      <c r="EK126" s="1350"/>
      <c r="EL126" s="1350"/>
      <c r="EM126" s="1350"/>
      <c r="EN126" s="1350"/>
      <c r="EO126" s="1350"/>
      <c r="EP126" s="1350"/>
      <c r="EQ126" s="1350"/>
      <c r="ER126" s="1350"/>
      <c r="ES126" s="1350"/>
      <c r="ET126" s="1350"/>
      <c r="EU126" s="1350"/>
      <c r="EV126" s="1350"/>
      <c r="EW126" s="1350"/>
      <c r="EX126" s="1350"/>
      <c r="EY126" s="1350"/>
      <c r="EZ126" s="1350"/>
      <c r="FA126" s="1350"/>
      <c r="FB126" s="1350"/>
      <c r="FC126" s="1350"/>
      <c r="FD126" s="1350"/>
      <c r="FE126" s="1350"/>
      <c r="FF126" s="1350"/>
      <c r="FG126" s="1350"/>
      <c r="FH126" s="1350"/>
      <c r="FI126" s="1350"/>
      <c r="FJ126" s="1350"/>
      <c r="FK126" s="1350"/>
      <c r="FL126" s="1350"/>
      <c r="FM126" s="1350"/>
      <c r="FN126" s="1350"/>
      <c r="FO126" s="1350"/>
      <c r="FP126" s="1350"/>
      <c r="FQ126" s="1350"/>
      <c r="FR126" s="1350"/>
      <c r="FS126" s="1350"/>
      <c r="FT126" s="1350"/>
      <c r="FU126" s="1350"/>
      <c r="FV126" s="1350"/>
      <c r="FW126" s="1350"/>
      <c r="FX126" s="1350"/>
      <c r="FY126" s="1350"/>
      <c r="FZ126" s="1350"/>
      <c r="GA126" s="1350"/>
      <c r="GB126" s="1350"/>
      <c r="GC126" s="1350"/>
    </row>
    <row r="127" spans="1:185" ht="15" thickBot="1">
      <c r="A127" s="1296"/>
      <c r="B127" s="1363" t="s">
        <v>1685</v>
      </c>
      <c r="C127" s="1364"/>
      <c r="D127" s="1364"/>
      <c r="E127" s="1365"/>
      <c r="F127" s="1366">
        <f>SUM(F16+F27+F38+F49+F60+F71+F82+F93+F104+F115+F126)</f>
        <v>0</v>
      </c>
      <c r="G127" s="1366"/>
      <c r="H127" s="1367"/>
      <c r="I127" s="1367"/>
      <c r="J127" s="1368"/>
      <c r="K127" s="1369"/>
      <c r="L127" s="1296"/>
      <c r="M127" s="1073"/>
      <c r="N127" s="1073"/>
      <c r="O127" s="1073"/>
      <c r="P127" s="1073"/>
      <c r="Q127" s="1073"/>
      <c r="R127" s="1073"/>
      <c r="S127" s="1073"/>
      <c r="T127" s="1073"/>
      <c r="U127" s="1073"/>
    </row>
    <row r="128" spans="1:185" ht="13.5" customHeight="1">
      <c r="A128" s="1296"/>
      <c r="B128" s="1296"/>
      <c r="C128" s="1296"/>
      <c r="D128" s="1296"/>
      <c r="E128" s="1296"/>
      <c r="F128" s="1296"/>
      <c r="G128" s="1296"/>
      <c r="H128" s="1296"/>
      <c r="I128" s="1296"/>
      <c r="J128" s="1296"/>
      <c r="K128" s="1296"/>
      <c r="L128" s="1296"/>
    </row>
    <row r="129" spans="1:185" ht="13.5" hidden="1" customHeight="1" outlineLevel="1">
      <c r="A129" s="1296"/>
      <c r="B129" s="1305" t="s">
        <v>1553</v>
      </c>
      <c r="C129" s="1305"/>
      <c r="D129" s="1305"/>
      <c r="E129" s="1296"/>
      <c r="F129" s="1296"/>
      <c r="G129" s="1296"/>
      <c r="H129" s="1296"/>
      <c r="I129" s="1296"/>
      <c r="J129" s="1296"/>
      <c r="K129" s="1296"/>
      <c r="L129" s="1296"/>
    </row>
    <row r="130" spans="1:185" s="1372" customFormat="1" ht="32.25" hidden="1" customHeight="1" outlineLevel="1">
      <c r="A130" s="1370"/>
      <c r="B130" s="1812" t="s">
        <v>1586</v>
      </c>
      <c r="C130" s="1813"/>
      <c r="D130" s="1305"/>
      <c r="E130" s="979" t="str">
        <f>'Menus déroulants'!C15</f>
        <v>MEÉ1 - Isolation thermique</v>
      </c>
      <c r="F130" s="979" t="str">
        <f>'Menus déroulants'!C16</f>
        <v>MEÉ2 - Micromodulation</v>
      </c>
      <c r="G130" s="1296"/>
      <c r="H130" s="979" t="str">
        <f>'Menus déroulants'!C17</f>
        <v>MEÉ3 - Sonde de O2</v>
      </c>
      <c r="I130" s="979" t="str">
        <f>'Menus déroulants'!C18</f>
        <v>MEÉ4 - Économiseur standard intégré</v>
      </c>
      <c r="J130" s="979" t="str">
        <f>'Menus déroulants'!C19</f>
        <v>MEÉ4 - Économiseur standard non intégré</v>
      </c>
      <c r="K130" s="979" t="str">
        <f>'Menus déroulants'!C20</f>
        <v>MEÉ4 - Économiseur à condensation non intégré</v>
      </c>
      <c r="L130" s="1370"/>
      <c r="M130" s="1371"/>
      <c r="N130" s="1371"/>
      <c r="O130" s="1371"/>
      <c r="P130" s="1371"/>
      <c r="Q130" s="1371"/>
      <c r="R130" s="1371"/>
      <c r="S130" s="1371"/>
      <c r="T130" s="1371"/>
      <c r="U130" s="1371"/>
      <c r="V130" s="1371"/>
      <c r="W130" s="1371"/>
      <c r="X130" s="1371"/>
      <c r="Y130" s="1371"/>
      <c r="Z130" s="1371"/>
      <c r="AA130" s="1371"/>
      <c r="AB130" s="1371"/>
      <c r="AC130" s="1371"/>
      <c r="AD130" s="1371"/>
      <c r="AE130" s="1371"/>
      <c r="AF130" s="1371"/>
      <c r="AG130" s="1371"/>
      <c r="AH130" s="1371"/>
      <c r="AI130" s="1371"/>
      <c r="AJ130" s="1371"/>
      <c r="AK130" s="1371"/>
      <c r="AL130" s="1371"/>
      <c r="AM130" s="1371"/>
      <c r="AN130" s="1371"/>
      <c r="AO130" s="1371"/>
      <c r="AP130" s="1371"/>
      <c r="AQ130" s="1371"/>
      <c r="AR130" s="1371"/>
      <c r="AS130" s="1371"/>
      <c r="AT130" s="1371"/>
      <c r="AU130" s="1371"/>
      <c r="AV130" s="1371"/>
      <c r="AW130" s="1371"/>
      <c r="AX130" s="1371"/>
      <c r="AY130" s="1371"/>
      <c r="AZ130" s="1371"/>
      <c r="BA130" s="1371"/>
      <c r="BB130" s="1371"/>
      <c r="BC130" s="1371"/>
      <c r="BD130" s="1371"/>
      <c r="BE130" s="1371"/>
      <c r="BF130" s="1371"/>
      <c r="BG130" s="1371"/>
      <c r="BH130" s="1371"/>
      <c r="BI130" s="1371"/>
      <c r="BJ130" s="1371"/>
      <c r="BK130" s="1371"/>
      <c r="BL130" s="1371"/>
      <c r="BM130" s="1371"/>
      <c r="BN130" s="1371"/>
      <c r="BO130" s="1371"/>
      <c r="BP130" s="1371"/>
      <c r="BQ130" s="1371"/>
      <c r="BR130" s="1371"/>
      <c r="BS130" s="1371"/>
      <c r="BT130" s="1371"/>
      <c r="BU130" s="1371"/>
      <c r="BV130" s="1371"/>
      <c r="BW130" s="1371"/>
      <c r="BX130" s="1371"/>
      <c r="BY130" s="1371"/>
      <c r="BZ130" s="1371"/>
      <c r="CA130" s="1371"/>
      <c r="CB130" s="1371"/>
      <c r="CC130" s="1371"/>
      <c r="CD130" s="1371"/>
      <c r="CE130" s="1371"/>
      <c r="CF130" s="1371"/>
      <c r="CG130" s="1371"/>
      <c r="CH130" s="1371"/>
      <c r="CI130" s="1371"/>
      <c r="CJ130" s="1371"/>
      <c r="CK130" s="1371"/>
      <c r="CL130" s="1371"/>
      <c r="CM130" s="1371"/>
      <c r="CN130" s="1371"/>
      <c r="CO130" s="1371"/>
      <c r="CP130" s="1371"/>
      <c r="CQ130" s="1371"/>
      <c r="CR130" s="1371"/>
      <c r="CS130" s="1371"/>
      <c r="CT130" s="1371"/>
      <c r="CU130" s="1371"/>
      <c r="CV130" s="1371"/>
      <c r="CW130" s="1371"/>
      <c r="CX130" s="1371"/>
      <c r="CY130" s="1371"/>
      <c r="CZ130" s="1371"/>
      <c r="DA130" s="1371"/>
      <c r="DB130" s="1371"/>
      <c r="DC130" s="1371"/>
      <c r="DD130" s="1371"/>
      <c r="DE130" s="1371"/>
      <c r="DF130" s="1371"/>
      <c r="DG130" s="1371"/>
      <c r="DH130" s="1371"/>
      <c r="DI130" s="1371"/>
      <c r="DJ130" s="1371"/>
      <c r="DK130" s="1371"/>
      <c r="DL130" s="1371"/>
      <c r="DM130" s="1371"/>
      <c r="DN130" s="1371"/>
      <c r="DO130" s="1371"/>
      <c r="DP130" s="1371"/>
      <c r="DQ130" s="1371"/>
      <c r="DR130" s="1371"/>
      <c r="DS130" s="1371"/>
      <c r="DT130" s="1371"/>
      <c r="DU130" s="1371"/>
      <c r="DV130" s="1371"/>
      <c r="DW130" s="1371"/>
      <c r="DX130" s="1371"/>
      <c r="DY130" s="1371"/>
      <c r="DZ130" s="1371"/>
      <c r="EA130" s="1371"/>
      <c r="EB130" s="1371"/>
      <c r="EC130" s="1371"/>
      <c r="ED130" s="1371"/>
      <c r="EE130" s="1371"/>
      <c r="EF130" s="1371"/>
      <c r="EG130" s="1371"/>
      <c r="EH130" s="1371"/>
      <c r="EI130" s="1371"/>
      <c r="EJ130" s="1371"/>
      <c r="EK130" s="1371"/>
      <c r="EL130" s="1371"/>
      <c r="EM130" s="1371"/>
      <c r="EN130" s="1371"/>
      <c r="EO130" s="1371"/>
      <c r="EP130" s="1371"/>
      <c r="EQ130" s="1371"/>
      <c r="ER130" s="1371"/>
      <c r="ES130" s="1371"/>
      <c r="ET130" s="1371"/>
      <c r="EU130" s="1371"/>
      <c r="EV130" s="1371"/>
      <c r="EW130" s="1371"/>
      <c r="EX130" s="1371"/>
      <c r="EY130" s="1371"/>
      <c r="EZ130" s="1371"/>
      <c r="FA130" s="1371"/>
      <c r="FB130" s="1371"/>
      <c r="FC130" s="1371"/>
      <c r="FD130" s="1371"/>
      <c r="FE130" s="1371"/>
      <c r="FF130" s="1371"/>
      <c r="FG130" s="1371"/>
      <c r="FH130" s="1371"/>
      <c r="FI130" s="1371"/>
      <c r="FJ130" s="1371"/>
      <c r="FK130" s="1371"/>
      <c r="FL130" s="1371"/>
      <c r="FM130" s="1371"/>
      <c r="FN130" s="1371"/>
      <c r="FO130" s="1371"/>
      <c r="FP130" s="1371"/>
      <c r="FQ130" s="1371"/>
      <c r="FR130" s="1371"/>
      <c r="FS130" s="1371"/>
      <c r="FT130" s="1371"/>
      <c r="FU130" s="1371"/>
      <c r="FV130" s="1371"/>
      <c r="FW130" s="1371"/>
      <c r="FX130" s="1371"/>
      <c r="FY130" s="1371"/>
      <c r="FZ130" s="1371"/>
      <c r="GA130" s="1371"/>
      <c r="GB130" s="1371"/>
      <c r="GC130" s="1371"/>
    </row>
    <row r="131" spans="1:185" ht="13.5" hidden="1" customHeight="1" outlineLevel="1">
      <c r="A131" s="1296"/>
      <c r="B131" s="1902">
        <v>1</v>
      </c>
      <c r="C131" s="1903"/>
      <c r="D131" s="1305"/>
      <c r="E131" s="1373">
        <f>IF($B$17=E130,$F$27,0)</f>
        <v>0</v>
      </c>
      <c r="F131" s="1373">
        <f>IF($B$17=F130,$F$27,0)</f>
        <v>0</v>
      </c>
      <c r="G131" s="1296"/>
      <c r="H131" s="1373">
        <f>IF($B$17=H130,$F$27,0)</f>
        <v>0</v>
      </c>
      <c r="I131" s="1373">
        <f>IF($B$17=I130,$F$27,0)</f>
        <v>0</v>
      </c>
      <c r="J131" s="1373">
        <f>IF($B$17=J130,$F$27,0)</f>
        <v>0</v>
      </c>
      <c r="K131" s="1373">
        <f>IF($B$17=K130,$F$27,0)</f>
        <v>0</v>
      </c>
      <c r="L131" s="1296"/>
    </row>
    <row r="132" spans="1:185" ht="13.5" hidden="1" customHeight="1" outlineLevel="1">
      <c r="A132" s="1296"/>
      <c r="B132" s="1902">
        <v>2</v>
      </c>
      <c r="C132" s="1903"/>
      <c r="D132" s="1305"/>
      <c r="E132" s="1373">
        <f t="shared" ref="E132:K132" si="0">IF($B$28=E130,$F$38,0)</f>
        <v>0</v>
      </c>
      <c r="F132" s="1373">
        <f t="shared" si="0"/>
        <v>0</v>
      </c>
      <c r="G132" s="1296"/>
      <c r="H132" s="1373">
        <f t="shared" si="0"/>
        <v>0</v>
      </c>
      <c r="I132" s="1373">
        <f>IF($B$28=I130,$F$38,0)</f>
        <v>0</v>
      </c>
      <c r="J132" s="1373">
        <f>IF($B$28=J130,$F$38,0)</f>
        <v>0</v>
      </c>
      <c r="K132" s="1373">
        <f t="shared" si="0"/>
        <v>0</v>
      </c>
      <c r="L132" s="1296"/>
    </row>
    <row r="133" spans="1:185" ht="13.5" hidden="1" customHeight="1" outlineLevel="1">
      <c r="A133" s="1296"/>
      <c r="B133" s="1902">
        <v>3</v>
      </c>
      <c r="C133" s="1903"/>
      <c r="D133" s="1305"/>
      <c r="E133" s="1373">
        <f t="shared" ref="E133:K133" si="1">IF($B$39=E130,$F$49,0)</f>
        <v>0</v>
      </c>
      <c r="F133" s="1373">
        <f t="shared" si="1"/>
        <v>0</v>
      </c>
      <c r="G133" s="1296"/>
      <c r="H133" s="1373">
        <f t="shared" si="1"/>
        <v>0</v>
      </c>
      <c r="I133" s="1373">
        <f t="shared" si="1"/>
        <v>0</v>
      </c>
      <c r="J133" s="1373">
        <f t="shared" si="1"/>
        <v>0</v>
      </c>
      <c r="K133" s="1373">
        <f t="shared" si="1"/>
        <v>0</v>
      </c>
      <c r="L133" s="1296"/>
    </row>
    <row r="134" spans="1:185" ht="13.5" hidden="1" customHeight="1" outlineLevel="1">
      <c r="A134" s="1296"/>
      <c r="B134" s="1902">
        <v>4</v>
      </c>
      <c r="C134" s="1903"/>
      <c r="D134" s="1305"/>
      <c r="E134" s="1373">
        <f t="shared" ref="E134:K134" si="2">IF($B$50=E130,$F$60,0)</f>
        <v>0</v>
      </c>
      <c r="F134" s="1373">
        <f t="shared" si="2"/>
        <v>0</v>
      </c>
      <c r="G134" s="1296"/>
      <c r="H134" s="1373">
        <f t="shared" si="2"/>
        <v>0</v>
      </c>
      <c r="I134" s="1373">
        <f t="shared" si="2"/>
        <v>0</v>
      </c>
      <c r="J134" s="1373">
        <f t="shared" si="2"/>
        <v>0</v>
      </c>
      <c r="K134" s="1373">
        <f t="shared" si="2"/>
        <v>0</v>
      </c>
      <c r="L134" s="1296"/>
    </row>
    <row r="135" spans="1:185" ht="13.5" hidden="1" customHeight="1" outlineLevel="1">
      <c r="A135" s="1296"/>
      <c r="B135" s="1902">
        <v>5</v>
      </c>
      <c r="C135" s="1903"/>
      <c r="D135" s="1305"/>
      <c r="E135" s="1373">
        <f t="shared" ref="E135:K135" si="3">IF($B$61=E130,$F$71,0)</f>
        <v>0</v>
      </c>
      <c r="F135" s="1373">
        <f t="shared" si="3"/>
        <v>0</v>
      </c>
      <c r="G135" s="1296"/>
      <c r="H135" s="1373">
        <f t="shared" si="3"/>
        <v>0</v>
      </c>
      <c r="I135" s="1373">
        <f t="shared" si="3"/>
        <v>0</v>
      </c>
      <c r="J135" s="1373">
        <f t="shared" si="3"/>
        <v>0</v>
      </c>
      <c r="K135" s="1373">
        <f t="shared" si="3"/>
        <v>0</v>
      </c>
      <c r="L135" s="1296"/>
    </row>
    <row r="136" spans="1:185" ht="13.5" hidden="1" customHeight="1" outlineLevel="1">
      <c r="A136" s="1296"/>
      <c r="B136" s="1902">
        <v>6</v>
      </c>
      <c r="C136" s="1903"/>
      <c r="D136" s="1305"/>
      <c r="E136" s="1373">
        <f t="shared" ref="E136:K136" si="4">IF($B$72=E130,$F$82,0)</f>
        <v>0</v>
      </c>
      <c r="F136" s="1373">
        <f t="shared" si="4"/>
        <v>0</v>
      </c>
      <c r="G136" s="1296"/>
      <c r="H136" s="1373">
        <f t="shared" si="4"/>
        <v>0</v>
      </c>
      <c r="I136" s="1373">
        <f t="shared" si="4"/>
        <v>0</v>
      </c>
      <c r="J136" s="1373">
        <f t="shared" si="4"/>
        <v>0</v>
      </c>
      <c r="K136" s="1373">
        <f t="shared" si="4"/>
        <v>0</v>
      </c>
      <c r="L136" s="1296"/>
    </row>
    <row r="137" spans="1:185" ht="13.5" hidden="1" customHeight="1" outlineLevel="1">
      <c r="A137" s="1296"/>
      <c r="B137" s="1902">
        <v>7</v>
      </c>
      <c r="C137" s="1903"/>
      <c r="D137" s="1305"/>
      <c r="E137" s="1373">
        <f t="shared" ref="E137:K137" si="5">IF($B$83=E130,$F$93,0)</f>
        <v>0</v>
      </c>
      <c r="F137" s="1373">
        <f t="shared" si="5"/>
        <v>0</v>
      </c>
      <c r="G137" s="1296"/>
      <c r="H137" s="1373">
        <f t="shared" si="5"/>
        <v>0</v>
      </c>
      <c r="I137" s="1373">
        <f t="shared" si="5"/>
        <v>0</v>
      </c>
      <c r="J137" s="1373">
        <f t="shared" si="5"/>
        <v>0</v>
      </c>
      <c r="K137" s="1373">
        <f t="shared" si="5"/>
        <v>0</v>
      </c>
      <c r="L137" s="1296"/>
    </row>
    <row r="138" spans="1:185" ht="13.5" hidden="1" customHeight="1" outlineLevel="1">
      <c r="A138" s="1296"/>
      <c r="B138" s="1902">
        <v>8</v>
      </c>
      <c r="C138" s="1903"/>
      <c r="D138" s="1305"/>
      <c r="E138" s="1373">
        <f t="shared" ref="E138:K138" si="6">IF($B$94=E130,$F$104,0)</f>
        <v>0</v>
      </c>
      <c r="F138" s="1373">
        <f t="shared" si="6"/>
        <v>0</v>
      </c>
      <c r="G138" s="1296"/>
      <c r="H138" s="1373">
        <f t="shared" si="6"/>
        <v>0</v>
      </c>
      <c r="I138" s="1373">
        <f t="shared" si="6"/>
        <v>0</v>
      </c>
      <c r="J138" s="1373">
        <f t="shared" si="6"/>
        <v>0</v>
      </c>
      <c r="K138" s="1373">
        <f t="shared" si="6"/>
        <v>0</v>
      </c>
      <c r="L138" s="1296"/>
    </row>
    <row r="139" spans="1:185" ht="13.5" hidden="1" customHeight="1" outlineLevel="1">
      <c r="A139" s="1296"/>
      <c r="B139" s="1902">
        <v>9</v>
      </c>
      <c r="C139" s="1903"/>
      <c r="D139" s="1305"/>
      <c r="E139" s="1373">
        <f t="shared" ref="E139:K139" si="7">IF($B$105=E130,$F$115,0)</f>
        <v>0</v>
      </c>
      <c r="F139" s="1373">
        <f t="shared" si="7"/>
        <v>0</v>
      </c>
      <c r="G139" s="1296"/>
      <c r="H139" s="1373">
        <f t="shared" si="7"/>
        <v>0</v>
      </c>
      <c r="I139" s="1373">
        <f t="shared" si="7"/>
        <v>0</v>
      </c>
      <c r="J139" s="1373">
        <f t="shared" si="7"/>
        <v>0</v>
      </c>
      <c r="K139" s="1373">
        <f t="shared" si="7"/>
        <v>0</v>
      </c>
      <c r="L139" s="1296"/>
    </row>
    <row r="140" spans="1:185" ht="13.5" hidden="1" customHeight="1" outlineLevel="1">
      <c r="A140" s="1296"/>
      <c r="B140" s="1902">
        <v>10</v>
      </c>
      <c r="C140" s="1903"/>
      <c r="D140" s="1305"/>
      <c r="E140" s="1373">
        <f t="shared" ref="E140:I140" si="8">IF($B$116=E130,$F$126,0)</f>
        <v>0</v>
      </c>
      <c r="F140" s="1373">
        <f>IF($B$116=F130,$F$126,0)</f>
        <v>0</v>
      </c>
      <c r="G140" s="1296"/>
      <c r="H140" s="1373">
        <f>IF($B$116=H130,$F$126,0)</f>
        <v>0</v>
      </c>
      <c r="I140" s="1373">
        <f t="shared" si="8"/>
        <v>0</v>
      </c>
      <c r="J140" s="1373">
        <f>IF($B$116=J130,$F$126,0)</f>
        <v>0</v>
      </c>
      <c r="K140" s="1373">
        <f>IF($B$116=K130,$F$126,0)</f>
        <v>0</v>
      </c>
      <c r="L140" s="1296"/>
    </row>
    <row r="141" spans="1:185" s="1375" customFormat="1" ht="13.5" hidden="1" customHeight="1" outlineLevel="1">
      <c r="A141" s="1374"/>
      <c r="C141" s="1376" t="s">
        <v>1537</v>
      </c>
      <c r="D141" s="1305"/>
      <c r="E141" s="1377">
        <f>SUM(E131:E140)</f>
        <v>0</v>
      </c>
      <c r="F141" s="1377">
        <f>SUM(F131:F140)</f>
        <v>0</v>
      </c>
      <c r="G141" s="1296"/>
      <c r="H141" s="1377">
        <f>SUM(H131:H140)</f>
        <v>0</v>
      </c>
      <c r="I141" s="1377">
        <f>SUM(I131:I140)</f>
        <v>0</v>
      </c>
      <c r="J141" s="1377">
        <f>SUM(J131:J140)</f>
        <v>0</v>
      </c>
      <c r="K141" s="1377">
        <f t="shared" ref="K141" si="9">SUM(K131:K140)</f>
        <v>0</v>
      </c>
      <c r="L141" s="1374"/>
      <c r="M141" s="1378"/>
      <c r="N141" s="1378"/>
      <c r="O141" s="1378"/>
      <c r="P141" s="1378"/>
      <c r="Q141" s="1378"/>
      <c r="R141" s="1378"/>
      <c r="S141" s="1378"/>
      <c r="T141" s="1378"/>
      <c r="U141" s="1378"/>
      <c r="V141" s="1378"/>
      <c r="W141" s="1378"/>
      <c r="X141" s="1378"/>
      <c r="Y141" s="1378"/>
      <c r="Z141" s="1378"/>
      <c r="AA141" s="1378"/>
      <c r="AB141" s="1378"/>
      <c r="AC141" s="1378"/>
      <c r="AD141" s="1378"/>
      <c r="AE141" s="1378"/>
      <c r="AF141" s="1378"/>
      <c r="AG141" s="1378"/>
      <c r="AH141" s="1378"/>
      <c r="AI141" s="1378"/>
      <c r="AJ141" s="1378"/>
      <c r="AK141" s="1378"/>
      <c r="AL141" s="1378"/>
      <c r="AM141" s="1378"/>
      <c r="AN141" s="1378"/>
      <c r="AO141" s="1378"/>
      <c r="AP141" s="1378"/>
      <c r="AQ141" s="1378"/>
      <c r="AR141" s="1378"/>
      <c r="AS141" s="1378"/>
      <c r="AT141" s="1378"/>
      <c r="AU141" s="1378"/>
      <c r="AV141" s="1378"/>
      <c r="AW141" s="1378"/>
      <c r="AX141" s="1378"/>
      <c r="AY141" s="1378"/>
      <c r="AZ141" s="1378"/>
      <c r="BA141" s="1378"/>
      <c r="BB141" s="1378"/>
      <c r="BC141" s="1378"/>
      <c r="BD141" s="1378"/>
      <c r="BE141" s="1378"/>
      <c r="BF141" s="1378"/>
      <c r="BG141" s="1378"/>
      <c r="BH141" s="1378"/>
      <c r="BI141" s="1378"/>
      <c r="BJ141" s="1378"/>
      <c r="BK141" s="1378"/>
      <c r="BL141" s="1378"/>
      <c r="BM141" s="1378"/>
      <c r="BN141" s="1378"/>
      <c r="BO141" s="1378"/>
      <c r="BP141" s="1378"/>
      <c r="BQ141" s="1378"/>
      <c r="BR141" s="1378"/>
      <c r="BS141" s="1378"/>
      <c r="BT141" s="1378"/>
      <c r="BU141" s="1378"/>
      <c r="BV141" s="1378"/>
      <c r="BW141" s="1378"/>
      <c r="BX141" s="1378"/>
      <c r="BY141" s="1378"/>
      <c r="BZ141" s="1378"/>
      <c r="CA141" s="1378"/>
      <c r="CB141" s="1378"/>
      <c r="CC141" s="1378"/>
      <c r="CD141" s="1378"/>
      <c r="CE141" s="1378"/>
      <c r="CF141" s="1378"/>
      <c r="CG141" s="1378"/>
      <c r="CH141" s="1378"/>
      <c r="CI141" s="1378"/>
      <c r="CJ141" s="1378"/>
      <c r="CK141" s="1378"/>
      <c r="CL141" s="1378"/>
      <c r="CM141" s="1378"/>
      <c r="CN141" s="1378"/>
      <c r="CO141" s="1378"/>
      <c r="CP141" s="1378"/>
      <c r="CQ141" s="1378"/>
      <c r="CR141" s="1378"/>
      <c r="CS141" s="1378"/>
      <c r="CT141" s="1378"/>
      <c r="CU141" s="1378"/>
      <c r="CV141" s="1378"/>
      <c r="CW141" s="1378"/>
      <c r="CX141" s="1378"/>
      <c r="CY141" s="1378"/>
      <c r="CZ141" s="1378"/>
      <c r="DA141" s="1378"/>
      <c r="DB141" s="1378"/>
      <c r="DC141" s="1378"/>
      <c r="DD141" s="1378"/>
      <c r="DE141" s="1378"/>
      <c r="DF141" s="1378"/>
      <c r="DG141" s="1378"/>
      <c r="DH141" s="1378"/>
      <c r="DI141" s="1378"/>
      <c r="DJ141" s="1378"/>
      <c r="DK141" s="1378"/>
      <c r="DL141" s="1378"/>
      <c r="DM141" s="1378"/>
      <c r="DN141" s="1378"/>
      <c r="DO141" s="1378"/>
      <c r="DP141" s="1378"/>
      <c r="DQ141" s="1378"/>
      <c r="DR141" s="1378"/>
      <c r="DS141" s="1378"/>
      <c r="DT141" s="1378"/>
      <c r="DU141" s="1378"/>
      <c r="DV141" s="1378"/>
      <c r="DW141" s="1378"/>
      <c r="DX141" s="1378"/>
      <c r="DY141" s="1378"/>
      <c r="DZ141" s="1378"/>
      <c r="EA141" s="1378"/>
      <c r="EB141" s="1378"/>
      <c r="EC141" s="1378"/>
      <c r="ED141" s="1378"/>
      <c r="EE141" s="1378"/>
      <c r="EF141" s="1378"/>
      <c r="EG141" s="1378"/>
      <c r="EH141" s="1378"/>
      <c r="EI141" s="1378"/>
      <c r="EJ141" s="1378"/>
      <c r="EK141" s="1378"/>
      <c r="EL141" s="1378"/>
      <c r="EM141" s="1378"/>
      <c r="EN141" s="1378"/>
      <c r="EO141" s="1378"/>
      <c r="EP141" s="1378"/>
      <c r="EQ141" s="1378"/>
      <c r="ER141" s="1378"/>
      <c r="ES141" s="1378"/>
      <c r="ET141" s="1378"/>
      <c r="EU141" s="1378"/>
      <c r="EV141" s="1378"/>
      <c r="EW141" s="1378"/>
      <c r="EX141" s="1378"/>
      <c r="EY141" s="1378"/>
      <c r="EZ141" s="1378"/>
      <c r="FA141" s="1378"/>
      <c r="FB141" s="1378"/>
      <c r="FC141" s="1378"/>
      <c r="FD141" s="1378"/>
      <c r="FE141" s="1378"/>
      <c r="FF141" s="1378"/>
      <c r="FG141" s="1378"/>
      <c r="FH141" s="1378"/>
      <c r="FI141" s="1378"/>
      <c r="FJ141" s="1378"/>
      <c r="FK141" s="1378"/>
      <c r="FL141" s="1378"/>
      <c r="FM141" s="1378"/>
      <c r="FN141" s="1378"/>
      <c r="FO141" s="1378"/>
      <c r="FP141" s="1378"/>
      <c r="FQ141" s="1378"/>
      <c r="FR141" s="1378"/>
      <c r="FS141" s="1378"/>
      <c r="FT141" s="1378"/>
      <c r="FU141" s="1378"/>
      <c r="FV141" s="1378"/>
      <c r="FW141" s="1378"/>
      <c r="FX141" s="1378"/>
      <c r="FY141" s="1378"/>
      <c r="FZ141" s="1378"/>
      <c r="GA141" s="1378"/>
      <c r="GB141" s="1378"/>
      <c r="GC141" s="1378"/>
    </row>
    <row r="142" spans="1:185" ht="13.5" hidden="1" customHeight="1" outlineLevel="1">
      <c r="A142" s="1296"/>
      <c r="B142" s="1296"/>
      <c r="C142" s="1296"/>
      <c r="D142" s="1305"/>
      <c r="E142" s="1296"/>
      <c r="F142" s="1296"/>
      <c r="G142" s="1296"/>
      <c r="H142" s="1296"/>
      <c r="I142" s="1296"/>
      <c r="J142" s="1296"/>
      <c r="K142" s="1296"/>
      <c r="L142" s="1296"/>
    </row>
    <row r="143" spans="1:185" ht="13.5" hidden="1" customHeight="1" outlineLevel="1">
      <c r="A143" s="1296"/>
      <c r="B143" s="1305" t="s">
        <v>1553</v>
      </c>
      <c r="C143" s="1296"/>
      <c r="D143" s="1305"/>
      <c r="E143" s="1296"/>
      <c r="F143" s="1296"/>
      <c r="G143" s="1296"/>
      <c r="H143" s="1296"/>
      <c r="I143" s="1296"/>
      <c r="J143" s="1296"/>
      <c r="K143" s="1296"/>
      <c r="L143" s="1296"/>
    </row>
    <row r="144" spans="1:185" ht="31.5" hidden="1" customHeight="1" outlineLevel="1">
      <c r="A144" s="1296"/>
      <c r="B144" s="1812" t="s">
        <v>1823</v>
      </c>
      <c r="C144" s="1813"/>
      <c r="D144" s="1305"/>
      <c r="E144" s="979" t="str">
        <f>'Menus déroulants'!C15</f>
        <v>MEÉ1 - Isolation thermique</v>
      </c>
      <c r="F144" s="979" t="str">
        <f>'Menus déroulants'!C16</f>
        <v>MEÉ2 - Micromodulation</v>
      </c>
      <c r="G144" s="1296"/>
      <c r="H144" s="979" t="str">
        <f>'Menus déroulants'!C17</f>
        <v>MEÉ3 - Sonde de O2</v>
      </c>
      <c r="I144" s="979" t="str">
        <f>'Menus déroulants'!C18</f>
        <v>MEÉ4 - Économiseur standard intégré</v>
      </c>
      <c r="J144" s="979" t="str">
        <f>'Menus déroulants'!C19</f>
        <v>MEÉ4 - Économiseur standard non intégré</v>
      </c>
      <c r="K144" s="979" t="str">
        <f>'Menus déroulants'!C20</f>
        <v>MEÉ4 - Économiseur à condensation non intégré</v>
      </c>
      <c r="L144" s="1296"/>
    </row>
    <row r="145" spans="1:12" ht="13.5" hidden="1" customHeight="1" outlineLevel="1">
      <c r="A145" s="1296"/>
      <c r="B145" s="1902" t="str">
        <f>'Menus déroulants'!E15</f>
        <v>Chaudière n°1</v>
      </c>
      <c r="C145" s="1903"/>
      <c r="D145" s="1305"/>
      <c r="E145" s="1111"/>
      <c r="F145" s="1373">
        <f>IFERROR(VLOOKUP($F$144&amp;B145,$D$17:$G$126,4,FALSE),0)</f>
        <v>0</v>
      </c>
      <c r="G145" s="1296"/>
      <c r="H145" s="1373">
        <f>IFERROR(VLOOKUP($H$144&amp;B145,$D$17:$G$126,4,FALSE),0)</f>
        <v>0</v>
      </c>
      <c r="I145" s="1373">
        <f>IFERROR(VLOOKUP($I$144&amp;B145,$D$17:$G$126,4,FALSE),0)</f>
        <v>0</v>
      </c>
      <c r="J145" s="1373">
        <f>IFERROR(VLOOKUP($J$144&amp;B145,$D$17:$G$126,4,FALSE),0)</f>
        <v>0</v>
      </c>
      <c r="K145" s="1373">
        <f>IFERROR(VLOOKUP($K$144&amp;B145,$D$17:$G$126,4,FALSE),0)</f>
        <v>0</v>
      </c>
      <c r="L145" s="1296"/>
    </row>
    <row r="146" spans="1:12" ht="13.5" hidden="1" customHeight="1" outlineLevel="1">
      <c r="A146" s="1296"/>
      <c r="B146" s="1902" t="str">
        <f>'Menus déroulants'!E16</f>
        <v>Chaudière n°2</v>
      </c>
      <c r="C146" s="1903"/>
      <c r="D146" s="1305"/>
      <c r="E146" s="1111"/>
      <c r="F146" s="1373">
        <f>IFERROR(VLOOKUP($F$144&amp;B146,$D$17:$G$126,4,FALSE),0)</f>
        <v>0</v>
      </c>
      <c r="G146" s="1296"/>
      <c r="H146" s="1373">
        <f>IFERROR(VLOOKUP($H$144&amp;B146,$D$17:$G$126,4,FALSE),0)</f>
        <v>0</v>
      </c>
      <c r="I146" s="1373">
        <f>IFERROR(VLOOKUP($I$144&amp;B146,$D$17:$G$126,4,FALSE),0)</f>
        <v>0</v>
      </c>
      <c r="J146" s="1373">
        <f>IFERROR(VLOOKUP($J$144&amp;B146,$D$17:$G$126,4,FALSE),0)</f>
        <v>0</v>
      </c>
      <c r="K146" s="1373">
        <f>IFERROR(VLOOKUP($K$144&amp;B146,$D$17:$G$126,4,FALSE),0)</f>
        <v>0</v>
      </c>
      <c r="L146" s="1296"/>
    </row>
    <row r="147" spans="1:12" ht="13.5" hidden="1" customHeight="1" outlineLevel="1">
      <c r="A147" s="1296"/>
      <c r="B147" s="1902" t="str">
        <f>'Menus déroulants'!E17</f>
        <v>Chaudière n°3</v>
      </c>
      <c r="C147" s="1903"/>
      <c r="D147" s="1305"/>
      <c r="E147" s="1111"/>
      <c r="F147" s="1373">
        <f>IFERROR(VLOOKUP($F$144&amp;B147,$D$17:$G$126,4,FALSE),0)</f>
        <v>0</v>
      </c>
      <c r="G147" s="1296"/>
      <c r="H147" s="1373">
        <f>IFERROR(VLOOKUP($H$144&amp;B147,$D$17:$G$126,4,FALSE),0)</f>
        <v>0</v>
      </c>
      <c r="I147" s="1373">
        <f>IFERROR(VLOOKUP($I$144&amp;B147,$D$17:$G$126,4,FALSE),0)</f>
        <v>0</v>
      </c>
      <c r="J147" s="1373">
        <f>IFERROR(VLOOKUP($J$144&amp;B147,$D$17:$G$126,4,FALSE),0)</f>
        <v>0</v>
      </c>
      <c r="K147" s="1373">
        <f>IFERROR(VLOOKUP($K$144&amp;B147,$D$17:$G$126,4,FALSE),0)</f>
        <v>0</v>
      </c>
      <c r="L147" s="1296"/>
    </row>
    <row r="148" spans="1:12" ht="13.5" hidden="1" customHeight="1" outlineLevel="1">
      <c r="A148" s="1296"/>
      <c r="B148" s="1902" t="str">
        <f>'Menus déroulants'!E18</f>
        <v>Chaudière n°4</v>
      </c>
      <c r="C148" s="1903"/>
      <c r="D148" s="1305"/>
      <c r="E148" s="1111"/>
      <c r="F148" s="1373">
        <f>IFERROR(VLOOKUP($F$144&amp;B148,$D$17:$G$126,4,FALSE),0)</f>
        <v>0</v>
      </c>
      <c r="G148" s="1296"/>
      <c r="H148" s="1373">
        <f>IFERROR(VLOOKUP($H$144&amp;B148,$D$17:$G$126,4,FALSE),0)</f>
        <v>0</v>
      </c>
      <c r="I148" s="1373">
        <f>IFERROR(VLOOKUP($I$144&amp;B148,$D$17:$G$126,4,FALSE),0)</f>
        <v>0</v>
      </c>
      <c r="J148" s="1373">
        <f>IFERROR(VLOOKUP($J$144&amp;B148,$D$17:$G$126,4,FALSE),0)</f>
        <v>0</v>
      </c>
      <c r="K148" s="1373">
        <f>IFERROR(VLOOKUP($K$144&amp;B148,$D$17:$G$126,4,FALSE),0)</f>
        <v>0</v>
      </c>
      <c r="L148" s="1296"/>
    </row>
    <row r="149" spans="1:12" ht="13.5" customHeight="1" collapsed="1">
      <c r="A149" s="1296"/>
      <c r="B149" s="1296"/>
      <c r="C149" s="1296"/>
      <c r="D149" s="1296"/>
      <c r="E149" s="1296"/>
      <c r="F149" s="1296"/>
      <c r="G149" s="1296"/>
      <c r="H149" s="1296"/>
      <c r="I149" s="1296"/>
      <c r="J149" s="1296"/>
      <c r="K149" s="1296"/>
      <c r="L149" s="1296"/>
    </row>
    <row r="150" spans="1:12" s="1297" customFormat="1"/>
    <row r="151" spans="1:12" s="1297" customFormat="1"/>
    <row r="152" spans="1:12" s="1297" customFormat="1"/>
    <row r="153" spans="1:12" s="1297" customFormat="1"/>
    <row r="154" spans="1:12" s="1297" customFormat="1"/>
    <row r="155" spans="1:12" s="1297" customFormat="1"/>
    <row r="156" spans="1:12" s="1297" customFormat="1"/>
    <row r="157" spans="1:12" s="1297" customFormat="1"/>
    <row r="158" spans="1:12" s="1297" customFormat="1"/>
    <row r="159" spans="1:12" s="1297" customFormat="1"/>
    <row r="160" spans="1:12" s="1297" customFormat="1"/>
    <row r="161" s="1297" customFormat="1"/>
    <row r="162" s="1297" customFormat="1"/>
    <row r="163" s="1297" customFormat="1"/>
    <row r="164" s="1297" customFormat="1"/>
    <row r="165" s="1297" customFormat="1"/>
    <row r="166" s="1297" customFormat="1"/>
    <row r="167" s="1297" customFormat="1"/>
    <row r="168" s="1297" customFormat="1"/>
    <row r="169" s="1297" customFormat="1"/>
    <row r="170" s="1297" customFormat="1"/>
    <row r="171" s="1297" customFormat="1"/>
    <row r="172" s="1297" customFormat="1"/>
    <row r="173" s="1297" customFormat="1"/>
    <row r="174" s="1297" customFormat="1"/>
    <row r="175" s="1297" customFormat="1"/>
    <row r="176" s="1297" customFormat="1"/>
    <row r="177" s="1297" customFormat="1"/>
    <row r="178" s="1297" customFormat="1"/>
    <row r="179" s="1297" customFormat="1"/>
    <row r="180" s="1297" customFormat="1"/>
    <row r="181" s="1297" customFormat="1"/>
    <row r="182" s="1297" customFormat="1"/>
    <row r="183" s="1297" customFormat="1"/>
    <row r="184" s="1297" customFormat="1"/>
    <row r="185" s="1297" customFormat="1"/>
    <row r="186" s="1297" customFormat="1"/>
    <row r="187" s="1297" customFormat="1"/>
    <row r="188" s="1297" customFormat="1"/>
    <row r="189" s="1297" customFormat="1"/>
    <row r="190" s="1297" customFormat="1"/>
    <row r="191" s="1297" customFormat="1"/>
    <row r="192" s="1297" customFormat="1"/>
    <row r="193" s="1297" customFormat="1"/>
    <row r="194" s="1297" customFormat="1"/>
    <row r="195" s="1297" customFormat="1"/>
    <row r="196" s="1297" customFormat="1"/>
    <row r="197" s="1297" customFormat="1"/>
    <row r="198" s="1297" customFormat="1"/>
    <row r="199" s="1297" customFormat="1"/>
    <row r="200" s="1297" customFormat="1"/>
    <row r="201" s="1297" customFormat="1"/>
    <row r="202" s="1297" customFormat="1"/>
    <row r="203" s="1297" customFormat="1"/>
    <row r="204" s="1297" customFormat="1"/>
    <row r="205" s="1297" customFormat="1"/>
    <row r="206" s="1297" customFormat="1"/>
    <row r="207" s="1297" customFormat="1"/>
    <row r="208" s="1297" customFormat="1"/>
    <row r="209" s="1297" customFormat="1"/>
    <row r="210" s="1297" customFormat="1"/>
    <row r="211" s="1297" customFormat="1"/>
    <row r="212" s="1297" customFormat="1"/>
    <row r="213" s="1297" customFormat="1"/>
    <row r="214" s="1297" customFormat="1"/>
    <row r="215" s="1297" customFormat="1"/>
    <row r="216" s="1297" customFormat="1"/>
    <row r="217" s="1297" customFormat="1"/>
    <row r="218" s="1297" customFormat="1"/>
    <row r="219" s="1297" customFormat="1"/>
    <row r="220" s="1297" customFormat="1"/>
    <row r="221" s="1297" customFormat="1"/>
    <row r="222" s="1297" customFormat="1"/>
    <row r="223" s="1297" customFormat="1"/>
    <row r="224" s="1297" customFormat="1"/>
    <row r="225" s="1297" customFormat="1"/>
    <row r="226" s="1297" customFormat="1"/>
    <row r="227" s="1297" customFormat="1"/>
    <row r="228" s="1297" customFormat="1"/>
    <row r="229" s="1297" customFormat="1"/>
    <row r="230" s="1297" customFormat="1"/>
    <row r="231" s="1297" customFormat="1"/>
    <row r="232" s="1297" customFormat="1"/>
    <row r="233" s="1297" customFormat="1"/>
    <row r="234" s="1297" customFormat="1"/>
    <row r="235" s="1297" customFormat="1"/>
    <row r="236" s="1297" customFormat="1"/>
    <row r="237" s="1297" customFormat="1"/>
    <row r="238" s="1297" customFormat="1"/>
    <row r="239" s="1297" customFormat="1"/>
    <row r="240" s="1297" customFormat="1"/>
    <row r="241" s="1297" customFormat="1"/>
    <row r="242" s="1297" customFormat="1"/>
    <row r="243" s="1297" customFormat="1"/>
    <row r="244" s="1297" customFormat="1"/>
    <row r="245" s="1297" customFormat="1"/>
    <row r="246" s="1297" customFormat="1"/>
    <row r="247" s="1297" customFormat="1"/>
    <row r="248" s="1297" customFormat="1"/>
    <row r="249" s="1297" customFormat="1"/>
    <row r="250" s="1297" customFormat="1"/>
    <row r="251" s="1297" customFormat="1"/>
    <row r="252" s="1297" customFormat="1"/>
    <row r="253" s="1297" customFormat="1"/>
    <row r="254" s="1297" customFormat="1"/>
    <row r="255" s="1297" customFormat="1"/>
    <row r="256" s="1297" customFormat="1"/>
    <row r="257" s="1297" customFormat="1"/>
    <row r="258" s="1297" customFormat="1"/>
    <row r="259" s="1297" customFormat="1"/>
    <row r="260" s="1297" customFormat="1"/>
    <row r="261" s="1297" customFormat="1"/>
    <row r="262" s="1297" customFormat="1"/>
    <row r="263" s="1297" customFormat="1"/>
    <row r="264" s="1297" customFormat="1"/>
    <row r="265" s="1297" customFormat="1"/>
    <row r="266" s="1297" customFormat="1"/>
    <row r="267" s="1297" customFormat="1"/>
    <row r="268" s="1297" customFormat="1"/>
    <row r="269" s="1297" customFormat="1"/>
    <row r="270" s="1297" customFormat="1"/>
    <row r="271" s="1297" customFormat="1"/>
    <row r="272" s="1297" customFormat="1"/>
    <row r="273" s="1297" customFormat="1"/>
    <row r="274" s="1297" customFormat="1"/>
    <row r="275" s="1297" customFormat="1"/>
    <row r="276" s="1297" customFormat="1"/>
    <row r="277" s="1297" customFormat="1"/>
    <row r="278" s="1297" customFormat="1"/>
    <row r="279" s="1297" customFormat="1"/>
    <row r="280" s="1297" customFormat="1"/>
    <row r="281" s="1297" customFormat="1"/>
    <row r="282" s="1297" customFormat="1"/>
    <row r="283" s="1297" customFormat="1"/>
    <row r="284" s="1297" customFormat="1"/>
    <row r="285" s="1297" customFormat="1"/>
    <row r="286" s="1297" customFormat="1"/>
    <row r="287" s="1297" customFormat="1"/>
    <row r="288" s="1297" customFormat="1"/>
    <row r="289" s="1297" customFormat="1"/>
    <row r="290" s="1297" customFormat="1"/>
    <row r="291" s="1297" customFormat="1"/>
    <row r="292" s="1297" customFormat="1"/>
    <row r="293" s="1297" customFormat="1"/>
    <row r="294" s="1297" customFormat="1"/>
    <row r="295" s="1297" customFormat="1"/>
    <row r="296" s="1297" customFormat="1"/>
    <row r="297" s="1297" customFormat="1"/>
    <row r="298" s="1297" customFormat="1"/>
    <row r="299" s="1297" customFormat="1"/>
    <row r="300" s="1297" customFormat="1"/>
    <row r="301" s="1297" customFormat="1"/>
    <row r="302" s="1297" customFormat="1"/>
    <row r="303" s="1297" customFormat="1"/>
    <row r="304" s="1297" customFormat="1"/>
    <row r="305" s="1297" customFormat="1"/>
    <row r="306" s="1297" customFormat="1"/>
    <row r="307" s="1297" customFormat="1"/>
    <row r="308" s="1297" customFormat="1"/>
    <row r="309" s="1297" customFormat="1"/>
    <row r="310" s="1297" customFormat="1"/>
    <row r="311" s="1297" customFormat="1"/>
    <row r="312" s="1297" customFormat="1"/>
    <row r="313" s="1297" customFormat="1"/>
    <row r="314" s="1297" customFormat="1"/>
    <row r="315" s="1297" customFormat="1"/>
    <row r="316" s="1297" customFormat="1"/>
    <row r="317" s="1297" customFormat="1"/>
    <row r="318" s="1297" customFormat="1"/>
    <row r="319" s="1297" customFormat="1"/>
    <row r="320" s="1297" customFormat="1"/>
    <row r="321" s="1297" customFormat="1"/>
    <row r="322" s="1297" customFormat="1"/>
    <row r="323" s="1297" customFormat="1"/>
    <row r="324" s="1297" customFormat="1"/>
    <row r="325" s="1297" customFormat="1"/>
    <row r="326" s="1297" customFormat="1"/>
    <row r="327" s="1297" customFormat="1"/>
    <row r="328" s="1297" customFormat="1"/>
    <row r="329" s="1297" customFormat="1"/>
    <row r="330" s="1297" customFormat="1"/>
    <row r="331" s="1297" customFormat="1"/>
    <row r="332" s="1297" customFormat="1"/>
    <row r="333" s="1297" customFormat="1"/>
    <row r="334" s="1297" customFormat="1"/>
    <row r="335" s="1297" customFormat="1"/>
    <row r="336" s="1297" customFormat="1"/>
    <row r="337" s="1297" customFormat="1"/>
    <row r="338" s="1297" customFormat="1"/>
    <row r="339" s="1297" customFormat="1"/>
    <row r="340" s="1297" customFormat="1"/>
    <row r="341" s="1297" customFormat="1"/>
    <row r="342" s="1297" customFormat="1"/>
    <row r="343" s="1297" customFormat="1"/>
    <row r="344" s="1297" customFormat="1"/>
    <row r="345" s="1297" customFormat="1"/>
    <row r="346" s="1297" customFormat="1"/>
    <row r="347" s="1297" customFormat="1"/>
    <row r="348" s="1297" customFormat="1"/>
    <row r="349" s="1297" customFormat="1"/>
    <row r="350" s="1297" customFormat="1"/>
    <row r="351" s="1297" customFormat="1"/>
    <row r="352" s="1297" customFormat="1"/>
    <row r="353" s="1297" customFormat="1"/>
    <row r="354" s="1297" customFormat="1"/>
    <row r="355" s="1297" customFormat="1"/>
    <row r="356" s="1297" customFormat="1"/>
    <row r="357" s="1297" customFormat="1"/>
    <row r="358" s="1297" customFormat="1"/>
    <row r="359" s="1297" customFormat="1"/>
    <row r="360" s="1297" customFormat="1"/>
    <row r="361" s="1297" customFormat="1"/>
    <row r="362" s="1297" customFormat="1"/>
    <row r="363" s="1297" customFormat="1"/>
    <row r="364" s="1297" customFormat="1"/>
    <row r="365" s="1297" customFormat="1"/>
    <row r="366" s="1297" customFormat="1"/>
    <row r="367" s="1297" customFormat="1"/>
    <row r="368" s="1297" customFormat="1"/>
    <row r="369" s="1297" customFormat="1"/>
    <row r="370" s="1297" customFormat="1"/>
    <row r="371" s="1297" customFormat="1"/>
    <row r="372" s="1297" customFormat="1"/>
    <row r="373" s="1297" customFormat="1"/>
    <row r="374" s="1297" customFormat="1"/>
    <row r="375" s="1297" customFormat="1"/>
    <row r="376" s="1297" customFormat="1"/>
    <row r="377" s="1297" customFormat="1"/>
    <row r="378" s="1297" customFormat="1"/>
    <row r="379" s="1297" customFormat="1"/>
    <row r="380" s="1297" customFormat="1"/>
    <row r="381" s="1297" customFormat="1"/>
    <row r="382" s="1297" customFormat="1"/>
    <row r="383" s="1297" customFormat="1"/>
    <row r="384" s="1297" customFormat="1"/>
    <row r="385" s="1297" customFormat="1"/>
    <row r="386" s="1297" customFormat="1"/>
    <row r="387" s="1297" customFormat="1"/>
    <row r="388" s="1297" customFormat="1"/>
    <row r="389" s="1297" customFormat="1"/>
    <row r="390" s="1297" customFormat="1"/>
    <row r="391" s="1297" customFormat="1"/>
    <row r="392" s="1297" customFormat="1"/>
    <row r="393" s="1297" customFormat="1"/>
    <row r="394" s="1297" customFormat="1"/>
    <row r="395" s="1297" customFormat="1"/>
    <row r="396" s="1297" customFormat="1"/>
    <row r="397" s="1297" customFormat="1"/>
    <row r="398" s="1297" customFormat="1"/>
    <row r="399" s="1297" customFormat="1"/>
    <row r="400" s="1297" customFormat="1"/>
    <row r="401" s="1297" customFormat="1"/>
    <row r="402" s="1297" customFormat="1"/>
    <row r="403" s="1297" customFormat="1"/>
    <row r="404" s="1297" customFormat="1"/>
    <row r="405" s="1297" customFormat="1"/>
    <row r="406" s="1297" customFormat="1"/>
    <row r="407" s="1297" customFormat="1"/>
    <row r="408" s="1297" customFormat="1"/>
    <row r="409" s="1297" customFormat="1"/>
    <row r="410" s="1297" customFormat="1"/>
    <row r="411" s="1297" customFormat="1"/>
    <row r="412" s="1297" customFormat="1"/>
    <row r="413" s="1297" customFormat="1"/>
    <row r="414" s="1297" customFormat="1"/>
    <row r="415" s="1297" customFormat="1"/>
    <row r="416" s="1297" customFormat="1"/>
    <row r="417" s="1297" customFormat="1"/>
    <row r="418" s="1297" customFormat="1"/>
    <row r="419" s="1297" customFormat="1"/>
    <row r="420" s="1297" customFormat="1"/>
    <row r="421" s="1297" customFormat="1"/>
    <row r="422" s="1297" customFormat="1"/>
    <row r="423" s="1297" customFormat="1"/>
    <row r="424" s="1297" customFormat="1"/>
    <row r="425" s="1297" customFormat="1"/>
    <row r="426" s="1297" customFormat="1"/>
    <row r="427" s="1297" customFormat="1"/>
    <row r="428" s="1297" customFormat="1"/>
    <row r="429" s="1297" customFormat="1"/>
    <row r="430" s="1297" customFormat="1"/>
    <row r="431" s="1297" customFormat="1"/>
    <row r="432" s="1297" customFormat="1"/>
    <row r="433" s="1297" customFormat="1"/>
    <row r="434" s="1297" customFormat="1"/>
    <row r="435" s="1297" customFormat="1"/>
    <row r="436" s="1297" customFormat="1"/>
    <row r="437" s="1297" customFormat="1"/>
    <row r="438" s="1297" customFormat="1"/>
    <row r="439" s="1297" customFormat="1"/>
    <row r="440" s="1297" customFormat="1"/>
    <row r="441" s="1297" customFormat="1"/>
    <row r="442" s="1297" customFormat="1"/>
    <row r="443" s="1297" customFormat="1"/>
    <row r="444" s="1297" customFormat="1"/>
    <row r="445" s="1297" customFormat="1"/>
    <row r="446" s="1297" customFormat="1"/>
    <row r="447" s="1297" customFormat="1"/>
    <row r="448" s="1297" customFormat="1"/>
    <row r="449" s="1297" customFormat="1"/>
    <row r="450" s="1297" customFormat="1"/>
    <row r="451" s="1297" customFormat="1"/>
    <row r="452" s="1297" customFormat="1"/>
    <row r="453" s="1297" customFormat="1"/>
    <row r="454" s="1297" customFormat="1"/>
    <row r="455" s="1297" customFormat="1"/>
    <row r="456" s="1297" customFormat="1"/>
    <row r="457" s="1297" customFormat="1"/>
    <row r="458" s="1297" customFormat="1"/>
    <row r="459" s="1297" customFormat="1"/>
    <row r="460" s="1297" customFormat="1"/>
    <row r="461" s="1297" customFormat="1"/>
    <row r="462" s="1297" customFormat="1"/>
    <row r="463" s="1297" customFormat="1"/>
    <row r="464" s="1297" customFormat="1"/>
    <row r="465" s="1297" customFormat="1"/>
    <row r="466" s="1297" customFormat="1"/>
    <row r="467" s="1297" customFormat="1"/>
    <row r="468" s="1297" customFormat="1"/>
    <row r="469" s="1297" customFormat="1"/>
    <row r="470" s="1297" customFormat="1"/>
    <row r="471" s="1297" customFormat="1"/>
    <row r="472" s="1297" customFormat="1"/>
    <row r="473" s="1297" customFormat="1"/>
    <row r="474" s="1297" customFormat="1"/>
    <row r="475" s="1297" customFormat="1"/>
    <row r="476" s="1297" customFormat="1"/>
    <row r="477" s="1297" customFormat="1"/>
    <row r="478" s="1297" customFormat="1"/>
    <row r="479" s="1297" customFormat="1"/>
    <row r="480" s="1297" customFormat="1"/>
    <row r="481" s="1297" customFormat="1"/>
    <row r="482" s="1297" customFormat="1"/>
    <row r="483" s="1297" customFormat="1"/>
    <row r="484" s="1297" customFormat="1"/>
    <row r="485" s="1297" customFormat="1"/>
    <row r="486" s="1297" customFormat="1"/>
    <row r="487" s="1297" customFormat="1"/>
    <row r="488" s="1297" customFormat="1"/>
    <row r="489" s="1297" customFormat="1"/>
    <row r="490" s="1297" customFormat="1"/>
    <row r="491" s="1297" customFormat="1"/>
    <row r="492" s="1297" customFormat="1"/>
    <row r="493" s="1297" customFormat="1"/>
    <row r="494" s="1297" customFormat="1"/>
    <row r="495" s="1297" customFormat="1"/>
    <row r="496" s="1297" customFormat="1"/>
    <row r="497" s="1297" customFormat="1"/>
    <row r="498" s="1297" customFormat="1"/>
    <row r="499" s="1297" customFormat="1"/>
    <row r="500" s="1297" customFormat="1"/>
    <row r="501" s="1297" customFormat="1"/>
    <row r="502" s="1297" customFormat="1"/>
    <row r="503" s="1297" customFormat="1"/>
    <row r="504" s="1297" customFormat="1"/>
    <row r="505" s="1297" customFormat="1"/>
    <row r="506" s="1297" customFormat="1"/>
    <row r="507" s="1297" customFormat="1"/>
    <row r="508" s="1297" customFormat="1"/>
    <row r="509" s="1297" customFormat="1"/>
    <row r="510" s="1297" customFormat="1"/>
    <row r="511" s="1297" customFormat="1"/>
    <row r="512" s="1297" customFormat="1"/>
    <row r="513" s="1297" customFormat="1"/>
    <row r="514" s="1297" customFormat="1"/>
    <row r="515" s="1297" customFormat="1"/>
    <row r="516" s="1297" customFormat="1"/>
    <row r="517" s="1297" customFormat="1"/>
    <row r="518" s="1297" customFormat="1"/>
    <row r="519" s="1297" customFormat="1"/>
    <row r="520" s="1297" customFormat="1"/>
    <row r="521" s="1297" customFormat="1"/>
    <row r="522" s="1297" customFormat="1"/>
    <row r="523" s="1297" customFormat="1"/>
    <row r="524" s="1297" customFormat="1"/>
    <row r="525" s="1297" customFormat="1"/>
    <row r="526" s="1297" customFormat="1"/>
    <row r="527" s="1297" customFormat="1"/>
    <row r="528" s="1297" customFormat="1"/>
    <row r="529" s="1297" customFormat="1"/>
    <row r="530" s="1297" customFormat="1"/>
    <row r="531" s="1297" customFormat="1"/>
    <row r="532" s="1297" customFormat="1"/>
    <row r="533" s="1297" customFormat="1"/>
    <row r="534" s="1297" customFormat="1"/>
    <row r="535" s="1297" customFormat="1"/>
    <row r="536" s="1297" customFormat="1"/>
    <row r="537" s="1297" customFormat="1"/>
    <row r="538" s="1297" customFormat="1"/>
    <row r="539" s="1297" customFormat="1"/>
    <row r="540" s="1297" customFormat="1"/>
    <row r="541" s="1297" customFormat="1"/>
    <row r="542" s="1297" customFormat="1"/>
    <row r="543" s="1297" customFormat="1"/>
    <row r="544" s="1297" customFormat="1"/>
    <row r="545" s="1297" customFormat="1"/>
    <row r="546" s="1297" customFormat="1"/>
    <row r="547" s="1297" customFormat="1"/>
    <row r="548" s="1297" customFormat="1"/>
    <row r="549" s="1297" customFormat="1"/>
    <row r="550" s="1297" customFormat="1"/>
    <row r="551" s="1297" customFormat="1"/>
    <row r="552" s="1297" customFormat="1"/>
    <row r="553" s="1297" customFormat="1"/>
    <row r="554" s="1297" customFormat="1"/>
    <row r="555" s="1297" customFormat="1"/>
    <row r="556" s="1297" customFormat="1"/>
    <row r="557" s="1297" customFormat="1"/>
    <row r="558" s="1297" customFormat="1"/>
    <row r="559" s="1297" customFormat="1"/>
    <row r="560" s="1297" customFormat="1"/>
    <row r="561" s="1297" customFormat="1"/>
    <row r="562" s="1297" customFormat="1"/>
    <row r="563" s="1297" customFormat="1"/>
    <row r="564" s="1297" customFormat="1"/>
    <row r="565" s="1297" customFormat="1"/>
    <row r="566" s="1297" customFormat="1"/>
    <row r="567" s="1297" customFormat="1"/>
    <row r="568" s="1297" customFormat="1"/>
    <row r="569" s="1297" customFormat="1"/>
    <row r="570" s="1297" customFormat="1"/>
    <row r="571" s="1297" customFormat="1"/>
    <row r="572" s="1297" customFormat="1"/>
    <row r="573" s="1297" customFormat="1"/>
    <row r="574" s="1297" customFormat="1"/>
    <row r="575" s="1297" customFormat="1"/>
    <row r="576" s="1297" customFormat="1"/>
    <row r="577" s="1297" customFormat="1"/>
    <row r="578" s="1297" customFormat="1"/>
    <row r="579" s="1297" customFormat="1"/>
    <row r="580" s="1297" customFormat="1"/>
    <row r="581" s="1297" customFormat="1"/>
    <row r="582" s="1297" customFormat="1"/>
    <row r="583" s="1297" customFormat="1"/>
    <row r="584" s="1297" customFormat="1"/>
    <row r="585" s="1297" customFormat="1"/>
    <row r="586" s="1297" customFormat="1"/>
    <row r="587" s="1297" customFormat="1"/>
    <row r="588" s="1297" customFormat="1"/>
    <row r="589" s="1297" customFormat="1"/>
    <row r="590" s="1297" customFormat="1"/>
    <row r="591" s="1297" customFormat="1"/>
    <row r="592" s="1297" customFormat="1"/>
    <row r="593" s="1297" customFormat="1"/>
    <row r="594" s="1297" customFormat="1"/>
    <row r="595" s="1297" customFormat="1"/>
    <row r="596" s="1297" customFormat="1"/>
    <row r="597" s="1297" customFormat="1"/>
    <row r="598" s="1297" customFormat="1"/>
    <row r="599" s="1297" customFormat="1"/>
    <row r="600" s="1297" customFormat="1"/>
    <row r="601" s="1297" customFormat="1"/>
    <row r="602" s="1297" customFormat="1"/>
    <row r="603" s="1297" customFormat="1"/>
    <row r="604" s="1297" customFormat="1"/>
    <row r="605" s="1297" customFormat="1"/>
    <row r="606" s="1297" customFormat="1"/>
    <row r="607" s="1297" customFormat="1"/>
    <row r="608" s="1297" customFormat="1"/>
    <row r="609" s="1297" customFormat="1"/>
    <row r="610" s="1297" customFormat="1"/>
    <row r="611" s="1297" customFormat="1"/>
    <row r="612" s="1297" customFormat="1"/>
    <row r="613" s="1297" customFormat="1"/>
    <row r="614" s="1297" customFormat="1"/>
    <row r="615" s="1297" customFormat="1"/>
    <row r="616" s="1297" customFormat="1"/>
    <row r="617" s="1297" customFormat="1"/>
    <row r="618" s="1297" customFormat="1"/>
    <row r="619" s="1297" customFormat="1"/>
    <row r="620" s="1297" customFormat="1"/>
    <row r="621" s="1297" customFormat="1"/>
    <row r="622" s="1297" customFormat="1"/>
    <row r="623" s="1297" customFormat="1"/>
    <row r="624" s="1297" customFormat="1"/>
    <row r="625" s="1297" customFormat="1"/>
    <row r="626" s="1297" customFormat="1"/>
    <row r="627" s="1297" customFormat="1"/>
    <row r="628" s="1297" customFormat="1"/>
    <row r="629" s="1297" customFormat="1"/>
    <row r="630" s="1297" customFormat="1"/>
    <row r="631" s="1297" customFormat="1"/>
    <row r="632" s="1297" customFormat="1"/>
    <row r="633" s="1297" customFormat="1"/>
    <row r="634" s="1297" customFormat="1"/>
    <row r="635" s="1297" customFormat="1"/>
    <row r="636" s="1297" customFormat="1"/>
    <row r="637" s="1297" customFormat="1"/>
    <row r="638" s="1297" customFormat="1"/>
    <row r="639" s="1297" customFormat="1"/>
    <row r="640" s="1297" customFormat="1"/>
    <row r="641" s="1297" customFormat="1"/>
    <row r="642" s="1297" customFormat="1"/>
    <row r="643" s="1297" customFormat="1"/>
    <row r="644" s="1297" customFormat="1"/>
    <row r="645" s="1297" customFormat="1"/>
    <row r="646" s="1297" customFormat="1"/>
    <row r="647" s="1297" customFormat="1"/>
    <row r="648" s="1297" customFormat="1"/>
    <row r="649" s="1297" customFormat="1"/>
    <row r="650" s="1297" customFormat="1"/>
    <row r="651" s="1297" customFormat="1"/>
    <row r="652" s="1297" customFormat="1"/>
    <row r="653" s="1297" customFormat="1"/>
    <row r="654" s="1297" customFormat="1"/>
    <row r="655" s="1297" customFormat="1"/>
    <row r="656" s="1297" customFormat="1"/>
    <row r="657" s="1297" customFormat="1"/>
    <row r="658" s="1297" customFormat="1"/>
    <row r="659" s="1297" customFormat="1"/>
    <row r="660" s="1297" customFormat="1"/>
    <row r="661" s="1297" customFormat="1"/>
    <row r="662" s="1297" customFormat="1"/>
    <row r="663" s="1297" customFormat="1"/>
    <row r="664" s="1297" customFormat="1"/>
    <row r="665" s="1297" customFormat="1"/>
    <row r="666" s="1297" customFormat="1"/>
    <row r="667" s="1297" customFormat="1"/>
    <row r="668" s="1297" customFormat="1"/>
    <row r="669" s="1297" customFormat="1"/>
    <row r="670" s="1297" customFormat="1"/>
    <row r="671" s="1297" customFormat="1"/>
    <row r="672" s="1297" customFormat="1"/>
    <row r="673" s="1297" customFormat="1"/>
    <row r="674" s="1297" customFormat="1"/>
    <row r="675" s="1297" customFormat="1"/>
    <row r="676" s="1297" customFormat="1"/>
    <row r="677" s="1297" customFormat="1"/>
    <row r="678" s="1297" customFormat="1"/>
    <row r="679" s="1297" customFormat="1"/>
    <row r="680" s="1297" customFormat="1"/>
    <row r="681" s="1297" customFormat="1"/>
    <row r="682" s="1297" customFormat="1"/>
    <row r="683" s="1297" customFormat="1"/>
    <row r="684" s="1297" customFormat="1"/>
    <row r="685" s="1297" customFormat="1"/>
    <row r="686" s="1297" customFormat="1"/>
    <row r="687" s="1297" customFormat="1"/>
    <row r="688" s="1297" customFormat="1"/>
    <row r="689" s="1297" customFormat="1"/>
    <row r="690" s="1297" customFormat="1"/>
    <row r="691" s="1297" customFormat="1"/>
    <row r="692" s="1297" customFormat="1"/>
    <row r="693" s="1297" customFormat="1"/>
    <row r="694" s="1297" customFormat="1"/>
    <row r="695" s="1297" customFormat="1"/>
    <row r="696" s="1297" customFormat="1"/>
    <row r="697" s="1297" customFormat="1"/>
    <row r="698" s="1297" customFormat="1"/>
    <row r="699" s="1297" customFormat="1"/>
    <row r="700" s="1297" customFormat="1"/>
    <row r="701" s="1297" customFormat="1"/>
    <row r="702" s="1297" customFormat="1"/>
    <row r="703" s="1297" customFormat="1"/>
    <row r="704" s="1297" customFormat="1"/>
    <row r="705" s="1297" customFormat="1"/>
    <row r="706" s="1297" customFormat="1"/>
    <row r="707" s="1297" customFormat="1"/>
    <row r="708" s="1297" customFormat="1"/>
    <row r="709" s="1297" customFormat="1"/>
    <row r="710" s="1297" customFormat="1"/>
    <row r="711" s="1297" customFormat="1"/>
    <row r="712" s="1297" customFormat="1"/>
    <row r="713" s="1297" customFormat="1"/>
    <row r="714" s="1297" customFormat="1"/>
    <row r="715" s="1297" customFormat="1"/>
    <row r="716" s="1297" customFormat="1"/>
    <row r="717" s="1297" customFormat="1"/>
    <row r="718" s="1297" customFormat="1"/>
    <row r="719" s="1297" customFormat="1"/>
    <row r="720" s="1297" customFormat="1"/>
    <row r="721" s="1297" customFormat="1"/>
    <row r="722" s="1297" customFormat="1"/>
    <row r="723" s="1297" customFormat="1"/>
    <row r="724" s="1297" customFormat="1"/>
    <row r="725" s="1297" customFormat="1"/>
    <row r="726" s="1297" customFormat="1"/>
    <row r="727" s="1297" customFormat="1"/>
    <row r="728" s="1297" customFormat="1"/>
    <row r="729" s="1297" customFormat="1"/>
    <row r="730" s="1297" customFormat="1"/>
    <row r="731" s="1297" customFormat="1"/>
    <row r="732" s="1297" customFormat="1"/>
    <row r="733" s="1297" customFormat="1"/>
    <row r="734" s="1297" customFormat="1"/>
    <row r="735" s="1297" customFormat="1"/>
    <row r="736" s="1297" customFormat="1"/>
    <row r="737" s="1297" customFormat="1"/>
    <row r="738" s="1297" customFormat="1"/>
    <row r="739" s="1297" customFormat="1"/>
    <row r="740" s="1297" customFormat="1"/>
    <row r="741" s="1297" customFormat="1"/>
    <row r="742" s="1297" customFormat="1"/>
    <row r="743" s="1297" customFormat="1"/>
    <row r="744" s="1297" customFormat="1"/>
    <row r="745" s="1297" customFormat="1"/>
    <row r="746" s="1297" customFormat="1"/>
    <row r="747" s="1297" customFormat="1"/>
    <row r="748" s="1297" customFormat="1"/>
    <row r="749" s="1297" customFormat="1"/>
    <row r="750" s="1297" customFormat="1"/>
    <row r="751" s="1297" customFormat="1"/>
    <row r="752" s="1297" customFormat="1"/>
    <row r="753" s="1297" customFormat="1"/>
    <row r="754" s="1297" customFormat="1"/>
    <row r="755" s="1297" customFormat="1"/>
    <row r="756" s="1297" customFormat="1"/>
    <row r="757" s="1297" customFormat="1"/>
    <row r="758" s="1297" customFormat="1"/>
    <row r="759" s="1297" customFormat="1"/>
    <row r="760" s="1297" customFormat="1"/>
    <row r="761" s="1297" customFormat="1"/>
    <row r="762" s="1297" customFormat="1"/>
    <row r="763" s="1297" customFormat="1"/>
    <row r="764" s="1297" customFormat="1"/>
    <row r="765" s="1297" customFormat="1"/>
    <row r="766" s="1297" customFormat="1"/>
    <row r="767" s="1297" customFormat="1"/>
    <row r="768" s="1297" customFormat="1"/>
    <row r="769" s="1297" customFormat="1"/>
    <row r="770" s="1297" customFormat="1"/>
    <row r="771" s="1297" customFormat="1"/>
    <row r="772" s="1297" customFormat="1"/>
    <row r="773" s="1297" customFormat="1"/>
    <row r="774" s="1297" customFormat="1"/>
    <row r="775" s="1297" customFormat="1"/>
    <row r="776" s="1297" customFormat="1"/>
    <row r="777" s="1297" customFormat="1"/>
    <row r="778" s="1297" customFormat="1"/>
    <row r="779" s="1297" customFormat="1"/>
    <row r="780" s="1297" customFormat="1"/>
    <row r="781" s="1297" customFormat="1"/>
    <row r="782" s="1297" customFormat="1"/>
    <row r="783" s="1297" customFormat="1"/>
    <row r="784" s="1297" customFormat="1"/>
    <row r="785" s="1297" customFormat="1"/>
    <row r="786" s="1297" customFormat="1"/>
    <row r="787" s="1297" customFormat="1"/>
    <row r="788" s="1297" customFormat="1"/>
    <row r="789" s="1297" customFormat="1"/>
    <row r="790" s="1297" customFormat="1"/>
    <row r="791" s="1297" customFormat="1"/>
    <row r="792" s="1297" customFormat="1"/>
    <row r="793" s="1297" customFormat="1"/>
    <row r="794" s="1297" customFormat="1"/>
    <row r="795" s="1297" customFormat="1"/>
    <row r="796" s="1297" customFormat="1"/>
    <row r="797" s="1297" customFormat="1"/>
    <row r="798" s="1297" customFormat="1"/>
    <row r="799" s="1297" customFormat="1"/>
    <row r="800" s="1297" customFormat="1"/>
    <row r="801" s="1297" customFormat="1"/>
    <row r="802" s="1297" customFormat="1"/>
    <row r="803" s="1297" customFormat="1"/>
    <row r="804" s="1297" customFormat="1"/>
    <row r="805" s="1297" customFormat="1"/>
    <row r="806" s="1297" customFormat="1"/>
    <row r="807" s="1297" customFormat="1"/>
    <row r="808" s="1297" customFormat="1"/>
    <row r="809" s="1297" customFormat="1"/>
    <row r="810" s="1297" customFormat="1"/>
    <row r="811" s="1297" customFormat="1"/>
    <row r="812" s="1297" customFormat="1"/>
    <row r="813" s="1297" customFormat="1"/>
    <row r="814" s="1297" customFormat="1"/>
    <row r="815" s="1297" customFormat="1"/>
    <row r="816" s="1297" customFormat="1"/>
    <row r="817" s="1297" customFormat="1"/>
    <row r="818" s="1297" customFormat="1"/>
    <row r="819" s="1297" customFormat="1"/>
    <row r="820" s="1297" customFormat="1"/>
    <row r="821" s="1297" customFormat="1"/>
    <row r="822" s="1297" customFormat="1"/>
    <row r="823" s="1297" customFormat="1"/>
    <row r="824" s="1297" customFormat="1"/>
    <row r="825" s="1297" customFormat="1"/>
    <row r="826" s="1297" customFormat="1"/>
    <row r="827" s="1297" customFormat="1"/>
    <row r="828" s="1297" customFormat="1"/>
    <row r="829" s="1297" customFormat="1"/>
    <row r="830" s="1297" customFormat="1"/>
    <row r="831" s="1297" customFormat="1"/>
    <row r="832" s="1297" customFormat="1"/>
    <row r="833" s="1297" customFormat="1"/>
    <row r="834" s="1297" customFormat="1"/>
    <row r="835" s="1297" customFormat="1"/>
    <row r="836" s="1297" customFormat="1"/>
    <row r="837" s="1297" customFormat="1"/>
    <row r="838" s="1297" customFormat="1"/>
    <row r="839" s="1297" customFormat="1"/>
    <row r="840" s="1297" customFormat="1"/>
    <row r="841" s="1297" customFormat="1"/>
    <row r="842" s="1297" customFormat="1"/>
    <row r="843" s="1297" customFormat="1"/>
    <row r="844" s="1297" customFormat="1"/>
    <row r="845" s="1297" customFormat="1"/>
    <row r="846" s="1297" customFormat="1"/>
    <row r="847" s="1297" customFormat="1"/>
    <row r="848" s="1297" customFormat="1"/>
    <row r="849" s="1297" customFormat="1"/>
    <row r="850" s="1297" customFormat="1"/>
    <row r="851" s="1297" customFormat="1"/>
    <row r="852" s="1297" customFormat="1"/>
    <row r="853" s="1297" customFormat="1"/>
    <row r="854" s="1297" customFormat="1"/>
    <row r="855" s="1297" customFormat="1"/>
    <row r="856" s="1297" customFormat="1"/>
    <row r="857" s="1297" customFormat="1"/>
    <row r="858" s="1297" customFormat="1"/>
    <row r="859" s="1297" customFormat="1"/>
    <row r="860" s="1297" customFormat="1"/>
    <row r="861" s="1297" customFormat="1"/>
    <row r="862" s="1297" customFormat="1"/>
    <row r="863" s="1297" customFormat="1"/>
    <row r="864" s="1297" customFormat="1"/>
    <row r="865" s="1297" customFormat="1"/>
    <row r="866" s="1297" customFormat="1"/>
    <row r="867" s="1297" customFormat="1"/>
    <row r="868" s="1297" customFormat="1"/>
    <row r="869" s="1297" customFormat="1"/>
    <row r="870" s="1297" customFormat="1"/>
    <row r="871" s="1297" customFormat="1"/>
    <row r="872" s="1297" customFormat="1"/>
    <row r="873" s="1297" customFormat="1"/>
    <row r="874" s="1297" customFormat="1"/>
    <row r="875" s="1297" customFormat="1"/>
    <row r="876" s="1297" customFormat="1"/>
    <row r="877" s="1297" customFormat="1"/>
    <row r="878" s="1297" customFormat="1"/>
    <row r="879" s="1297" customFormat="1"/>
    <row r="880" s="1297" customFormat="1"/>
    <row r="881" s="1297" customFormat="1"/>
    <row r="882" s="1297" customFormat="1"/>
    <row r="883" s="1297" customFormat="1"/>
    <row r="884" s="1297" customFormat="1"/>
    <row r="885" s="1297" customFormat="1"/>
    <row r="886" s="1297" customFormat="1"/>
    <row r="887" s="1297" customFormat="1"/>
    <row r="888" s="1297" customFormat="1"/>
    <row r="889" s="1297" customFormat="1"/>
    <row r="890" s="1297" customFormat="1"/>
    <row r="891" s="1297" customFormat="1"/>
    <row r="892" s="1297" customFormat="1"/>
    <row r="893" s="1297" customFormat="1"/>
    <row r="894" s="1297" customFormat="1"/>
    <row r="895" s="1297" customFormat="1"/>
    <row r="896" s="1297" customFormat="1"/>
    <row r="897" s="1297" customFormat="1"/>
    <row r="898" s="1297" customFormat="1"/>
    <row r="899" s="1297" customFormat="1"/>
    <row r="900" s="1297" customFormat="1"/>
    <row r="901" s="1297" customFormat="1"/>
    <row r="902" s="1297" customFormat="1"/>
    <row r="903" s="1297" customFormat="1"/>
    <row r="904" s="1297" customFormat="1"/>
    <row r="905" s="1297" customFormat="1"/>
    <row r="906" s="1297" customFormat="1"/>
    <row r="907" s="1297" customFormat="1"/>
    <row r="908" s="1297" customFormat="1"/>
    <row r="909" s="1297" customFormat="1"/>
    <row r="910" s="1297" customFormat="1"/>
    <row r="911" s="1297" customFormat="1"/>
    <row r="912" s="1297" customFormat="1"/>
    <row r="913" s="1297" customFormat="1"/>
    <row r="914" s="1297" customFormat="1"/>
    <row r="915" s="1297" customFormat="1"/>
    <row r="916" s="1297" customFormat="1"/>
    <row r="917" s="1297" customFormat="1"/>
    <row r="918" s="1297" customFormat="1"/>
    <row r="919" s="1297" customFormat="1"/>
    <row r="920" s="1297" customFormat="1"/>
    <row r="921" s="1297" customFormat="1"/>
    <row r="922" s="1297" customFormat="1"/>
    <row r="923" s="1297" customFormat="1"/>
    <row r="924" s="1297" customFormat="1"/>
    <row r="925" s="1297" customFormat="1"/>
    <row r="926" s="1297" customFormat="1"/>
    <row r="927" s="1297" customFormat="1"/>
    <row r="928" s="1297" customFormat="1"/>
    <row r="929" s="1297" customFormat="1"/>
    <row r="930" s="1297" customFormat="1"/>
    <row r="931" s="1297" customFormat="1"/>
    <row r="932" s="1297" customFormat="1"/>
    <row r="933" s="1297" customFormat="1"/>
    <row r="934" s="1297" customFormat="1"/>
    <row r="935" s="1297" customFormat="1"/>
    <row r="936" s="1297" customFormat="1"/>
    <row r="937" s="1297" customFormat="1"/>
    <row r="938" s="1297" customFormat="1"/>
    <row r="939" s="1297" customFormat="1"/>
    <row r="940" s="1297" customFormat="1"/>
    <row r="941" s="1297" customFormat="1"/>
    <row r="942" s="1297" customFormat="1"/>
    <row r="943" s="1297" customFormat="1"/>
    <row r="944" s="1297" customFormat="1"/>
    <row r="945" s="1297" customFormat="1"/>
    <row r="946" s="1297" customFormat="1"/>
    <row r="947" s="1297" customFormat="1"/>
    <row r="948" s="1297" customFormat="1"/>
    <row r="949" s="1297" customFormat="1"/>
    <row r="950" s="1297" customFormat="1"/>
    <row r="951" s="1297" customFormat="1"/>
    <row r="952" s="1297" customFormat="1"/>
    <row r="953" s="1297" customFormat="1"/>
    <row r="954" s="1297" customFormat="1"/>
    <row r="955" s="1297" customFormat="1"/>
    <row r="956" s="1297" customFormat="1"/>
    <row r="957" s="1297" customFormat="1"/>
    <row r="958" s="1297" customFormat="1"/>
    <row r="959" s="1297" customFormat="1"/>
    <row r="960" s="1297" customFormat="1"/>
    <row r="961" s="1297" customFormat="1"/>
    <row r="962" s="1297" customFormat="1"/>
    <row r="963" s="1297" customFormat="1"/>
    <row r="964" s="1297" customFormat="1"/>
    <row r="965" s="1297" customFormat="1"/>
    <row r="966" s="1297" customFormat="1"/>
    <row r="967" s="1297" customFormat="1"/>
    <row r="968" s="1297" customFormat="1"/>
    <row r="969" s="1297" customFormat="1"/>
    <row r="970" s="1297" customFormat="1"/>
    <row r="971" s="1297" customFormat="1"/>
    <row r="972" s="1297" customFormat="1"/>
    <row r="973" s="1297" customFormat="1"/>
    <row r="974" s="1297" customFormat="1"/>
    <row r="975" s="1297" customFormat="1"/>
    <row r="976" s="1297" customFormat="1"/>
    <row r="977" s="1297" customFormat="1"/>
    <row r="978" s="1297" customFormat="1"/>
    <row r="979" s="1297" customFormat="1"/>
    <row r="980" s="1297" customFormat="1"/>
    <row r="981" s="1297" customFormat="1"/>
    <row r="982" s="1297" customFormat="1"/>
    <row r="983" s="1297" customFormat="1"/>
    <row r="984" s="1297" customFormat="1"/>
    <row r="985" s="1297" customFormat="1"/>
    <row r="986" s="1297" customFormat="1"/>
    <row r="987" s="1297" customFormat="1"/>
    <row r="988" s="1297" customFormat="1"/>
    <row r="989" s="1297" customFormat="1"/>
    <row r="990" s="1297" customFormat="1"/>
    <row r="991" s="1297" customFormat="1"/>
    <row r="992" s="1297" customFormat="1"/>
    <row r="993" s="1297" customFormat="1"/>
    <row r="994" s="1297" customFormat="1"/>
    <row r="995" s="1297" customFormat="1"/>
    <row r="996" s="1297" customFormat="1"/>
    <row r="997" s="1297" customFormat="1"/>
    <row r="998" s="1297" customFormat="1"/>
    <row r="999" s="1297" customFormat="1"/>
    <row r="1000" s="1297" customFormat="1"/>
    <row r="1001" s="1297" customFormat="1"/>
    <row r="1002" s="1297" customFormat="1"/>
    <row r="1003" s="1297" customFormat="1"/>
    <row r="1004" s="1297" customFormat="1"/>
    <row r="1005" s="1297" customFormat="1"/>
    <row r="1006" s="1297" customFormat="1"/>
    <row r="1007" s="1297" customFormat="1"/>
    <row r="1008" s="1297" customFormat="1"/>
    <row r="1009" s="1297" customFormat="1"/>
    <row r="1010" s="1297" customFormat="1"/>
    <row r="1011" s="1297" customFormat="1"/>
    <row r="1012" s="1297" customFormat="1"/>
    <row r="1013" s="1297" customFormat="1"/>
    <row r="1014" s="1297" customFormat="1"/>
    <row r="1015" s="1297" customFormat="1"/>
    <row r="1016" s="1297" customFormat="1"/>
    <row r="1017" s="1297" customFormat="1"/>
    <row r="1018" s="1297" customFormat="1"/>
    <row r="1019" s="1297" customFormat="1"/>
    <row r="1020" s="1297" customFormat="1"/>
    <row r="1021" s="1297" customFormat="1"/>
    <row r="1022" s="1297" customFormat="1"/>
    <row r="1023" s="1297" customFormat="1"/>
    <row r="1024" s="1297" customFormat="1"/>
    <row r="1025" s="1297" customFormat="1"/>
    <row r="1026" s="1297" customFormat="1"/>
    <row r="1027" s="1297" customFormat="1"/>
    <row r="1028" s="1297" customFormat="1"/>
    <row r="1029" s="1297" customFormat="1"/>
    <row r="1030" s="1297" customFormat="1"/>
    <row r="1031" s="1297" customFormat="1"/>
    <row r="1032" s="1297" customFormat="1"/>
    <row r="1033" s="1297" customFormat="1"/>
    <row r="1034" s="1297" customFormat="1"/>
    <row r="1035" s="1297" customFormat="1"/>
    <row r="1036" s="1297" customFormat="1"/>
    <row r="1037" s="1297" customFormat="1"/>
    <row r="1038" s="1297" customFormat="1"/>
    <row r="1039" s="1297" customFormat="1"/>
    <row r="1040" s="1297" customFormat="1"/>
    <row r="1041" s="1297" customFormat="1"/>
    <row r="1042" s="1297" customFormat="1"/>
    <row r="1043" s="1297" customFormat="1"/>
    <row r="1044" s="1297" customFormat="1"/>
    <row r="1045" s="1297" customFormat="1"/>
    <row r="1046" s="1297" customFormat="1"/>
    <row r="1047" s="1297" customFormat="1"/>
    <row r="1048" s="1297" customFormat="1"/>
    <row r="1049" s="1297" customFormat="1"/>
    <row r="1050" s="1297" customFormat="1"/>
    <row r="1051" s="1297" customFormat="1"/>
    <row r="1052" s="1297" customFormat="1"/>
    <row r="1053" s="1297" customFormat="1"/>
  </sheetData>
  <sheetProtection algorithmName="SHA-512" hashValue="IaIQPdOD4FVKcAoaZLFxXmW7qNxMoFCm1UJ3CMwo1xqvQOybIfdQylI9VqAU7qkwp7bXUEYRrlB45GCrawql1w==" saltValue="GrQlem8oST9F5Nxi/ueNTQ==" spinCount="100000" sheet="1" objects="1" scenarios="1"/>
  <mergeCells count="74">
    <mergeCell ref="B61:B70"/>
    <mergeCell ref="B72:B81"/>
    <mergeCell ref="B83:B92"/>
    <mergeCell ref="A39:A48"/>
    <mergeCell ref="B39:B48"/>
    <mergeCell ref="B50:B59"/>
    <mergeCell ref="E9:K9"/>
    <mergeCell ref="E10:F10"/>
    <mergeCell ref="H10:I10"/>
    <mergeCell ref="B11:B12"/>
    <mergeCell ref="E11:F11"/>
    <mergeCell ref="H11:I11"/>
    <mergeCell ref="J11:J12"/>
    <mergeCell ref="K11:K12"/>
    <mergeCell ref="B9:C10"/>
    <mergeCell ref="C11:C12"/>
    <mergeCell ref="B13:B15"/>
    <mergeCell ref="A17:A26"/>
    <mergeCell ref="B17:B26"/>
    <mergeCell ref="A28:A37"/>
    <mergeCell ref="B28:B37"/>
    <mergeCell ref="C13:C15"/>
    <mergeCell ref="C17:C26"/>
    <mergeCell ref="C28:C37"/>
    <mergeCell ref="C39:C48"/>
    <mergeCell ref="C61:C70"/>
    <mergeCell ref="C50:C59"/>
    <mergeCell ref="C72:C81"/>
    <mergeCell ref="C83:C92"/>
    <mergeCell ref="B133:C133"/>
    <mergeCell ref="B116:B125"/>
    <mergeCell ref="B105:B114"/>
    <mergeCell ref="C94:C103"/>
    <mergeCell ref="C105:C114"/>
    <mergeCell ref="C116:C125"/>
    <mergeCell ref="B130:C130"/>
    <mergeCell ref="B131:C131"/>
    <mergeCell ref="B132:C132"/>
    <mergeCell ref="B94:B103"/>
    <mergeCell ref="B134:C134"/>
    <mergeCell ref="B135:C135"/>
    <mergeCell ref="B136:C136"/>
    <mergeCell ref="B137:C137"/>
    <mergeCell ref="B138:C138"/>
    <mergeCell ref="B139:C139"/>
    <mergeCell ref="B140:C140"/>
    <mergeCell ref="B144:C144"/>
    <mergeCell ref="B145:C145"/>
    <mergeCell ref="B146:C146"/>
    <mergeCell ref="B147:C147"/>
    <mergeCell ref="B148:C148"/>
    <mergeCell ref="G13:G15"/>
    <mergeCell ref="G17:G26"/>
    <mergeCell ref="G28:G37"/>
    <mergeCell ref="G39:G48"/>
    <mergeCell ref="G50:G59"/>
    <mergeCell ref="G61:G70"/>
    <mergeCell ref="G72:G81"/>
    <mergeCell ref="G83:G92"/>
    <mergeCell ref="G94:G103"/>
    <mergeCell ref="G105:G114"/>
    <mergeCell ref="G116:G125"/>
    <mergeCell ref="D17:D26"/>
    <mergeCell ref="D28:D37"/>
    <mergeCell ref="D94:D103"/>
    <mergeCell ref="D105:D114"/>
    <mergeCell ref="D116:D125"/>
    <mergeCell ref="D11:D12"/>
    <mergeCell ref="D13:D15"/>
    <mergeCell ref="D39:D48"/>
    <mergeCell ref="D50:D59"/>
    <mergeCell ref="D61:D70"/>
    <mergeCell ref="D72:D81"/>
    <mergeCell ref="D83:D92"/>
  </mergeCells>
  <dataValidations count="1">
    <dataValidation allowBlank="1" showInputMessage="1" showErrorMessage="1" prompt="Indiquez par exemple si la facture que vous enverrez à Énergir comprend des coûts qui ne sont pas associés à la mesure subventionnée." sqref="J11:J12" xr:uid="{9A635B11-D57A-48E8-BE4D-D9D42BB00C0C}"/>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1BD22A4-D9F8-48DD-BE78-18B9CC32799C}">
          <x14:formula1>
            <xm:f>'Menus déroulants'!$C$14:$C$20</xm:f>
          </x14:formula1>
          <xm:sqref>B105:B114 B17:B26 B28:B37 B39:B48 B50:B59 B61:B70 B72:B81 B83:B92 B94:B103 B116:B125</xm:sqref>
        </x14:dataValidation>
        <x14:dataValidation type="list" allowBlank="1" showInputMessage="1" showErrorMessage="1" xr:uid="{3763AB7D-DBA9-4F68-BD50-137CB2FE02CC}">
          <x14:formula1>
            <xm:f>'Menus déroulants'!$E$14:$E$19</xm:f>
          </x14:formula1>
          <xm:sqref>C105:C114 C17:C26 C28:C37 C39:C48 C50:C59 C61:C70 C72:C81 C83:C92 C94:C103 C116:C125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heetViews>
  <sheetFormatPr baseColWidth="10" defaultColWidth="11.42578125" defaultRowHeight="12.75"/>
  <cols>
    <col min="1" max="1" width="22.5703125" style="27" customWidth="1"/>
    <col min="2" max="2" width="11.42578125" style="27"/>
    <col min="3" max="3" width="29.42578125" style="27" customWidth="1"/>
    <col min="4" max="4" width="11.5703125" style="27" bestFit="1" customWidth="1"/>
    <col min="5" max="5" width="11.85546875" style="27" bestFit="1" customWidth="1"/>
    <col min="6" max="9" width="11.5703125" style="27" bestFit="1" customWidth="1"/>
    <col min="10" max="10" width="16.42578125" style="27" customWidth="1"/>
    <col min="11" max="11" width="17.140625" style="27" customWidth="1"/>
    <col min="12" max="12" width="13.85546875" style="27" customWidth="1"/>
    <col min="13" max="13" width="17.140625" style="27" customWidth="1"/>
    <col min="14" max="15" width="10.5703125" style="27" customWidth="1"/>
    <col min="16" max="16" width="12.140625" style="27" customWidth="1"/>
    <col min="17" max="18" width="10.5703125" style="27" customWidth="1"/>
    <col min="19" max="19" width="11.5703125" style="27" customWidth="1"/>
    <col min="20" max="22" width="10.5703125" style="27" customWidth="1"/>
    <col min="23" max="25" width="11.42578125" style="27"/>
    <col min="26" max="26" width="11.42578125" style="701"/>
    <col min="27" max="27" width="13.85546875" style="31" customWidth="1"/>
    <col min="28" max="29" width="13.85546875" style="27" customWidth="1"/>
    <col min="30" max="16384" width="11.42578125" style="27"/>
  </cols>
  <sheetData>
    <row r="1" spans="1:31">
      <c r="G1" s="476"/>
      <c r="AA1" s="2399" t="s">
        <v>594</v>
      </c>
      <c r="AB1" s="2399"/>
      <c r="AC1" s="2399"/>
    </row>
    <row r="2" spans="1:31">
      <c r="E2" s="28" t="s">
        <v>164</v>
      </c>
      <c r="F2" s="29" t="s">
        <v>19</v>
      </c>
      <c r="G2" s="30">
        <f>1-(G4/(G5+ABS(L27)))</f>
        <v>0.83178495081709203</v>
      </c>
      <c r="AA2" s="2399"/>
      <c r="AB2" s="2399"/>
      <c r="AC2" s="2399"/>
    </row>
    <row r="3" spans="1:31" ht="15.75" thickBot="1">
      <c r="B3" s="7"/>
      <c r="C3" s="701"/>
      <c r="U3" s="477"/>
      <c r="AA3" s="2399"/>
      <c r="AB3" s="2399"/>
      <c r="AC3" s="2399"/>
    </row>
    <row r="4" spans="1:31" ht="13.5" thickBot="1">
      <c r="E4" s="31" t="s">
        <v>165</v>
      </c>
      <c r="F4" s="31" t="s">
        <v>166</v>
      </c>
      <c r="G4" s="373">
        <f>V27</f>
        <v>147746.41540124468</v>
      </c>
      <c r="H4" s="33"/>
      <c r="AA4" s="73" t="s">
        <v>592</v>
      </c>
      <c r="AB4" s="480">
        <f>'Micromodulation et sonde O2'!G64</f>
        <v>0.83747950019628004</v>
      </c>
      <c r="AD4" s="478"/>
    </row>
    <row r="5" spans="1:31">
      <c r="A5" s="34" t="s">
        <v>167</v>
      </c>
      <c r="E5" s="31" t="s">
        <v>168</v>
      </c>
      <c r="F5" s="31" t="s">
        <v>166</v>
      </c>
      <c r="G5" s="373">
        <f>P27+S27</f>
        <v>-4679.9930678642395</v>
      </c>
      <c r="J5" s="2351" t="s">
        <v>509</v>
      </c>
      <c r="K5" s="2352"/>
      <c r="L5" s="2352"/>
      <c r="M5" s="2353"/>
      <c r="N5" s="2400" t="s">
        <v>169</v>
      </c>
      <c r="O5" s="2401"/>
      <c r="P5" s="2401"/>
      <c r="Q5" s="2401"/>
      <c r="R5" s="2401"/>
      <c r="S5" s="2401"/>
      <c r="T5" s="2401"/>
      <c r="U5" s="2401"/>
      <c r="V5" s="2402"/>
      <c r="AA5" s="73" t="s">
        <v>586</v>
      </c>
      <c r="AB5" s="702">
        <f>(AB4-AE11)/AE10</f>
        <v>184.85896020521545</v>
      </c>
      <c r="AC5" s="479" t="s">
        <v>16</v>
      </c>
    </row>
    <row r="6" spans="1:31">
      <c r="A6" s="418" t="s">
        <v>508</v>
      </c>
      <c r="J6" s="2354" t="s">
        <v>507</v>
      </c>
      <c r="K6" s="2355"/>
      <c r="L6" s="2355"/>
      <c r="M6" s="2356"/>
      <c r="N6" s="2366" t="s">
        <v>506</v>
      </c>
      <c r="O6" s="2367"/>
      <c r="P6" s="2368"/>
      <c r="Q6" s="2366" t="s">
        <v>170</v>
      </c>
      <c r="R6" s="2367"/>
      <c r="S6" s="2368"/>
      <c r="T6" s="2366" t="s">
        <v>223</v>
      </c>
      <c r="U6" s="2367"/>
      <c r="V6" s="2368"/>
      <c r="AA6" s="73"/>
      <c r="AB6" s="475"/>
    </row>
    <row r="7" spans="1:31" ht="14.25" customHeight="1">
      <c r="C7" s="2373" t="s">
        <v>505</v>
      </c>
      <c r="D7" s="2341" t="s">
        <v>504</v>
      </c>
      <c r="E7" s="2343"/>
      <c r="F7" s="2341" t="s">
        <v>503</v>
      </c>
      <c r="G7" s="2342"/>
      <c r="H7" s="2342"/>
      <c r="I7" s="2342"/>
      <c r="J7" s="36" t="s">
        <v>171</v>
      </c>
      <c r="K7" s="37" t="s">
        <v>172</v>
      </c>
      <c r="L7" s="37" t="s">
        <v>502</v>
      </c>
      <c r="M7" s="2357" t="s">
        <v>501</v>
      </c>
      <c r="N7" s="38" t="s">
        <v>173</v>
      </c>
      <c r="O7" s="39">
        <f>'3c. Calculateur MEÉ 2-3-4'!M40</f>
        <v>0</v>
      </c>
      <c r="P7" s="40"/>
      <c r="Q7" s="41" t="s">
        <v>173</v>
      </c>
      <c r="R7" s="42">
        <f>'3c. Calculateur MEÉ 2-3-4'!M39</f>
        <v>0</v>
      </c>
      <c r="S7" s="40"/>
      <c r="T7" s="41" t="s">
        <v>173</v>
      </c>
      <c r="U7" s="489">
        <v>200</v>
      </c>
      <c r="V7" s="40"/>
      <c r="AA7" s="485" t="s">
        <v>596</v>
      </c>
      <c r="AB7" s="481" t="s">
        <v>595</v>
      </c>
    </row>
    <row r="8" spans="1:31" ht="39.75">
      <c r="C8" s="2374"/>
      <c r="D8" s="417" t="s">
        <v>500</v>
      </c>
      <c r="E8" s="416" t="s">
        <v>499</v>
      </c>
      <c r="F8" s="2349" t="s">
        <v>174</v>
      </c>
      <c r="G8" s="2350"/>
      <c r="H8" s="2350"/>
      <c r="I8" s="2350"/>
      <c r="J8" s="43" t="s">
        <v>175</v>
      </c>
      <c r="K8" s="45" t="s">
        <v>175</v>
      </c>
      <c r="L8" s="45"/>
      <c r="M8" s="2358"/>
      <c r="N8" s="45" t="s">
        <v>176</v>
      </c>
      <c r="O8" s="45" t="s">
        <v>177</v>
      </c>
      <c r="P8" s="44" t="s">
        <v>178</v>
      </c>
      <c r="Q8" s="43" t="s">
        <v>176</v>
      </c>
      <c r="R8" s="45" t="s">
        <v>177</v>
      </c>
      <c r="S8" s="44" t="s">
        <v>178</v>
      </c>
      <c r="T8" s="43" t="s">
        <v>176</v>
      </c>
      <c r="U8" s="45" t="s">
        <v>177</v>
      </c>
      <c r="V8" s="44" t="s">
        <v>178</v>
      </c>
      <c r="AA8" s="486"/>
      <c r="AB8" s="488"/>
      <c r="AD8" s="27" t="s">
        <v>969</v>
      </c>
    </row>
    <row r="9" spans="1:31" ht="22.5">
      <c r="B9" s="27" t="s">
        <v>44</v>
      </c>
      <c r="C9" s="365" t="s">
        <v>498</v>
      </c>
      <c r="D9" s="2375" t="s">
        <v>498</v>
      </c>
      <c r="E9" s="2376"/>
      <c r="F9" s="2370" t="s">
        <v>211</v>
      </c>
      <c r="G9" s="2371"/>
      <c r="H9" s="2371"/>
      <c r="I9" s="2372"/>
      <c r="J9" s="43"/>
      <c r="K9" s="45"/>
      <c r="L9" s="45"/>
      <c r="M9" s="415" t="s">
        <v>497</v>
      </c>
      <c r="N9" s="45"/>
      <c r="O9" s="45"/>
      <c r="P9" s="44"/>
      <c r="Q9" s="45"/>
      <c r="R9" s="45"/>
      <c r="S9" s="44"/>
      <c r="T9" s="45"/>
      <c r="U9" s="45"/>
      <c r="V9" s="44"/>
      <c r="AA9" s="487"/>
      <c r="AB9" s="482">
        <f>1-(G4/(G5+ABS(L27)))</f>
        <v>0.83178495081709203</v>
      </c>
      <c r="AD9" s="703" t="s">
        <v>970</v>
      </c>
      <c r="AE9" s="703"/>
    </row>
    <row r="10" spans="1:31" ht="23.25" customHeight="1">
      <c r="A10" s="414" t="s">
        <v>179</v>
      </c>
      <c r="C10" s="413" t="s">
        <v>180</v>
      </c>
      <c r="D10" s="412" t="s">
        <v>496</v>
      </c>
      <c r="E10" s="411" t="s">
        <v>495</v>
      </c>
      <c r="F10" s="47" t="s">
        <v>181</v>
      </c>
      <c r="G10" s="48" t="s">
        <v>182</v>
      </c>
      <c r="H10" s="48" t="s">
        <v>183</v>
      </c>
      <c r="I10" s="48" t="s">
        <v>184</v>
      </c>
      <c r="J10" s="49" t="s">
        <v>180</v>
      </c>
      <c r="K10" s="48" t="s">
        <v>185</v>
      </c>
      <c r="L10" s="51" t="s">
        <v>166</v>
      </c>
      <c r="M10" s="410" t="s">
        <v>166</v>
      </c>
      <c r="N10" s="409" t="s">
        <v>456</v>
      </c>
      <c r="O10" s="51" t="s">
        <v>187</v>
      </c>
      <c r="P10" s="50" t="s">
        <v>166</v>
      </c>
      <c r="Q10" s="409" t="s">
        <v>456</v>
      </c>
      <c r="R10" s="51" t="s">
        <v>187</v>
      </c>
      <c r="S10" s="50" t="s">
        <v>166</v>
      </c>
      <c r="T10" s="409" t="s">
        <v>456</v>
      </c>
      <c r="U10" s="51" t="s">
        <v>187</v>
      </c>
      <c r="V10" s="50" t="s">
        <v>166</v>
      </c>
      <c r="AA10" s="62">
        <v>200</v>
      </c>
      <c r="AB10" s="483">
        <f t="dataTable" ref="AB10:AB11" dt2D="0" dtr="0" r1="U7"/>
        <v>0.83178495081709203</v>
      </c>
      <c r="AD10" s="27" t="s">
        <v>967</v>
      </c>
      <c r="AE10" s="27">
        <f>SLOPE(AB10:AB11,AA10:AA11)</f>
        <v>-3.7610028481330156E-4</v>
      </c>
    </row>
    <row r="11" spans="1:31" ht="15.75">
      <c r="A11" s="52" t="s">
        <v>188</v>
      </c>
      <c r="B11" s="53" t="s">
        <v>189</v>
      </c>
      <c r="C11" s="408">
        <v>31.998799999999999</v>
      </c>
      <c r="D11" s="401">
        <v>0</v>
      </c>
      <c r="E11" s="400">
        <v>0</v>
      </c>
      <c r="F11" s="55">
        <v>29.1</v>
      </c>
      <c r="G11" s="56">
        <v>1.1579999999999999</v>
      </c>
      <c r="H11" s="56">
        <v>-0.60760000000000003</v>
      </c>
      <c r="I11" s="56">
        <v>1.3109999999999999</v>
      </c>
      <c r="J11" s="57">
        <f>N11*C11</f>
        <v>0</v>
      </c>
      <c r="K11" s="56">
        <f t="shared" ref="K11:K26" si="0">($E$29*(C11/1000))/($B$32*$B$29)*N11</f>
        <v>0</v>
      </c>
      <c r="L11" s="373">
        <f t="shared" ref="L11:L26" si="1">N11*E11</f>
        <v>0</v>
      </c>
      <c r="M11" s="397">
        <f t="shared" ref="M11:M26" si="2">N11*D11/2*$W$15</f>
        <v>0</v>
      </c>
      <c r="N11" s="59">
        <f>'Combustion_Chaud4 (Micro)'!C53/100</f>
        <v>0</v>
      </c>
      <c r="O11" s="58">
        <f>AVERAGE($F11+$G11/100*O$7+$H11/100000*O$7^2+$I11/1000000000*O$7^3,$F11+$G11/100*$B$28+$H11/100000*$B$28^2+$I11/1000000000*$B$28^3)</f>
        <v>29.189302368703927</v>
      </c>
      <c r="P11" s="60">
        <f>N11*O11*(O$7-$B$28)</f>
        <v>0</v>
      </c>
      <c r="Q11" s="59">
        <f>'Combustion_Chaud4 (Micro)'!G88</f>
        <v>1.9809999999999999</v>
      </c>
      <c r="R11" s="58">
        <f t="shared" ref="R11:R26" si="3">AVERAGE($F11+$G11/100*R$7+$H11/100000*R$7^2+$I11/1000000000*R$7^3,$F11+$G11/100*$B$28+$H11/100000*$B$28^2+$I11/1000000000*$B$28^3)</f>
        <v>29.189302368703927</v>
      </c>
      <c r="S11" s="400">
        <f>Q11*R11*(R$7-$B$28)</f>
        <v>-899.16332428185854</v>
      </c>
      <c r="T11" s="59">
        <f>'Combustion_Chaud4 (Micro)'!L79</f>
        <v>0</v>
      </c>
      <c r="U11" s="58">
        <f t="shared" ref="U11:U26" si="4">AVERAGE($F11+$G11/100*U$7+$H11/100000*U$7^2+$I11/1000000000*U$7^3,$F11+$G11/100*$B$28+$H11/100000*$B$28^2+$I11/1000000000*$B$28^3)</f>
        <v>30.231026368703926</v>
      </c>
      <c r="V11" s="400">
        <f>T11*U11*(U$7-$B$28)</f>
        <v>0</v>
      </c>
      <c r="AA11" s="70">
        <v>110</v>
      </c>
      <c r="AB11" s="484">
        <v>0.86563397645028917</v>
      </c>
      <c r="AD11" s="27" t="s">
        <v>968</v>
      </c>
      <c r="AE11" s="27">
        <f>INTERCEPT(AB10:AB11,AA10:AA11)</f>
        <v>0.90700500777975235</v>
      </c>
    </row>
    <row r="12" spans="1:31" ht="15">
      <c r="A12" s="61" t="s">
        <v>469</v>
      </c>
      <c r="B12" s="27" t="s">
        <v>190</v>
      </c>
      <c r="C12" s="402">
        <v>28.010100000000001</v>
      </c>
      <c r="D12" s="401">
        <v>0</v>
      </c>
      <c r="E12" s="400">
        <v>-282910</v>
      </c>
      <c r="F12" s="59">
        <v>28.95</v>
      </c>
      <c r="G12" s="58">
        <v>0.41099999999999998</v>
      </c>
      <c r="H12" s="58">
        <v>0.3548</v>
      </c>
      <c r="I12" s="58">
        <v>-2.2200000000000002</v>
      </c>
      <c r="J12" s="57">
        <f t="shared" ref="J12:J26" si="5">N12*C12</f>
        <v>0</v>
      </c>
      <c r="K12" s="58">
        <f t="shared" si="0"/>
        <v>0</v>
      </c>
      <c r="L12" s="373">
        <f t="shared" si="1"/>
        <v>0</v>
      </c>
      <c r="M12" s="397">
        <f t="shared" si="2"/>
        <v>0</v>
      </c>
      <c r="N12" s="59">
        <f>'Combustion_Chaud4 (Micro)'!C54/100</f>
        <v>0</v>
      </c>
      <c r="O12" s="58">
        <f t="shared" ref="O12:O26" si="6">AVERAGE($F12+$G12/100*O$7+$H12/100000*O$7^2+$I12/1000000000*O$7^3,$F12+$G12/100*$B$28+$H12/100000*$B$28^2+$I12/1000000000*$B$28^3)</f>
        <v>28.982380034002947</v>
      </c>
      <c r="P12" s="60">
        <f>N12*O12*(O$7-$B$28)</f>
        <v>0</v>
      </c>
      <c r="Q12" s="403"/>
      <c r="R12" s="58">
        <f t="shared" si="3"/>
        <v>28.982380034002947</v>
      </c>
      <c r="S12" s="400">
        <f>Q12*R12*(R$7-$B$28)</f>
        <v>0</v>
      </c>
      <c r="T12" s="403"/>
      <c r="U12" s="58">
        <f t="shared" si="4"/>
        <v>29.455460034002947</v>
      </c>
      <c r="V12" s="400">
        <f>T12*U12*(U$7-$B$28)</f>
        <v>0</v>
      </c>
      <c r="AA12" s="7"/>
      <c r="AB12" s="7"/>
    </row>
    <row r="13" spans="1:31" ht="15.75">
      <c r="A13" s="61" t="s">
        <v>454</v>
      </c>
      <c r="B13" s="27" t="s">
        <v>191</v>
      </c>
      <c r="C13" s="402">
        <v>44.009500000000003</v>
      </c>
      <c r="D13" s="401">
        <v>0</v>
      </c>
      <c r="E13" s="400">
        <v>0</v>
      </c>
      <c r="F13" s="59">
        <v>36.11</v>
      </c>
      <c r="G13" s="58">
        <v>4.2329999999999997</v>
      </c>
      <c r="H13" s="58">
        <v>-2.887</v>
      </c>
      <c r="I13" s="58">
        <v>7.4640000000000004</v>
      </c>
      <c r="J13" s="57">
        <f t="shared" si="5"/>
        <v>0.28166080000000004</v>
      </c>
      <c r="K13" s="58">
        <f t="shared" si="0"/>
        <v>1.1916985502539782E-2</v>
      </c>
      <c r="L13" s="373">
        <f t="shared" si="1"/>
        <v>0</v>
      </c>
      <c r="M13" s="397">
        <f t="shared" si="2"/>
        <v>0</v>
      </c>
      <c r="N13" s="59">
        <f>'Combustion_Chaud4 (Micro)'!C55/100</f>
        <v>6.4000000000000003E-3</v>
      </c>
      <c r="O13" s="58">
        <f t="shared" si="6"/>
        <v>36.435639363340258</v>
      </c>
      <c r="P13" s="60">
        <f>N13*O13*(O$7-$B$28)</f>
        <v>-3.6260748294396228</v>
      </c>
      <c r="Q13" s="403"/>
      <c r="R13" s="58">
        <f t="shared" si="3"/>
        <v>36.435639363340258</v>
      </c>
      <c r="S13" s="400">
        <f>Q13*R13*(R$7-$B$28)</f>
        <v>0</v>
      </c>
      <c r="T13" s="59">
        <f>'Combustion_Chaud4 (Micro)'!L78</f>
        <v>1.0020999999999998</v>
      </c>
      <c r="U13" s="58">
        <f t="shared" si="4"/>
        <v>40.12109536334026</v>
      </c>
      <c r="V13" s="400">
        <f>T13*U13*(U$7-$B$28)</f>
        <v>7415.8767454516219</v>
      </c>
      <c r="AA13" s="7"/>
      <c r="AB13" s="7"/>
    </row>
    <row r="14" spans="1:31" ht="15.75">
      <c r="A14" s="61" t="s">
        <v>192</v>
      </c>
      <c r="B14" s="27" t="s">
        <v>193</v>
      </c>
      <c r="C14" s="402">
        <v>2.0158800000000001</v>
      </c>
      <c r="D14" s="401">
        <v>2</v>
      </c>
      <c r="E14" s="400">
        <v>-286130</v>
      </c>
      <c r="F14" s="59">
        <v>28.84</v>
      </c>
      <c r="G14" s="58">
        <v>7.6499999999999997E-3</v>
      </c>
      <c r="H14" s="58">
        <v>0.32879999999999998</v>
      </c>
      <c r="I14" s="58">
        <v>-0.86980000000000002</v>
      </c>
      <c r="J14" s="57">
        <f t="shared" si="5"/>
        <v>0</v>
      </c>
      <c r="K14" s="58">
        <f t="shared" si="0"/>
        <v>0</v>
      </c>
      <c r="L14" s="373">
        <f t="shared" si="1"/>
        <v>0</v>
      </c>
      <c r="M14" s="397">
        <f t="shared" si="2"/>
        <v>0</v>
      </c>
      <c r="N14" s="59">
        <f>'Combustion_Chaud4 (Micro)'!C56/100</f>
        <v>0</v>
      </c>
      <c r="O14" s="58">
        <f t="shared" si="6"/>
        <v>28.840990675573444</v>
      </c>
      <c r="P14" s="60">
        <f>N14*O14*(O$7-$B$28)</f>
        <v>0</v>
      </c>
      <c r="Q14" s="403"/>
      <c r="R14" s="58">
        <f t="shared" si="3"/>
        <v>28.840990675573444</v>
      </c>
      <c r="S14" s="400">
        <f>Q14*R14*(R$7-$B$28)</f>
        <v>0</v>
      </c>
      <c r="T14" s="403"/>
      <c r="U14" s="58">
        <f t="shared" si="4"/>
        <v>28.910921475573442</v>
      </c>
      <c r="V14" s="400">
        <f>T14*U14*(U$7-$B$28)</f>
        <v>0</v>
      </c>
      <c r="AA14" s="7"/>
      <c r="AB14" s="7"/>
    </row>
    <row r="15" spans="1:31" ht="15.75">
      <c r="A15" s="61" t="s">
        <v>194</v>
      </c>
      <c r="B15" s="27" t="s">
        <v>468</v>
      </c>
      <c r="C15" s="402">
        <v>18.015280000000001</v>
      </c>
      <c r="D15" s="401">
        <v>2</v>
      </c>
      <c r="E15" s="400">
        <v>0</v>
      </c>
      <c r="F15" s="59">
        <v>33.46</v>
      </c>
      <c r="G15" s="58">
        <v>0.68799999999999994</v>
      </c>
      <c r="H15" s="58">
        <v>0.76039999999999996</v>
      </c>
      <c r="I15" s="58">
        <v>-3.593</v>
      </c>
      <c r="J15" s="57">
        <f t="shared" si="5"/>
        <v>0</v>
      </c>
      <c r="K15" s="58">
        <f t="shared" si="0"/>
        <v>0</v>
      </c>
      <c r="L15" s="373">
        <f t="shared" si="1"/>
        <v>0</v>
      </c>
      <c r="M15" s="397">
        <f t="shared" si="2"/>
        <v>0</v>
      </c>
      <c r="N15" s="59">
        <f>'Combustion_Chaud4 (Micro)'!C57/100</f>
        <v>0</v>
      </c>
      <c r="O15" s="58">
        <f t="shared" si="6"/>
        <v>33.514404578213124</v>
      </c>
      <c r="P15" s="60">
        <f>N15*(W15+O15*(O$7-$B$28))</f>
        <v>0</v>
      </c>
      <c r="Q15" s="59">
        <f>'Combustion_Chaud4 (Micro)'!G89</f>
        <v>2.8419786239875467E-3</v>
      </c>
      <c r="R15" s="58">
        <f t="shared" si="3"/>
        <v>33.514404578213124</v>
      </c>
      <c r="S15" s="400">
        <f>Q15*(W15+R15*(R$7-$B$28))</f>
        <v>124.72549244116087</v>
      </c>
      <c r="T15" s="59">
        <f>'Combustion_Chaud4 (Micro)'!L81-T16</f>
        <v>1.9734419786239874</v>
      </c>
      <c r="U15" s="58">
        <f t="shared" si="4"/>
        <v>34.340112578213123</v>
      </c>
      <c r="V15" s="404">
        <f>((T15-G89)*$W$15)+(T15*U15*(U$7-$B$28))</f>
        <v>100010.25292597419</v>
      </c>
      <c r="W15" s="375">
        <v>44408</v>
      </c>
      <c r="X15" s="27" t="s">
        <v>195</v>
      </c>
      <c r="AA15" s="7"/>
      <c r="AB15" s="7"/>
    </row>
    <row r="16" spans="1:31" ht="15.75">
      <c r="A16" s="61" t="s">
        <v>196</v>
      </c>
      <c r="B16" s="27" t="s">
        <v>494</v>
      </c>
      <c r="C16" s="402">
        <f>C15</f>
        <v>18.015280000000001</v>
      </c>
      <c r="D16" s="401">
        <v>2</v>
      </c>
      <c r="E16" s="400">
        <v>0</v>
      </c>
      <c r="F16" s="59">
        <v>75.400000000000006</v>
      </c>
      <c r="G16" s="58">
        <v>0</v>
      </c>
      <c r="H16" s="58">
        <v>0</v>
      </c>
      <c r="I16" s="58">
        <v>0</v>
      </c>
      <c r="J16" s="57">
        <f t="shared" si="5"/>
        <v>0</v>
      </c>
      <c r="K16" s="58">
        <f t="shared" si="0"/>
        <v>0</v>
      </c>
      <c r="L16" s="373">
        <f t="shared" si="1"/>
        <v>0</v>
      </c>
      <c r="M16" s="397">
        <f t="shared" si="2"/>
        <v>0</v>
      </c>
      <c r="N16" s="59">
        <v>0</v>
      </c>
      <c r="O16" s="58">
        <f t="shared" si="6"/>
        <v>75.400000000000006</v>
      </c>
      <c r="P16" s="60">
        <f t="shared" ref="P16:P26" si="7">N16*O16*(O$7-$B$28)</f>
        <v>0</v>
      </c>
      <c r="Q16" s="403"/>
      <c r="R16" s="58">
        <f t="shared" si="3"/>
        <v>75.400000000000006</v>
      </c>
      <c r="S16" s="400">
        <f t="shared" ref="S16:S26" si="8">Q16*R16*(R$7-$B$28)</f>
        <v>0</v>
      </c>
      <c r="T16" s="59">
        <f>'Combustion_Chaud4 (Micro)'!L92</f>
        <v>0</v>
      </c>
      <c r="U16" s="58">
        <f t="shared" si="4"/>
        <v>75.400000000000006</v>
      </c>
      <c r="V16" s="404">
        <f t="shared" ref="V16:V26" si="9">T16*U16*(U$7-$B$28)</f>
        <v>0</v>
      </c>
      <c r="AA16" s="7"/>
      <c r="AB16" s="7"/>
    </row>
    <row r="17" spans="1:28" ht="15.75">
      <c r="A17" s="61" t="s">
        <v>197</v>
      </c>
      <c r="B17" s="27" t="s">
        <v>198</v>
      </c>
      <c r="C17" s="402">
        <v>16.042459999999998</v>
      </c>
      <c r="D17" s="401">
        <v>4</v>
      </c>
      <c r="E17" s="400">
        <v>-891460</v>
      </c>
      <c r="F17" s="59">
        <v>34.31</v>
      </c>
      <c r="G17" s="58">
        <v>5.4690000000000003</v>
      </c>
      <c r="H17" s="58">
        <v>0.36609999999999998</v>
      </c>
      <c r="I17" s="58">
        <v>-11</v>
      </c>
      <c r="J17" s="57">
        <f t="shared" si="5"/>
        <v>15.347821481999999</v>
      </c>
      <c r="K17" s="58">
        <f t="shared" si="0"/>
        <v>0.6493618071686319</v>
      </c>
      <c r="L17" s="373">
        <f t="shared" si="1"/>
        <v>-852859.78200000001</v>
      </c>
      <c r="M17" s="397">
        <f t="shared" si="2"/>
        <v>84970.267200000002</v>
      </c>
      <c r="N17" s="59">
        <f>'Combustion_Chaud4 (Micro)'!C58/100</f>
        <v>0.95669999999999999</v>
      </c>
      <c r="O17" s="58">
        <f t="shared" si="6"/>
        <v>34.735636689317438</v>
      </c>
      <c r="P17" s="60">
        <f t="shared" si="7"/>
        <v>-516.75112530141848</v>
      </c>
      <c r="Q17" s="403"/>
      <c r="R17" s="58">
        <f t="shared" si="3"/>
        <v>34.735636689317438</v>
      </c>
      <c r="S17" s="400">
        <f t="shared" si="8"/>
        <v>0</v>
      </c>
      <c r="T17" s="403"/>
      <c r="U17" s="58">
        <f t="shared" si="4"/>
        <v>40.233856689317435</v>
      </c>
      <c r="V17" s="400">
        <f t="shared" si="9"/>
        <v>0</v>
      </c>
      <c r="AA17" s="7"/>
      <c r="AB17" s="7"/>
    </row>
    <row r="18" spans="1:28" ht="15.75">
      <c r="A18" s="61" t="s">
        <v>199</v>
      </c>
      <c r="B18" s="27" t="s">
        <v>467</v>
      </c>
      <c r="C18" s="402">
        <v>30.09562</v>
      </c>
      <c r="D18" s="401">
        <v>6</v>
      </c>
      <c r="E18" s="400">
        <v>-1562060</v>
      </c>
      <c r="F18" s="59">
        <v>49.37</v>
      </c>
      <c r="G18" s="58">
        <v>13.92</v>
      </c>
      <c r="H18" s="58">
        <v>-5.8159999999999998</v>
      </c>
      <c r="I18" s="58">
        <v>7.28</v>
      </c>
      <c r="J18" s="57">
        <f t="shared" si="5"/>
        <v>0.4875490440000001</v>
      </c>
      <c r="K18" s="58">
        <f t="shared" si="0"/>
        <v>2.0628056474756629E-2</v>
      </c>
      <c r="L18" s="373">
        <f t="shared" si="1"/>
        <v>-25305.372000000003</v>
      </c>
      <c r="M18" s="397">
        <f t="shared" si="2"/>
        <v>2158.2288000000003</v>
      </c>
      <c r="N18" s="59">
        <f>'Combustion_Chaud4 (Micro)'!C59/100</f>
        <v>1.6200000000000003E-2</v>
      </c>
      <c r="O18" s="58">
        <f t="shared" si="6"/>
        <v>50.445262069805104</v>
      </c>
      <c r="P18" s="60">
        <f t="shared" si="7"/>
        <v>-12.707665968004607</v>
      </c>
      <c r="Q18" s="403"/>
      <c r="R18" s="58">
        <f t="shared" si="3"/>
        <v>50.445262069805104</v>
      </c>
      <c r="S18" s="400">
        <f t="shared" si="8"/>
        <v>0</v>
      </c>
      <c r="T18" s="403"/>
      <c r="U18" s="58">
        <f t="shared" si="4"/>
        <v>63.231182069805101</v>
      </c>
      <c r="V18" s="400">
        <f t="shared" si="9"/>
        <v>0</v>
      </c>
      <c r="AA18" s="7"/>
      <c r="AB18" s="7"/>
    </row>
    <row r="19" spans="1:28" ht="15.75">
      <c r="A19" s="61" t="s">
        <v>200</v>
      </c>
      <c r="B19" s="27" t="s">
        <v>466</v>
      </c>
      <c r="C19" s="402">
        <v>44.095619999999997</v>
      </c>
      <c r="D19" s="401">
        <v>8</v>
      </c>
      <c r="E19" s="400">
        <v>-2220990</v>
      </c>
      <c r="F19" s="59">
        <v>68.031999999999996</v>
      </c>
      <c r="G19" s="58">
        <v>22.59</v>
      </c>
      <c r="H19" s="58">
        <v>-13.11</v>
      </c>
      <c r="I19" s="58">
        <v>31.71</v>
      </c>
      <c r="J19" s="57">
        <f t="shared" si="5"/>
        <v>6.1733868000000004E-2</v>
      </c>
      <c r="K19" s="58">
        <f t="shared" si="0"/>
        <v>2.611941775254862E-3</v>
      </c>
      <c r="L19" s="373">
        <f t="shared" si="1"/>
        <v>-3109.3860000000004</v>
      </c>
      <c r="M19" s="397">
        <f t="shared" si="2"/>
        <v>248.68480000000002</v>
      </c>
      <c r="N19" s="59">
        <f>'Combustion_Chaud4 (Micro)'!C60/100</f>
        <v>1.4000000000000002E-3</v>
      </c>
      <c r="O19" s="58">
        <f t="shared" si="6"/>
        <v>69.772581961382798</v>
      </c>
      <c r="P19" s="60">
        <f t="shared" si="7"/>
        <v>-1.5189491092993039</v>
      </c>
      <c r="Q19" s="403"/>
      <c r="R19" s="58">
        <f t="shared" si="3"/>
        <v>69.772581961382798</v>
      </c>
      <c r="S19" s="400">
        <f t="shared" si="8"/>
        <v>0</v>
      </c>
      <c r="T19" s="403"/>
      <c r="U19" s="58">
        <f t="shared" si="4"/>
        <v>89.867421961382803</v>
      </c>
      <c r="V19" s="400">
        <f t="shared" si="9"/>
        <v>0</v>
      </c>
      <c r="AA19" s="7"/>
      <c r="AB19" s="7"/>
    </row>
    <row r="20" spans="1:28" ht="15.75">
      <c r="A20" s="61" t="s">
        <v>493</v>
      </c>
      <c r="B20" s="27" t="s">
        <v>492</v>
      </c>
      <c r="C20" s="402">
        <v>58.122199999999999</v>
      </c>
      <c r="D20" s="401">
        <v>10</v>
      </c>
      <c r="E20" s="404">
        <v>-2870450</v>
      </c>
      <c r="F20" s="59">
        <v>89.46</v>
      </c>
      <c r="G20" s="58">
        <v>30.13</v>
      </c>
      <c r="H20" s="58">
        <v>-18.91</v>
      </c>
      <c r="I20" s="58">
        <v>49.87</v>
      </c>
      <c r="J20" s="57">
        <f t="shared" si="5"/>
        <v>2.324888E-2</v>
      </c>
      <c r="K20" s="58">
        <f t="shared" si="0"/>
        <v>9.8365326630573758E-4</v>
      </c>
      <c r="L20" s="373">
        <f t="shared" si="1"/>
        <v>-1148.18</v>
      </c>
      <c r="M20" s="397">
        <f t="shared" si="2"/>
        <v>88.816000000000003</v>
      </c>
      <c r="N20" s="59">
        <f>'Combustion_Chaud4 (Micro)'!C61/100</f>
        <v>4.0000000000000002E-4</v>
      </c>
      <c r="O20" s="58">
        <f t="shared" si="6"/>
        <v>91.779838829944993</v>
      </c>
      <c r="P20" s="60">
        <f t="shared" si="7"/>
        <v>-0.57087059752225788</v>
      </c>
      <c r="Q20" s="403"/>
      <c r="R20" s="58">
        <f t="shared" si="3"/>
        <v>91.779838829944993</v>
      </c>
      <c r="S20" s="400">
        <f t="shared" si="8"/>
        <v>0</v>
      </c>
      <c r="T20" s="403"/>
      <c r="U20" s="58">
        <f t="shared" si="4"/>
        <v>118.327318829945</v>
      </c>
      <c r="V20" s="400">
        <f t="shared" si="9"/>
        <v>0</v>
      </c>
      <c r="AA20" s="7"/>
      <c r="AB20" s="7"/>
    </row>
    <row r="21" spans="1:28" ht="15.75">
      <c r="A21" s="61" t="s">
        <v>201</v>
      </c>
      <c r="B21" s="27" t="s">
        <v>491</v>
      </c>
      <c r="C21" s="402">
        <f>C20</f>
        <v>58.122199999999999</v>
      </c>
      <c r="D21" s="401">
        <v>10</v>
      </c>
      <c r="E21" s="407">
        <v>-2879630</v>
      </c>
      <c r="F21" s="59">
        <v>92.3</v>
      </c>
      <c r="G21" s="58">
        <v>27.88</v>
      </c>
      <c r="H21" s="58">
        <v>-15.47</v>
      </c>
      <c r="I21" s="58">
        <v>34.979999999999997</v>
      </c>
      <c r="J21" s="57">
        <f t="shared" si="5"/>
        <v>1.162444E-2</v>
      </c>
      <c r="K21" s="58">
        <f t="shared" si="0"/>
        <v>4.9182663315286879E-4</v>
      </c>
      <c r="L21" s="373">
        <f t="shared" si="1"/>
        <v>-575.92600000000004</v>
      </c>
      <c r="M21" s="397">
        <f t="shared" si="2"/>
        <v>44.408000000000001</v>
      </c>
      <c r="N21" s="59">
        <f>'Combustion_Chaud4 (Micro)'!C62/100</f>
        <v>2.0000000000000001E-4</v>
      </c>
      <c r="O21" s="58">
        <f t="shared" si="6"/>
        <v>94.449032339530021</v>
      </c>
      <c r="P21" s="60">
        <f t="shared" si="7"/>
        <v>-0.29373649057593837</v>
      </c>
      <c r="Q21" s="403"/>
      <c r="R21" s="58">
        <f t="shared" si="3"/>
        <v>94.449032339530021</v>
      </c>
      <c r="S21" s="400">
        <f t="shared" si="8"/>
        <v>0</v>
      </c>
      <c r="T21" s="403"/>
      <c r="U21" s="58">
        <f t="shared" si="4"/>
        <v>119.37495233953004</v>
      </c>
      <c r="V21" s="400">
        <f t="shared" si="9"/>
        <v>0</v>
      </c>
      <c r="AA21" s="7"/>
      <c r="AB21" s="7"/>
    </row>
    <row r="22" spans="1:28" ht="15.75">
      <c r="A22" s="61" t="s">
        <v>490</v>
      </c>
      <c r="B22" s="27" t="s">
        <v>462</v>
      </c>
      <c r="C22" s="402">
        <v>72.148780000000002</v>
      </c>
      <c r="D22" s="401">
        <v>12</v>
      </c>
      <c r="E22" s="404">
        <v>-3531520</v>
      </c>
      <c r="F22" s="406">
        <f>F23</f>
        <v>114.8</v>
      </c>
      <c r="G22" s="405">
        <f>G23</f>
        <v>34.090000000000003</v>
      </c>
      <c r="H22" s="405">
        <f>H23</f>
        <v>-18.989999999999998</v>
      </c>
      <c r="I22" s="405">
        <f>I23</f>
        <v>42.26</v>
      </c>
      <c r="J22" s="57">
        <f t="shared" si="5"/>
        <v>0</v>
      </c>
      <c r="K22" s="58">
        <f t="shared" si="0"/>
        <v>0</v>
      </c>
      <c r="L22" s="373">
        <f t="shared" si="1"/>
        <v>0</v>
      </c>
      <c r="M22" s="397">
        <f t="shared" si="2"/>
        <v>0</v>
      </c>
      <c r="N22" s="59">
        <f>'Combustion_Chaud4 (Micro)'!C63/100</f>
        <v>0</v>
      </c>
      <c r="O22" s="58">
        <f t="shared" si="6"/>
        <v>117.42761780203513</v>
      </c>
      <c r="P22" s="60">
        <f t="shared" si="7"/>
        <v>0</v>
      </c>
      <c r="Q22" s="403"/>
      <c r="R22" s="58">
        <f t="shared" si="3"/>
        <v>117.42761780203513</v>
      </c>
      <c r="S22" s="400">
        <f t="shared" si="8"/>
        <v>0</v>
      </c>
      <c r="T22" s="403"/>
      <c r="U22" s="58">
        <f t="shared" si="4"/>
        <v>147.88865780203514</v>
      </c>
      <c r="V22" s="400">
        <f t="shared" si="9"/>
        <v>0</v>
      </c>
      <c r="AA22" s="7"/>
      <c r="AB22" s="7"/>
    </row>
    <row r="23" spans="1:28" ht="15.75">
      <c r="A23" s="61" t="s">
        <v>461</v>
      </c>
      <c r="B23" s="27" t="s">
        <v>460</v>
      </c>
      <c r="C23" s="402">
        <f>C22</f>
        <v>72.148780000000002</v>
      </c>
      <c r="D23" s="401">
        <v>12</v>
      </c>
      <c r="E23" s="404">
        <v>-3538450</v>
      </c>
      <c r="F23" s="59">
        <v>114.8</v>
      </c>
      <c r="G23" s="58">
        <v>34.090000000000003</v>
      </c>
      <c r="H23" s="58">
        <v>-18.989999999999998</v>
      </c>
      <c r="I23" s="58">
        <v>42.26</v>
      </c>
      <c r="J23" s="57">
        <f t="shared" si="5"/>
        <v>0</v>
      </c>
      <c r="K23" s="58">
        <f t="shared" si="0"/>
        <v>0</v>
      </c>
      <c r="L23" s="373">
        <f t="shared" si="1"/>
        <v>0</v>
      </c>
      <c r="M23" s="397">
        <f t="shared" si="2"/>
        <v>0</v>
      </c>
      <c r="N23" s="59">
        <f>'Combustion_Chaud4 (Micro)'!C64/100</f>
        <v>0</v>
      </c>
      <c r="O23" s="58">
        <f t="shared" si="6"/>
        <v>117.42761780203513</v>
      </c>
      <c r="P23" s="60">
        <f t="shared" si="7"/>
        <v>0</v>
      </c>
      <c r="Q23" s="403"/>
      <c r="R23" s="58">
        <f t="shared" si="3"/>
        <v>117.42761780203513</v>
      </c>
      <c r="S23" s="400">
        <f t="shared" si="8"/>
        <v>0</v>
      </c>
      <c r="T23" s="403"/>
      <c r="U23" s="58">
        <f t="shared" si="4"/>
        <v>147.88865780203514</v>
      </c>
      <c r="V23" s="400">
        <f t="shared" si="9"/>
        <v>0</v>
      </c>
      <c r="AA23" s="7"/>
      <c r="AB23" s="7"/>
    </row>
    <row r="24" spans="1:28" ht="15.75">
      <c r="A24" s="61" t="s">
        <v>459</v>
      </c>
      <c r="B24" s="27" t="s">
        <v>458</v>
      </c>
      <c r="C24" s="402">
        <v>86.175359999999998</v>
      </c>
      <c r="D24" s="401">
        <v>14</v>
      </c>
      <c r="E24" s="400">
        <v>-4198060</v>
      </c>
      <c r="F24" s="59">
        <v>137.44</v>
      </c>
      <c r="G24" s="58">
        <v>40.85</v>
      </c>
      <c r="H24" s="58">
        <v>-23.92</v>
      </c>
      <c r="I24" s="58">
        <v>57.66</v>
      </c>
      <c r="J24" s="57">
        <f t="shared" si="5"/>
        <v>0</v>
      </c>
      <c r="K24" s="58">
        <f t="shared" si="0"/>
        <v>0</v>
      </c>
      <c r="L24" s="373">
        <f t="shared" si="1"/>
        <v>0</v>
      </c>
      <c r="M24" s="397">
        <f t="shared" si="2"/>
        <v>0</v>
      </c>
      <c r="N24" s="59">
        <f>'Combustion_Chaud4 (Micro)'!C65/100</f>
        <v>0</v>
      </c>
      <c r="O24" s="58">
        <f t="shared" si="6"/>
        <v>140.58727632263245</v>
      </c>
      <c r="P24" s="60">
        <f t="shared" si="7"/>
        <v>0</v>
      </c>
      <c r="Q24" s="403"/>
      <c r="R24" s="58">
        <f t="shared" si="3"/>
        <v>140.58727632263245</v>
      </c>
      <c r="S24" s="400">
        <f t="shared" si="8"/>
        <v>0</v>
      </c>
      <c r="T24" s="403"/>
      <c r="U24" s="58">
        <f t="shared" si="4"/>
        <v>176.88391632263244</v>
      </c>
      <c r="V24" s="400">
        <f t="shared" si="9"/>
        <v>0</v>
      </c>
      <c r="AA24" s="7"/>
      <c r="AB24" s="7"/>
    </row>
    <row r="25" spans="1:28" ht="15.75">
      <c r="A25" s="61" t="s">
        <v>202</v>
      </c>
      <c r="B25" s="27" t="s">
        <v>203</v>
      </c>
      <c r="C25" s="402">
        <v>28.013400000000001</v>
      </c>
      <c r="D25" s="401">
        <v>0</v>
      </c>
      <c r="E25" s="400">
        <v>0</v>
      </c>
      <c r="F25" s="59">
        <v>29</v>
      </c>
      <c r="G25" s="58">
        <v>0.21990000000000001</v>
      </c>
      <c r="H25" s="58">
        <v>0.57230000000000003</v>
      </c>
      <c r="I25" s="58">
        <v>-2.871</v>
      </c>
      <c r="J25" s="57">
        <f t="shared" si="5"/>
        <v>0.51544656</v>
      </c>
      <c r="K25" s="58">
        <f t="shared" si="0"/>
        <v>2.1808392161259224E-2</v>
      </c>
      <c r="L25" s="373">
        <f t="shared" si="1"/>
        <v>0</v>
      </c>
      <c r="M25" s="397">
        <f t="shared" si="2"/>
        <v>0</v>
      </c>
      <c r="N25" s="59">
        <f>'Combustion_Chaud4 (Micro)'!C66/100</f>
        <v>1.84E-2</v>
      </c>
      <c r="O25" s="58">
        <f t="shared" si="6"/>
        <v>29.017783745332302</v>
      </c>
      <c r="P25" s="60">
        <f t="shared" si="7"/>
        <v>-8.3025682852144786</v>
      </c>
      <c r="Q25" s="59">
        <f>'Combustion_Chaud4 (Micro)'!G87</f>
        <v>7.4501097253831423</v>
      </c>
      <c r="R25" s="58">
        <f t="shared" si="3"/>
        <v>29.017783745332302</v>
      </c>
      <c r="S25" s="400">
        <f t="shared" si="8"/>
        <v>-3361.6872134420669</v>
      </c>
      <c r="T25" s="59">
        <f>'Combustion_Chaud4 (Micro)'!L77</f>
        <v>7.4501097253831423</v>
      </c>
      <c r="U25" s="58">
        <f t="shared" si="4"/>
        <v>29.340659745332303</v>
      </c>
      <c r="V25" s="400">
        <f>T25*U25*(U$7-$B$28)</f>
        <v>40319.134761818881</v>
      </c>
      <c r="AA25" s="7"/>
      <c r="AB25" s="7"/>
    </row>
    <row r="26" spans="1:28" ht="15">
      <c r="A26" s="63" t="s">
        <v>204</v>
      </c>
      <c r="B26" s="64" t="s">
        <v>205</v>
      </c>
      <c r="C26" s="399">
        <v>4.0026020000000004</v>
      </c>
      <c r="D26" s="398">
        <v>0</v>
      </c>
      <c r="E26" s="393">
        <v>0</v>
      </c>
      <c r="F26" s="67">
        <v>20.8</v>
      </c>
      <c r="G26" s="68">
        <v>0</v>
      </c>
      <c r="H26" s="68">
        <v>0</v>
      </c>
      <c r="I26" s="68">
        <v>0</v>
      </c>
      <c r="J26" s="69">
        <f t="shared" si="5"/>
        <v>1.2007806E-3</v>
      </c>
      <c r="K26" s="68">
        <f t="shared" si="0"/>
        <v>5.0804673571654341E-5</v>
      </c>
      <c r="L26" s="370">
        <f t="shared" si="1"/>
        <v>0</v>
      </c>
      <c r="M26" s="397">
        <f t="shared" si="2"/>
        <v>0</v>
      </c>
      <c r="N26" s="67">
        <f>'Combustion_Chaud4 (Micro)'!C67/100</f>
        <v>2.9999999999999997E-4</v>
      </c>
      <c r="O26" s="68">
        <f t="shared" si="6"/>
        <v>20.8</v>
      </c>
      <c r="P26" s="396">
        <f t="shared" si="7"/>
        <v>-9.7032000000000007E-2</v>
      </c>
      <c r="Q26" s="395"/>
      <c r="R26" s="68">
        <f t="shared" si="3"/>
        <v>20.8</v>
      </c>
      <c r="S26" s="393">
        <f t="shared" si="8"/>
        <v>0</v>
      </c>
      <c r="T26" s="394">
        <f>L80</f>
        <v>2.9999999999999997E-4</v>
      </c>
      <c r="U26" s="68">
        <f t="shared" si="4"/>
        <v>20.8</v>
      </c>
      <c r="V26" s="393">
        <f t="shared" si="9"/>
        <v>1.150968</v>
      </c>
      <c r="AA26" s="7"/>
      <c r="AB26" s="7"/>
    </row>
    <row r="27" spans="1:28" ht="15">
      <c r="I27" s="392" t="s">
        <v>206</v>
      </c>
      <c r="J27" s="391">
        <f>SUM(J11:J26)</f>
        <v>16.730285854600002</v>
      </c>
      <c r="K27" s="390">
        <f>SUM(K11:K26)</f>
        <v>0.70785346765547263</v>
      </c>
      <c r="L27" s="389">
        <f>SUM(L11:L26)</f>
        <v>-882998.64600000007</v>
      </c>
      <c r="M27" s="388">
        <f>SUM(M11:M26)</f>
        <v>87510.404800000004</v>
      </c>
      <c r="N27" s="71">
        <f>SUM(N11:N26)</f>
        <v>0.99999999999999978</v>
      </c>
      <c r="O27" s="71"/>
      <c r="P27" s="387">
        <f>SUM(P11:P26)</f>
        <v>-543.86802258147475</v>
      </c>
      <c r="Q27" s="72">
        <f>SUM(Q11:Q26)</f>
        <v>9.4339517040071303</v>
      </c>
      <c r="R27" s="71"/>
      <c r="S27" s="387">
        <f>SUM(S11:S26)</f>
        <v>-4136.1250452827644</v>
      </c>
      <c r="T27" s="72">
        <f>SUM(T11:T26)</f>
        <v>10.425951704007129</v>
      </c>
      <c r="U27" s="71"/>
      <c r="V27" s="387">
        <f>SUM(V11:V26)</f>
        <v>147746.41540124468</v>
      </c>
      <c r="AA27" s="7"/>
      <c r="AB27" s="7"/>
    </row>
    <row r="28" spans="1:28" ht="15">
      <c r="A28" s="46" t="s">
        <v>489</v>
      </c>
      <c r="B28" s="386">
        <v>15.55</v>
      </c>
      <c r="C28" s="46" t="s">
        <v>488</v>
      </c>
      <c r="D28" s="46" t="s">
        <v>295</v>
      </c>
      <c r="E28" s="386">
        <v>14.73</v>
      </c>
      <c r="F28" s="27" t="s">
        <v>487</v>
      </c>
      <c r="AA28" s="7"/>
      <c r="AB28" s="7"/>
    </row>
    <row r="29" spans="1:28" ht="15">
      <c r="A29" s="46"/>
      <c r="B29" s="385">
        <f>B28+273.15</f>
        <v>288.7</v>
      </c>
      <c r="C29" s="46" t="s">
        <v>486</v>
      </c>
      <c r="D29" s="46"/>
      <c r="E29" s="384">
        <f>E28/0.145038*1000</f>
        <v>101559.59127952674</v>
      </c>
      <c r="F29" s="27" t="s">
        <v>255</v>
      </c>
      <c r="J29" s="2359" t="s">
        <v>485</v>
      </c>
      <c r="K29" s="2360"/>
      <c r="L29" s="2361"/>
      <c r="AA29" s="7"/>
      <c r="AB29" s="7"/>
    </row>
    <row r="30" spans="1:28" ht="15">
      <c r="A30" s="46" t="s">
        <v>484</v>
      </c>
      <c r="J30" s="383" t="s">
        <v>483</v>
      </c>
      <c r="K30" s="382" t="s">
        <v>482</v>
      </c>
      <c r="L30" s="381"/>
      <c r="N30" s="31"/>
      <c r="U30" s="32"/>
      <c r="V30" s="32"/>
      <c r="AA30" s="7"/>
      <c r="AB30" s="7"/>
    </row>
    <row r="31" spans="1:28" ht="15">
      <c r="D31" s="31"/>
      <c r="J31" s="380">
        <f>K31-M27/1000</f>
        <v>795.48824120000018</v>
      </c>
      <c r="K31" s="379">
        <f>ABS(L27/1000)</f>
        <v>882.99864600000012</v>
      </c>
      <c r="L31" s="74" t="s">
        <v>207</v>
      </c>
      <c r="AA31" s="7"/>
      <c r="AB31" s="7"/>
    </row>
    <row r="32" spans="1:28" ht="15">
      <c r="A32" s="46" t="s">
        <v>481</v>
      </c>
      <c r="B32" s="45">
        <v>8.3144621000000001</v>
      </c>
      <c r="C32" s="27" t="s">
        <v>480</v>
      </c>
      <c r="J32" s="374">
        <f>J31/(J27/1000)</f>
        <v>47547.797336725132</v>
      </c>
      <c r="K32" s="373">
        <f>K31/(J27/1000)</f>
        <v>52778.455411580377</v>
      </c>
      <c r="L32" s="75" t="s">
        <v>208</v>
      </c>
      <c r="AA32" s="7"/>
      <c r="AB32" s="7"/>
    </row>
    <row r="33" spans="1:28" ht="15">
      <c r="F33" s="32"/>
      <c r="I33" s="31"/>
      <c r="J33" s="378">
        <f>(J32/1000)*K27</f>
        <v>33.656873224180529</v>
      </c>
      <c r="K33" s="377">
        <f>(K32/1000)*K27</f>
        <v>37.359412680586914</v>
      </c>
      <c r="L33" s="75" t="s">
        <v>209</v>
      </c>
      <c r="M33" s="27" t="s">
        <v>473</v>
      </c>
      <c r="AA33" s="7"/>
      <c r="AB33" s="7"/>
    </row>
    <row r="34" spans="1:28" ht="15">
      <c r="A34" s="34" t="s">
        <v>479</v>
      </c>
      <c r="F34" s="32"/>
      <c r="I34" s="31"/>
      <c r="J34" s="376"/>
      <c r="K34" s="375"/>
      <c r="L34" s="75"/>
      <c r="AA34" s="7"/>
      <c r="AB34" s="7"/>
    </row>
    <row r="35" spans="1:28" ht="15">
      <c r="A35" s="372" t="s">
        <v>478</v>
      </c>
      <c r="F35" s="32"/>
      <c r="I35" s="32"/>
      <c r="J35" s="374">
        <f>(J33*1000)/1.055056*0.02831685</f>
        <v>903.32326488654292</v>
      </c>
      <c r="K35" s="373">
        <f>(K33*1000)/1.055056*0.02831685</f>
        <v>1002.696430297802</v>
      </c>
      <c r="L35" s="75" t="s">
        <v>477</v>
      </c>
      <c r="M35" s="27" t="s">
        <v>473</v>
      </c>
      <c r="AA35" s="7"/>
      <c r="AB35" s="7"/>
    </row>
    <row r="36" spans="1:28" ht="15.75">
      <c r="A36" s="372" t="s">
        <v>476</v>
      </c>
      <c r="J36" s="374">
        <f>(J32/1.055056)*0.4535924</f>
        <v>20441.871814082628</v>
      </c>
      <c r="K36" s="373">
        <f>(K32/1.055056)*0.4535924</f>
        <v>22690.649840796821</v>
      </c>
      <c r="L36" s="75" t="s">
        <v>475</v>
      </c>
      <c r="AA36" s="7"/>
      <c r="AB36" s="7"/>
    </row>
    <row r="37" spans="1:28" ht="15">
      <c r="A37" s="372"/>
      <c r="J37" s="371">
        <f>J35/7.480519</f>
        <v>120.75676365323621</v>
      </c>
      <c r="K37" s="370">
        <f>K35/7.480519</f>
        <v>134.04102446605668</v>
      </c>
      <c r="L37" s="78" t="s">
        <v>474</v>
      </c>
      <c r="M37" s="27" t="s">
        <v>473</v>
      </c>
      <c r="AA37" s="7"/>
      <c r="AB37" s="7"/>
    </row>
    <row r="38" spans="1:28" ht="15">
      <c r="AA38" s="7"/>
      <c r="AB38" s="7"/>
    </row>
    <row r="39" spans="1:28" ht="15">
      <c r="B39" s="31"/>
      <c r="F39" s="46"/>
      <c r="H39" s="79"/>
      <c r="AA39" s="7"/>
      <c r="AB39" s="7"/>
    </row>
    <row r="40" spans="1:28" ht="15">
      <c r="B40" s="31"/>
      <c r="F40" s="80" t="s">
        <v>212</v>
      </c>
      <c r="H40" s="46"/>
      <c r="AA40" s="7"/>
      <c r="AB40" s="7"/>
    </row>
    <row r="41" spans="1:28" ht="15">
      <c r="B41" s="31"/>
      <c r="E41" s="81" t="s">
        <v>202</v>
      </c>
      <c r="F41" s="369">
        <v>0.78995048751598307</v>
      </c>
      <c r="H41" s="46"/>
      <c r="AA41" s="7"/>
      <c r="AB41" s="7"/>
    </row>
    <row r="42" spans="1:28" ht="15">
      <c r="B42" s="31"/>
      <c r="E42" s="81" t="s">
        <v>188</v>
      </c>
      <c r="F42" s="369">
        <f>1-F41</f>
        <v>0.21004951248401693</v>
      </c>
      <c r="G42" s="82"/>
      <c r="H42" s="46"/>
      <c r="AA42" s="7"/>
      <c r="AB42" s="7"/>
    </row>
    <row r="43" spans="1:28" ht="15">
      <c r="A43" s="34" t="s">
        <v>213</v>
      </c>
      <c r="B43" s="31"/>
      <c r="E43" s="81" t="s">
        <v>214</v>
      </c>
      <c r="F43" s="369">
        <v>0</v>
      </c>
      <c r="G43" s="82"/>
      <c r="H43" s="46"/>
      <c r="AA43" s="7"/>
      <c r="AB43" s="7"/>
    </row>
    <row r="44" spans="1:28" ht="15">
      <c r="B44" s="31"/>
      <c r="F44" s="82"/>
      <c r="G44" s="82"/>
      <c r="H44" s="83"/>
      <c r="AA44" s="7"/>
      <c r="AB44" s="7"/>
    </row>
    <row r="45" spans="1:28" ht="15.75" thickBot="1">
      <c r="B45" s="31"/>
      <c r="G45" s="76"/>
      <c r="H45" s="84"/>
      <c r="AA45" s="7"/>
      <c r="AB45" s="7"/>
    </row>
    <row r="46" spans="1:28" ht="15">
      <c r="A46" s="2347" t="s">
        <v>472</v>
      </c>
      <c r="B46" s="2348"/>
      <c r="C46" s="2348"/>
      <c r="D46" s="2348"/>
      <c r="E46" s="2348"/>
      <c r="F46" s="2348"/>
      <c r="G46" s="2348"/>
      <c r="H46" s="2348"/>
      <c r="I46" s="2348"/>
      <c r="J46" s="368"/>
      <c r="AA46" s="7"/>
      <c r="AB46" s="7"/>
    </row>
    <row r="47" spans="1:28" ht="15">
      <c r="A47" s="85"/>
      <c r="B47" s="45"/>
      <c r="C47" s="45"/>
      <c r="D47" s="45"/>
      <c r="E47" s="45"/>
      <c r="J47" s="366"/>
      <c r="AA47" s="7"/>
      <c r="AB47" s="7"/>
    </row>
    <row r="48" spans="1:28" ht="15">
      <c r="A48" s="87"/>
      <c r="B48" s="32"/>
      <c r="C48" s="35" t="s">
        <v>215</v>
      </c>
      <c r="D48" s="2341" t="s">
        <v>471</v>
      </c>
      <c r="E48" s="2342"/>
      <c r="F48" s="2342"/>
      <c r="G48" s="2342"/>
      <c r="H48" s="2343"/>
      <c r="I48" s="367" t="s">
        <v>457</v>
      </c>
      <c r="J48" s="366"/>
      <c r="AA48" s="7"/>
      <c r="AB48" s="7"/>
    </row>
    <row r="49" spans="1:28" ht="15">
      <c r="A49" s="87"/>
      <c r="B49" s="32"/>
      <c r="C49" s="365" t="s">
        <v>470</v>
      </c>
      <c r="D49" s="43" t="s">
        <v>216</v>
      </c>
      <c r="E49" s="45" t="s">
        <v>217</v>
      </c>
      <c r="F49" s="45" t="s">
        <v>205</v>
      </c>
      <c r="G49" s="45" t="s">
        <v>218</v>
      </c>
      <c r="H49" s="44" t="s">
        <v>219</v>
      </c>
      <c r="I49" s="88" t="s">
        <v>220</v>
      </c>
      <c r="AA49" s="7"/>
      <c r="AB49" s="7"/>
    </row>
    <row r="50" spans="1:28" ht="15">
      <c r="A50" s="89" t="s">
        <v>221</v>
      </c>
      <c r="B50" s="31"/>
      <c r="C50" s="90"/>
      <c r="D50" s="43"/>
      <c r="E50" s="45"/>
      <c r="F50" s="45"/>
      <c r="G50" s="45"/>
      <c r="H50" s="44"/>
      <c r="I50" s="91"/>
      <c r="AA50" s="7"/>
      <c r="AB50" s="7"/>
    </row>
    <row r="51" spans="1:28" ht="15">
      <c r="A51" s="89"/>
      <c r="B51" s="92" t="s">
        <v>219</v>
      </c>
      <c r="C51" s="93">
        <f>SUM(C53:C67)</f>
        <v>100.00000000000001</v>
      </c>
      <c r="D51" s="94">
        <f>SUM(D53:D67)</f>
        <v>1.0020999999999998</v>
      </c>
      <c r="E51" s="95">
        <f t="shared" ref="E51:H51" si="10">SUM(E53:E67)</f>
        <v>1.9705999999999999</v>
      </c>
      <c r="F51" s="95">
        <f t="shared" si="10"/>
        <v>2.9999999999999997E-4</v>
      </c>
      <c r="G51" s="95">
        <f t="shared" si="10"/>
        <v>1.84E-2</v>
      </c>
      <c r="H51" s="96">
        <f t="shared" si="10"/>
        <v>2.9914000000000001</v>
      </c>
      <c r="I51" s="97">
        <f>SUM(I53:I67)</f>
        <v>1.9809999999999999</v>
      </c>
      <c r="AA51" s="7"/>
      <c r="AB51" s="7"/>
    </row>
    <row r="52" spans="1:28" ht="15">
      <c r="A52" s="87"/>
      <c r="B52" s="31"/>
      <c r="H52" s="58"/>
      <c r="I52" s="86"/>
      <c r="AA52" s="7"/>
      <c r="AB52" s="7"/>
    </row>
    <row r="53" spans="1:28" ht="15.75">
      <c r="A53" s="87" t="s">
        <v>188</v>
      </c>
      <c r="B53" s="27" t="s">
        <v>189</v>
      </c>
      <c r="C53" s="425">
        <v>0</v>
      </c>
      <c r="D53" s="98"/>
      <c r="E53" s="98"/>
      <c r="F53" s="98"/>
      <c r="G53" s="98"/>
      <c r="H53" s="58">
        <f t="shared" ref="H53:H67" si="11">SUM(D53:G53)</f>
        <v>0</v>
      </c>
      <c r="I53" s="99">
        <f>-C53/100</f>
        <v>0</v>
      </c>
      <c r="AA53" s="7"/>
      <c r="AB53" s="7"/>
    </row>
    <row r="54" spans="1:28" ht="15">
      <c r="A54" s="87" t="s">
        <v>469</v>
      </c>
      <c r="B54" s="27" t="s">
        <v>190</v>
      </c>
      <c r="C54" s="425">
        <v>0</v>
      </c>
      <c r="D54" s="98">
        <f>C54/100</f>
        <v>0</v>
      </c>
      <c r="E54" s="98"/>
      <c r="F54" s="98"/>
      <c r="G54" s="98"/>
      <c r="H54" s="58">
        <f t="shared" si="11"/>
        <v>0</v>
      </c>
      <c r="I54" s="364">
        <f>D54+E54/2</f>
        <v>0</v>
      </c>
      <c r="AA54" s="7"/>
      <c r="AB54" s="7"/>
    </row>
    <row r="55" spans="1:28" ht="15.75">
      <c r="A55" s="87" t="s">
        <v>454</v>
      </c>
      <c r="B55" s="27" t="s">
        <v>191</v>
      </c>
      <c r="C55" s="425">
        <v>0.64</v>
      </c>
      <c r="D55" s="98">
        <f>C55/100</f>
        <v>6.4000000000000003E-3</v>
      </c>
      <c r="E55" s="98"/>
      <c r="F55" s="98"/>
      <c r="G55" s="98"/>
      <c r="H55" s="58">
        <f t="shared" si="11"/>
        <v>6.4000000000000003E-3</v>
      </c>
      <c r="I55" s="99">
        <v>0</v>
      </c>
      <c r="AA55" s="7"/>
      <c r="AB55" s="7"/>
    </row>
    <row r="56" spans="1:28" ht="15.75">
      <c r="A56" s="87" t="s">
        <v>192</v>
      </c>
      <c r="B56" s="27" t="s">
        <v>193</v>
      </c>
      <c r="C56" s="425">
        <v>0</v>
      </c>
      <c r="D56" s="98"/>
      <c r="E56" s="98">
        <f>C56/100</f>
        <v>0</v>
      </c>
      <c r="F56" s="98"/>
      <c r="G56" s="98"/>
      <c r="H56" s="58">
        <f t="shared" si="11"/>
        <v>0</v>
      </c>
      <c r="I56" s="99">
        <f>D56+E56/2</f>
        <v>0</v>
      </c>
      <c r="AA56" s="7"/>
      <c r="AB56" s="7"/>
    </row>
    <row r="57" spans="1:28" ht="15.75">
      <c r="A57" s="87" t="s">
        <v>194</v>
      </c>
      <c r="B57" s="27" t="s">
        <v>468</v>
      </c>
      <c r="C57" s="425">
        <v>0</v>
      </c>
      <c r="D57" s="98"/>
      <c r="E57" s="98">
        <f>C57/100</f>
        <v>0</v>
      </c>
      <c r="F57" s="98"/>
      <c r="G57" s="98"/>
      <c r="H57" s="58">
        <f t="shared" si="11"/>
        <v>0</v>
      </c>
      <c r="I57" s="364">
        <v>0</v>
      </c>
      <c r="AA57" s="7"/>
      <c r="AB57" s="7"/>
    </row>
    <row r="58" spans="1:28" ht="15.75">
      <c r="A58" s="87" t="s">
        <v>197</v>
      </c>
      <c r="B58" s="27" t="s">
        <v>198</v>
      </c>
      <c r="C58" s="425">
        <v>95.67</v>
      </c>
      <c r="D58" s="98">
        <f>C58/100</f>
        <v>0.95669999999999999</v>
      </c>
      <c r="E58" s="98">
        <f>C58/100*2</f>
        <v>1.9134</v>
      </c>
      <c r="F58" s="98"/>
      <c r="G58" s="98"/>
      <c r="H58" s="58">
        <f t="shared" si="11"/>
        <v>2.8700999999999999</v>
      </c>
      <c r="I58" s="99">
        <f t="shared" ref="I58:I64" si="12">D58+E58/2</f>
        <v>1.9134</v>
      </c>
      <c r="AA58" s="7"/>
      <c r="AB58" s="7"/>
    </row>
    <row r="59" spans="1:28" ht="15.75">
      <c r="A59" s="87" t="s">
        <v>199</v>
      </c>
      <c r="B59" s="27" t="s">
        <v>467</v>
      </c>
      <c r="C59" s="425">
        <v>1.62</v>
      </c>
      <c r="D59" s="98">
        <f>C59*2/100</f>
        <v>3.2400000000000005E-2</v>
      </c>
      <c r="E59" s="98">
        <f>C59/100*3</f>
        <v>4.8600000000000004E-2</v>
      </c>
      <c r="F59" s="98"/>
      <c r="G59" s="98"/>
      <c r="H59" s="58">
        <f t="shared" si="11"/>
        <v>8.1000000000000016E-2</v>
      </c>
      <c r="I59" s="99">
        <f t="shared" si="12"/>
        <v>5.6700000000000007E-2</v>
      </c>
      <c r="AA59" s="7"/>
      <c r="AB59" s="7"/>
    </row>
    <row r="60" spans="1:28" ht="15.75">
      <c r="A60" s="87" t="s">
        <v>200</v>
      </c>
      <c r="B60" s="27" t="s">
        <v>466</v>
      </c>
      <c r="C60" s="425">
        <v>0.14000000000000001</v>
      </c>
      <c r="D60" s="98">
        <f>C60*3/100</f>
        <v>4.2000000000000006E-3</v>
      </c>
      <c r="E60" s="98">
        <f>C60/100*4</f>
        <v>5.6000000000000008E-3</v>
      </c>
      <c r="F60" s="98"/>
      <c r="G60" s="98"/>
      <c r="H60" s="58">
        <f t="shared" si="11"/>
        <v>9.8000000000000014E-3</v>
      </c>
      <c r="I60" s="99">
        <f t="shared" si="12"/>
        <v>7.000000000000001E-3</v>
      </c>
      <c r="AA60" s="7"/>
      <c r="AB60" s="7"/>
    </row>
    <row r="61" spans="1:28" ht="15.75">
      <c r="A61" s="87" t="s">
        <v>465</v>
      </c>
      <c r="B61" s="27" t="s">
        <v>464</v>
      </c>
      <c r="C61" s="425">
        <v>0.04</v>
      </c>
      <c r="D61" s="98">
        <f>C61*4/100</f>
        <v>1.6000000000000001E-3</v>
      </c>
      <c r="E61" s="98">
        <f>C61/100*5</f>
        <v>2E-3</v>
      </c>
      <c r="F61" s="98"/>
      <c r="G61" s="98"/>
      <c r="H61" s="58">
        <f t="shared" si="11"/>
        <v>3.5999999999999999E-3</v>
      </c>
      <c r="I61" s="99">
        <f t="shared" si="12"/>
        <v>2.5999999999999999E-3</v>
      </c>
      <c r="AA61" s="7"/>
      <c r="AB61" s="7"/>
    </row>
    <row r="62" spans="1:28" ht="15.75">
      <c r="A62" s="87" t="s">
        <v>201</v>
      </c>
      <c r="B62" s="27" t="s">
        <v>464</v>
      </c>
      <c r="C62" s="425">
        <v>0.02</v>
      </c>
      <c r="D62" s="98">
        <f>C62*4/100</f>
        <v>8.0000000000000004E-4</v>
      </c>
      <c r="E62" s="98">
        <f>C62/100*5</f>
        <v>1E-3</v>
      </c>
      <c r="F62" s="98"/>
      <c r="G62" s="98"/>
      <c r="H62" s="58">
        <f t="shared" si="11"/>
        <v>1.8E-3</v>
      </c>
      <c r="I62" s="99">
        <f t="shared" si="12"/>
        <v>1.2999999999999999E-3</v>
      </c>
      <c r="AA62" s="7"/>
      <c r="AB62" s="7"/>
    </row>
    <row r="63" spans="1:28" ht="15.75">
      <c r="A63" s="61" t="s">
        <v>463</v>
      </c>
      <c r="B63" s="27" t="s">
        <v>462</v>
      </c>
      <c r="C63" s="425">
        <v>0</v>
      </c>
      <c r="D63" s="98">
        <f>C63*5/100</f>
        <v>0</v>
      </c>
      <c r="E63" s="98">
        <f>C63/100*6</f>
        <v>0</v>
      </c>
      <c r="F63" s="98"/>
      <c r="G63" s="98"/>
      <c r="H63" s="58">
        <f t="shared" si="11"/>
        <v>0</v>
      </c>
      <c r="I63" s="99">
        <f t="shared" si="12"/>
        <v>0</v>
      </c>
      <c r="AA63" s="7"/>
      <c r="AB63" s="7"/>
    </row>
    <row r="64" spans="1:28" ht="15.75">
      <c r="A64" s="61" t="s">
        <v>461</v>
      </c>
      <c r="B64" s="27" t="s">
        <v>460</v>
      </c>
      <c r="C64" s="425">
        <v>0</v>
      </c>
      <c r="D64" s="98">
        <f>C64*5/100</f>
        <v>0</v>
      </c>
      <c r="E64" s="98">
        <f>C64/100*6</f>
        <v>0</v>
      </c>
      <c r="F64" s="98"/>
      <c r="G64" s="98"/>
      <c r="H64" s="58">
        <f t="shared" si="11"/>
        <v>0</v>
      </c>
      <c r="I64" s="99">
        <f t="shared" si="12"/>
        <v>0</v>
      </c>
      <c r="AA64" s="7"/>
      <c r="AB64" s="7"/>
    </row>
    <row r="65" spans="1:28" ht="15.75">
      <c r="A65" s="61" t="s">
        <v>459</v>
      </c>
      <c r="B65" s="27" t="s">
        <v>458</v>
      </c>
      <c r="C65" s="425">
        <v>0</v>
      </c>
      <c r="D65" s="98">
        <f>C65*6/100</f>
        <v>0</v>
      </c>
      <c r="E65" s="98">
        <f>C65/100*7</f>
        <v>0</v>
      </c>
      <c r="F65" s="98"/>
      <c r="G65" s="98"/>
      <c r="H65" s="58">
        <f t="shared" si="11"/>
        <v>0</v>
      </c>
      <c r="I65" s="99">
        <f>D65+E65/2</f>
        <v>0</v>
      </c>
      <c r="AA65" s="7"/>
      <c r="AB65" s="7"/>
    </row>
    <row r="66" spans="1:28" ht="15.75">
      <c r="A66" s="87" t="s">
        <v>202</v>
      </c>
      <c r="B66" s="27" t="s">
        <v>203</v>
      </c>
      <c r="C66" s="425">
        <v>1.84</v>
      </c>
      <c r="D66" s="98"/>
      <c r="E66" s="98"/>
      <c r="G66" s="98">
        <f>C66/100</f>
        <v>1.84E-2</v>
      </c>
      <c r="H66" s="58">
        <f t="shared" si="11"/>
        <v>1.84E-2</v>
      </c>
      <c r="I66" s="99">
        <v>0</v>
      </c>
      <c r="AA66" s="7"/>
      <c r="AB66" s="7"/>
    </row>
    <row r="67" spans="1:28" ht="15.75" thickBot="1">
      <c r="A67" s="100" t="s">
        <v>204</v>
      </c>
      <c r="B67" s="101" t="s">
        <v>205</v>
      </c>
      <c r="C67" s="426">
        <v>0.03</v>
      </c>
      <c r="D67" s="103"/>
      <c r="E67" s="103"/>
      <c r="F67" s="103">
        <f>C67/100</f>
        <v>2.9999999999999997E-4</v>
      </c>
      <c r="G67" s="101"/>
      <c r="H67" s="104">
        <f t="shared" si="11"/>
        <v>2.9999999999999997E-4</v>
      </c>
      <c r="I67" s="105">
        <v>0</v>
      </c>
      <c r="AA67" s="7"/>
      <c r="AB67" s="7"/>
    </row>
    <row r="68" spans="1:28" ht="15">
      <c r="B68" s="31"/>
      <c r="AA68" s="7"/>
      <c r="AB68" s="7"/>
    </row>
    <row r="69" spans="1:28" ht="15.75" thickBot="1">
      <c r="B69" s="31"/>
      <c r="C69" s="477" t="s">
        <v>593</v>
      </c>
      <c r="D69" s="45"/>
      <c r="E69" s="106"/>
      <c r="F69" s="106"/>
      <c r="G69" s="106"/>
      <c r="H69" s="106"/>
      <c r="I69" s="106"/>
      <c r="J69" s="106"/>
      <c r="AA69" s="7"/>
      <c r="AB69" s="7"/>
    </row>
    <row r="70" spans="1:28" ht="15">
      <c r="A70" s="2347" t="s">
        <v>222</v>
      </c>
      <c r="B70" s="2348"/>
      <c r="C70" s="2348"/>
      <c r="D70" s="2348"/>
      <c r="E70" s="2348"/>
      <c r="F70" s="2348"/>
      <c r="G70" s="2369"/>
      <c r="H70" s="106"/>
      <c r="I70" s="2347" t="s">
        <v>223</v>
      </c>
      <c r="J70" s="2348"/>
      <c r="K70" s="2348"/>
      <c r="L70" s="2348"/>
      <c r="M70" s="2348"/>
      <c r="N70" s="2369"/>
      <c r="AA70" s="7"/>
      <c r="AB70" s="7"/>
    </row>
    <row r="71" spans="1:28" ht="15">
      <c r="A71" s="107"/>
      <c r="C71" s="45"/>
      <c r="D71" s="2341" t="s">
        <v>224</v>
      </c>
      <c r="E71" s="2342"/>
      <c r="F71" s="2342"/>
      <c r="G71" s="2365"/>
      <c r="H71" s="106"/>
      <c r="I71" s="87"/>
      <c r="K71" s="45"/>
      <c r="L71" s="2349" t="s">
        <v>224</v>
      </c>
      <c r="M71" s="2350"/>
      <c r="N71" s="2364"/>
      <c r="AA71" s="7"/>
      <c r="AB71" s="7"/>
    </row>
    <row r="72" spans="1:28" ht="15">
      <c r="A72" s="107"/>
      <c r="C72" s="31"/>
      <c r="D72" s="43" t="s">
        <v>225</v>
      </c>
      <c r="E72" s="45" t="s">
        <v>226</v>
      </c>
      <c r="F72" s="45" t="s">
        <v>227</v>
      </c>
      <c r="G72" s="108" t="s">
        <v>228</v>
      </c>
      <c r="H72" s="98"/>
      <c r="I72" s="87"/>
      <c r="K72" s="45"/>
      <c r="L72" s="61"/>
      <c r="M72" s="2350" t="s">
        <v>229</v>
      </c>
      <c r="N72" s="2364"/>
      <c r="AA72" s="7"/>
      <c r="AB72" s="7"/>
    </row>
    <row r="73" spans="1:28" ht="26.25">
      <c r="A73" s="87"/>
      <c r="C73" s="31"/>
      <c r="D73" s="63" t="b">
        <v>1</v>
      </c>
      <c r="E73" s="424"/>
      <c r="F73" s="64"/>
      <c r="G73" s="109"/>
      <c r="H73" s="98"/>
      <c r="I73" s="85"/>
      <c r="K73" s="45"/>
      <c r="L73" s="363" t="s">
        <v>457</v>
      </c>
      <c r="M73" s="48" t="s">
        <v>230</v>
      </c>
      <c r="N73" s="110" t="s">
        <v>231</v>
      </c>
      <c r="AA73" s="7"/>
      <c r="AB73" s="7"/>
    </row>
    <row r="74" spans="1:28" ht="15">
      <c r="A74" s="87"/>
      <c r="C74" s="31"/>
      <c r="D74" s="73">
        <f>IF(D73,1,"-")</f>
        <v>1</v>
      </c>
      <c r="E74" s="73" t="str">
        <f>IF(E73,2,"-")</f>
        <v>-</v>
      </c>
      <c r="F74" s="73" t="str">
        <f>IF(F73,3,"-")</f>
        <v>-</v>
      </c>
      <c r="G74" s="111">
        <f>AVERAGE(D74:F74)</f>
        <v>1</v>
      </c>
      <c r="H74" s="98"/>
      <c r="I74" s="85"/>
      <c r="K74" s="45"/>
      <c r="L74" s="45"/>
      <c r="N74" s="86"/>
      <c r="AA74" s="7"/>
      <c r="AB74" s="7"/>
    </row>
    <row r="75" spans="1:28" ht="15">
      <c r="A75" s="89" t="s">
        <v>232</v>
      </c>
      <c r="C75" s="31"/>
      <c r="D75" s="362">
        <f>D83/D80</f>
        <v>0</v>
      </c>
      <c r="E75" s="473"/>
      <c r="F75" s="362" t="e">
        <f>F82/F79</f>
        <v>#DIV/0!</v>
      </c>
      <c r="G75" s="356">
        <f>INDEX(D75:F75,G$74)</f>
        <v>0</v>
      </c>
      <c r="H75" s="362"/>
      <c r="I75" s="89" t="s">
        <v>219</v>
      </c>
      <c r="K75" s="357" t="s">
        <v>456</v>
      </c>
      <c r="L75" s="113">
        <f>SUM(L77:L81)</f>
        <v>10.425951704007129</v>
      </c>
      <c r="M75" s="361">
        <f>SUM(M77:M81)</f>
        <v>1</v>
      </c>
      <c r="N75" s="360">
        <f>SUM(N77:N81)</f>
        <v>1</v>
      </c>
      <c r="AA75" s="7"/>
      <c r="AB75" s="7"/>
    </row>
    <row r="76" spans="1:28" ht="15">
      <c r="A76" s="87" t="s">
        <v>233</v>
      </c>
      <c r="C76" s="31"/>
      <c r="D76" s="341">
        <f>'Micromodulation et sonde O2'!G34</f>
        <v>0</v>
      </c>
      <c r="E76" s="340">
        <f>E82/(E79*($F$41/$F$42)+H51-E51+E82/$F$42)</f>
        <v>0</v>
      </c>
      <c r="F76" s="359" t="e">
        <f>F82/(F79*($F$41/$F$42)+H51-E51+F82/$F$42)</f>
        <v>#DIV/0!</v>
      </c>
      <c r="G76" s="358">
        <f>INDEX(D76:F76,G$74)</f>
        <v>0</v>
      </c>
      <c r="H76" s="114"/>
      <c r="I76" s="85"/>
      <c r="K76" s="357"/>
      <c r="L76" s="45"/>
      <c r="N76" s="86"/>
      <c r="AA76" s="7"/>
      <c r="AB76" s="7"/>
    </row>
    <row r="77" spans="1:28" ht="15">
      <c r="A77" s="87" t="s">
        <v>455</v>
      </c>
      <c r="C77" s="31"/>
      <c r="D77" s="340">
        <f>$N$78</f>
        <v>0.11855650363709885</v>
      </c>
      <c r="E77" s="340">
        <f>N78</f>
        <v>0.11855650363709885</v>
      </c>
      <c r="F77" s="439"/>
      <c r="G77" s="356">
        <f>INDEX(D77:F77,G$74)</f>
        <v>0.11855650363709885</v>
      </c>
      <c r="H77" s="340"/>
      <c r="I77" s="87" t="s">
        <v>202</v>
      </c>
      <c r="K77" s="355" t="s">
        <v>446</v>
      </c>
      <c r="L77" s="58">
        <f>G87</f>
        <v>7.4501097253831423</v>
      </c>
      <c r="M77" s="340">
        <f t="shared" ref="M77:M82" si="13">L77/$L$75</f>
        <v>0.71457358876118271</v>
      </c>
      <c r="N77" s="354">
        <f>L77/($L$75-$L$81)</f>
        <v>0.88140800394588581</v>
      </c>
      <c r="AA77" s="7"/>
      <c r="AB77" s="7"/>
    </row>
    <row r="78" spans="1:28" ht="15">
      <c r="A78" s="87"/>
      <c r="C78" s="31"/>
      <c r="F78" s="45"/>
      <c r="G78" s="115"/>
      <c r="H78" s="114"/>
      <c r="I78" s="87" t="s">
        <v>454</v>
      </c>
      <c r="K78" s="355" t="s">
        <v>446</v>
      </c>
      <c r="L78" s="58">
        <f>D51</f>
        <v>1.0020999999999998</v>
      </c>
      <c r="M78" s="340">
        <f t="shared" si="13"/>
        <v>9.6115925763865837E-2</v>
      </c>
      <c r="N78" s="354">
        <f>L78/($L$75-$L$81)</f>
        <v>0.11855650363709885</v>
      </c>
      <c r="AA78" s="7"/>
      <c r="AB78" s="7"/>
    </row>
    <row r="79" spans="1:28" ht="15">
      <c r="A79" s="87" t="s">
        <v>453</v>
      </c>
      <c r="C79" s="31" t="s">
        <v>446</v>
      </c>
      <c r="D79" s="58">
        <f>$I$51</f>
        <v>1.9809999999999999</v>
      </c>
      <c r="E79" s="58">
        <f>$I$51</f>
        <v>1.9809999999999999</v>
      </c>
      <c r="F79" s="58">
        <f>$I$51</f>
        <v>1.9809999999999999</v>
      </c>
      <c r="G79" s="348">
        <f>INDEX(D79:F79,G$74)</f>
        <v>1.9809999999999999</v>
      </c>
      <c r="H79" s="58"/>
      <c r="I79" s="87" t="s">
        <v>188</v>
      </c>
      <c r="K79" s="355" t="s">
        <v>446</v>
      </c>
      <c r="L79" s="58">
        <f>G82</f>
        <v>0</v>
      </c>
      <c r="M79" s="340">
        <f t="shared" si="13"/>
        <v>0</v>
      </c>
      <c r="N79" s="354">
        <f>L79/($L$75-$L$81)</f>
        <v>0</v>
      </c>
      <c r="AA79" s="7"/>
      <c r="AB79" s="7"/>
    </row>
    <row r="80" spans="1:28" ht="15">
      <c r="A80" s="87" t="s">
        <v>452</v>
      </c>
      <c r="C80" s="31" t="s">
        <v>446</v>
      </c>
      <c r="D80" s="58">
        <f>D79/$F$42</f>
        <v>9.4311097253831431</v>
      </c>
      <c r="E80" s="58">
        <f>E79/$F$42</f>
        <v>9.4311097253831431</v>
      </c>
      <c r="F80" s="58">
        <f>F79/$F$42</f>
        <v>9.4311097253831431</v>
      </c>
      <c r="G80" s="348">
        <f>INDEX(D80:F80,G$74)</f>
        <v>9.4311097253831431</v>
      </c>
      <c r="H80" s="58"/>
      <c r="I80" s="87" t="s">
        <v>204</v>
      </c>
      <c r="K80" s="355" t="s">
        <v>446</v>
      </c>
      <c r="L80" s="58">
        <f>F51</f>
        <v>2.9999999999999997E-4</v>
      </c>
      <c r="M80" s="340">
        <f t="shared" si="13"/>
        <v>2.8774351590819036E-5</v>
      </c>
      <c r="N80" s="354">
        <f>L80/($L$75-$L$81)</f>
        <v>3.5492417015397323E-5</v>
      </c>
      <c r="AA80" s="7"/>
      <c r="AB80" s="7"/>
    </row>
    <row r="81" spans="1:28" ht="15">
      <c r="A81" s="87"/>
      <c r="C81" s="31"/>
      <c r="D81" s="58"/>
      <c r="E81" s="116"/>
      <c r="F81" s="113"/>
      <c r="G81" s="117"/>
      <c r="H81" s="58"/>
      <c r="I81" s="87" t="s">
        <v>235</v>
      </c>
      <c r="K81" s="355" t="s">
        <v>446</v>
      </c>
      <c r="L81" s="58">
        <f>G89+E51</f>
        <v>1.9734419786239874</v>
      </c>
      <c r="M81" s="340">
        <f t="shared" si="13"/>
        <v>0.18928171112336067</v>
      </c>
      <c r="N81" s="354">
        <v>0</v>
      </c>
      <c r="AA81" s="7"/>
      <c r="AB81" s="7"/>
    </row>
    <row r="82" spans="1:28" ht="15">
      <c r="A82" s="87" t="s">
        <v>234</v>
      </c>
      <c r="C82" s="31" t="s">
        <v>446</v>
      </c>
      <c r="D82" s="58">
        <f>D76/(1-D76/$F$42)*(($H$51-$E$51)+D79*$F$41/$F$42)</f>
        <v>0</v>
      </c>
      <c r="E82" s="58">
        <f>E79*$E$75</f>
        <v>0</v>
      </c>
      <c r="F82" s="98" t="e">
        <f>(D51/F77-(H51-E51)-F79*(F41/F42))/(1+F41/F42)</f>
        <v>#DIV/0!</v>
      </c>
      <c r="G82" s="348">
        <f>INDEX(D82:F82,G$74)</f>
        <v>0</v>
      </c>
      <c r="H82" s="58"/>
      <c r="I82" s="118" t="s">
        <v>237</v>
      </c>
      <c r="J82" s="119"/>
      <c r="K82" s="353" t="s">
        <v>446</v>
      </c>
      <c r="L82" s="120">
        <f>L92</f>
        <v>0</v>
      </c>
      <c r="M82" s="352">
        <f t="shared" si="13"/>
        <v>0</v>
      </c>
      <c r="N82" s="351">
        <v>1</v>
      </c>
      <c r="AA82" s="7"/>
      <c r="AB82" s="7"/>
    </row>
    <row r="83" spans="1:28" ht="15">
      <c r="A83" s="87" t="s">
        <v>236</v>
      </c>
      <c r="C83" s="31" t="s">
        <v>446</v>
      </c>
      <c r="D83" s="58">
        <f>D82/F42</f>
        <v>0</v>
      </c>
      <c r="E83" s="58">
        <f>E80*$E$75</f>
        <v>0</v>
      </c>
      <c r="F83" s="58" t="e">
        <f>F82/F42</f>
        <v>#DIV/0!</v>
      </c>
      <c r="G83" s="348">
        <f>INDEX(D83:F83,G$74)</f>
        <v>0</v>
      </c>
      <c r="H83" s="58"/>
      <c r="I83" s="87" t="s">
        <v>451</v>
      </c>
      <c r="K83" s="31" t="s">
        <v>238</v>
      </c>
      <c r="L83" s="58"/>
      <c r="M83" s="58">
        <f>M77*$C$12+M78*$C$13+M79*$C$11+M80*$C$26+M81*$C$15</f>
        <v>27.655369710508143</v>
      </c>
      <c r="N83" s="86"/>
      <c r="O83" s="121"/>
      <c r="AA83" s="7"/>
      <c r="AB83" s="7"/>
    </row>
    <row r="84" spans="1:28" ht="15">
      <c r="A84" s="87"/>
      <c r="C84" s="31"/>
      <c r="F84" s="45"/>
      <c r="G84" s="117"/>
      <c r="I84" s="87"/>
      <c r="N84" s="86"/>
      <c r="AA84" s="7"/>
      <c r="AB84" s="7"/>
    </row>
    <row r="85" spans="1:28" ht="15">
      <c r="A85" s="89" t="s">
        <v>239</v>
      </c>
      <c r="C85" s="45" t="s">
        <v>446</v>
      </c>
      <c r="D85" s="113">
        <f>SUM(D87:D89)</f>
        <v>9.4339517040071286</v>
      </c>
      <c r="E85" s="113">
        <f>SUM(E87:E89)</f>
        <v>9.4339517040071286</v>
      </c>
      <c r="F85" s="113" t="e">
        <f>SUM(F87:F89)</f>
        <v>#DIV/0!</v>
      </c>
      <c r="G85" s="348">
        <f>INDEX(D85:F85,G$74)</f>
        <v>9.4339517040071286</v>
      </c>
      <c r="H85" s="113"/>
      <c r="I85" s="89" t="s">
        <v>240</v>
      </c>
      <c r="K85" s="31"/>
      <c r="L85" s="45" t="str">
        <f>IF(L87&lt;L88,"VRAI","FAUX")</f>
        <v>FAUX</v>
      </c>
      <c r="N85" s="86"/>
      <c r="AA85" s="7"/>
      <c r="AB85" s="7"/>
    </row>
    <row r="86" spans="1:28" ht="15">
      <c r="A86" s="87"/>
      <c r="G86" s="122"/>
      <c r="I86" s="87" t="s">
        <v>241</v>
      </c>
      <c r="K86" s="31" t="s">
        <v>242</v>
      </c>
      <c r="L86" s="58">
        <f>E51+G89</f>
        <v>1.9734419786239874</v>
      </c>
      <c r="N86" s="86"/>
      <c r="AA86" s="7"/>
      <c r="AB86" s="7"/>
    </row>
    <row r="87" spans="1:28" ht="15">
      <c r="A87" s="343" t="s">
        <v>202</v>
      </c>
      <c r="C87" s="346" t="s">
        <v>446</v>
      </c>
      <c r="D87" s="350">
        <f>D88*($F$41/$F$42)</f>
        <v>7.4501097253831423</v>
      </c>
      <c r="E87" s="350">
        <f>E88*($F$41/$F$42)</f>
        <v>7.4501097253831423</v>
      </c>
      <c r="F87" s="350" t="e">
        <f>F88*($F$41/$F$42)</f>
        <v>#DIV/0!</v>
      </c>
      <c r="G87" s="348">
        <f>INDEX(D87:F87,G$74)</f>
        <v>7.4501097253831423</v>
      </c>
      <c r="H87" s="58"/>
      <c r="I87" s="87" t="s">
        <v>243</v>
      </c>
      <c r="K87" s="124" t="s">
        <v>434</v>
      </c>
      <c r="L87" s="125">
        <f>U7</f>
        <v>200</v>
      </c>
      <c r="M87" s="32"/>
      <c r="N87" s="86"/>
      <c r="AA87" s="7"/>
      <c r="AB87" s="7"/>
    </row>
    <row r="88" spans="1:28" ht="15">
      <c r="A88" s="343" t="s">
        <v>188</v>
      </c>
      <c r="C88" s="346" t="s">
        <v>446</v>
      </c>
      <c r="D88" s="350">
        <f>D79+D82</f>
        <v>1.9809999999999999</v>
      </c>
      <c r="E88" s="350">
        <f>E79+E82</f>
        <v>1.9809999999999999</v>
      </c>
      <c r="F88" s="349" t="e">
        <f>F79+F82</f>
        <v>#DIV/0!</v>
      </c>
      <c r="G88" s="348">
        <f>INDEX(D88:F88,G$74)</f>
        <v>1.9809999999999999</v>
      </c>
      <c r="H88" s="58"/>
      <c r="I88" s="87" t="s">
        <v>244</v>
      </c>
      <c r="K88" s="124" t="s">
        <v>434</v>
      </c>
      <c r="L88" s="347">
        <f>'Combustion_Chaud4 (Micro)'!C136</f>
        <v>59.118389658623499</v>
      </c>
      <c r="N88" s="86"/>
      <c r="AA88" s="7"/>
      <c r="AB88" s="7"/>
    </row>
    <row r="89" spans="1:28" ht="15">
      <c r="A89" s="343" t="s">
        <v>245</v>
      </c>
      <c r="C89" s="346" t="s">
        <v>446</v>
      </c>
      <c r="D89" s="345">
        <f>'Combustion_Chaud4 (Micro)'!$C$115*('Combustion_Chaud4 (Micro)'!D80+'Combustion_Chaud4 (Micro)'!D83)</f>
        <v>2.8419786239875467E-3</v>
      </c>
      <c r="E89" s="345">
        <f>'Combustion_Chaud4 (Micro)'!$C$115*'Combustion_Chaud4 (Micro)'!E80</f>
        <v>2.8419786239875467E-3</v>
      </c>
      <c r="F89" s="345">
        <f>'Combustion_Chaud4 (Micro)'!$C$115*'Combustion_Chaud4 (Micro)'!F80</f>
        <v>2.8419786239875467E-3</v>
      </c>
      <c r="G89" s="344">
        <f>INDEX(D89:F89,G$74)</f>
        <v>2.8419786239875467E-3</v>
      </c>
      <c r="H89" s="58"/>
      <c r="I89" s="87" t="s">
        <v>450</v>
      </c>
      <c r="K89" s="31" t="s">
        <v>449</v>
      </c>
      <c r="L89" s="58">
        <f>($E$29*(M83/1000))/($B$32*(L87+273.15))</f>
        <v>0.7139493634050913</v>
      </c>
      <c r="N89" s="126"/>
      <c r="AA89" s="7"/>
      <c r="AB89" s="7"/>
    </row>
    <row r="90" spans="1:28" ht="15.75">
      <c r="A90" s="343"/>
      <c r="C90" s="31"/>
      <c r="D90" s="58"/>
      <c r="F90" s="45"/>
      <c r="G90" s="127"/>
      <c r="H90" s="58"/>
      <c r="I90" s="87" t="s">
        <v>448</v>
      </c>
      <c r="K90" s="31" t="s">
        <v>242</v>
      </c>
      <c r="L90" s="342">
        <f>'Combustion_Chaud4 (Micro)'!C129</f>
        <v>0.23347408553671128</v>
      </c>
      <c r="M90" s="27" t="s">
        <v>246</v>
      </c>
      <c r="N90" s="126"/>
      <c r="AA90" s="7"/>
      <c r="AB90" s="7"/>
    </row>
    <row r="91" spans="1:28" ht="15">
      <c r="A91" s="89" t="s">
        <v>247</v>
      </c>
      <c r="C91" s="31"/>
      <c r="D91" s="58"/>
      <c r="F91" s="45"/>
      <c r="G91" s="127"/>
      <c r="H91" s="58"/>
      <c r="I91" s="87" t="s">
        <v>248</v>
      </c>
      <c r="K91" s="31" t="s">
        <v>242</v>
      </c>
      <c r="L91" s="342">
        <f>'Combustion_Chaud4 (Micro)'!C140</f>
        <v>0</v>
      </c>
      <c r="M91" s="27" t="s">
        <v>447</v>
      </c>
      <c r="N91" s="126"/>
      <c r="AA91" s="7"/>
      <c r="AB91" s="7"/>
    </row>
    <row r="92" spans="1:28" ht="15.75" thickBot="1">
      <c r="A92" s="87" t="s">
        <v>249</v>
      </c>
      <c r="C92" s="31"/>
      <c r="D92" s="341">
        <f>Hypothèses!D27</f>
        <v>0.05</v>
      </c>
      <c r="E92" s="340"/>
      <c r="F92" s="340"/>
      <c r="G92" s="127"/>
      <c r="H92" s="340"/>
      <c r="I92" s="100"/>
      <c r="J92" s="101"/>
      <c r="K92" s="339" t="s">
        <v>446</v>
      </c>
      <c r="L92" s="338">
        <f>'Combustion_Chaud4 (Micro)'!C141</f>
        <v>0</v>
      </c>
      <c r="M92" s="101"/>
      <c r="N92" s="102"/>
      <c r="AA92" s="7"/>
      <c r="AB92" s="7"/>
    </row>
    <row r="93" spans="1:28" ht="15.75" thickBot="1">
      <c r="A93" s="100" t="s">
        <v>244</v>
      </c>
      <c r="B93" s="101"/>
      <c r="C93" s="128" t="s">
        <v>434</v>
      </c>
      <c r="D93" s="337" t="e">
        <f>IF(D92&lt;&gt;0,'Combustion_Chaud4 (Micro)'!$C$119,"-")</f>
        <v>#N/A</v>
      </c>
      <c r="E93" s="336"/>
      <c r="F93" s="336"/>
      <c r="G93" s="129"/>
      <c r="H93" s="98"/>
      <c r="AA93" s="7"/>
      <c r="AB93" s="7"/>
    </row>
    <row r="94" spans="1:28" ht="15">
      <c r="A94" s="27" t="s">
        <v>445</v>
      </c>
      <c r="B94" s="124"/>
      <c r="C94" s="335">
        <v>28.96546</v>
      </c>
      <c r="D94" s="333" t="s">
        <v>238</v>
      </c>
      <c r="E94" s="334"/>
      <c r="F94" s="130"/>
      <c r="G94" s="106"/>
      <c r="H94" s="106"/>
      <c r="AA94" s="7"/>
      <c r="AB94" s="7"/>
    </row>
    <row r="95" spans="1:28" ht="15">
      <c r="G95" s="106"/>
      <c r="AA95" s="7"/>
      <c r="AB95" s="7"/>
    </row>
    <row r="96" spans="1:28" ht="15">
      <c r="G96" s="106"/>
      <c r="AA96" s="7"/>
      <c r="AB96" s="7"/>
    </row>
    <row r="97" spans="1:28" ht="15">
      <c r="G97" s="106"/>
      <c r="AA97" s="7"/>
      <c r="AB97" s="7"/>
    </row>
    <row r="98" spans="1:28" ht="15">
      <c r="G98" s="106"/>
      <c r="AA98" s="7"/>
      <c r="AB98" s="7"/>
    </row>
    <row r="99" spans="1:28" ht="15">
      <c r="G99" s="106"/>
      <c r="AA99" s="7"/>
      <c r="AB99" s="7"/>
    </row>
    <row r="100" spans="1:28" ht="15">
      <c r="G100" s="106"/>
      <c r="AA100" s="7"/>
      <c r="AB100" s="7"/>
    </row>
    <row r="101" spans="1:28">
      <c r="A101" s="34" t="s">
        <v>444</v>
      </c>
      <c r="G101" s="106"/>
    </row>
    <row r="102" spans="1:28">
      <c r="G102" s="106"/>
    </row>
    <row r="103" spans="1:28">
      <c r="A103" s="131" t="s">
        <v>250</v>
      </c>
      <c r="B103" s="65"/>
      <c r="C103" s="65"/>
      <c r="D103" s="65"/>
      <c r="E103" s="31"/>
      <c r="F103" s="34" t="s">
        <v>251</v>
      </c>
      <c r="G103" s="34"/>
    </row>
    <row r="104" spans="1:28" ht="14.25">
      <c r="A104" s="27" t="s">
        <v>252</v>
      </c>
      <c r="B104" s="31" t="s">
        <v>443</v>
      </c>
      <c r="C104" s="440">
        <v>0</v>
      </c>
      <c r="D104" s="332" t="s">
        <v>442</v>
      </c>
      <c r="E104" s="31"/>
      <c r="F104" s="45" t="s">
        <v>253</v>
      </c>
      <c r="G104" s="45" t="s">
        <v>254</v>
      </c>
      <c r="H104" s="45" t="s">
        <v>253</v>
      </c>
    </row>
    <row r="105" spans="1:28">
      <c r="A105" s="27" t="s">
        <v>441</v>
      </c>
      <c r="B105" s="31" t="s">
        <v>255</v>
      </c>
      <c r="C105" s="441">
        <v>101325</v>
      </c>
      <c r="D105" s="31"/>
      <c r="E105" s="31"/>
      <c r="F105" s="31">
        <v>0</v>
      </c>
      <c r="G105" s="32">
        <v>610.48326959999986</v>
      </c>
      <c r="H105" s="31">
        <f t="shared" ref="H105:H168" si="14">F105</f>
        <v>0</v>
      </c>
    </row>
    <row r="106" spans="1:28">
      <c r="A106" s="27" t="s">
        <v>440</v>
      </c>
      <c r="B106" s="31" t="s">
        <v>255</v>
      </c>
      <c r="C106" s="331">
        <f>C105*EXP(-'Combustion_Chaud4 (Micro)'!C94/1000*9.80665/'Combustion_Chaud4 (Micro)'!B32/'Combustion_Chaud4 (Micro)'!B29*C104)</f>
        <v>101325</v>
      </c>
      <c r="D106" s="331"/>
      <c r="E106" s="331"/>
      <c r="F106" s="31">
        <v>2</v>
      </c>
      <c r="G106" s="32">
        <v>705.80878559999985</v>
      </c>
      <c r="H106" s="31">
        <f t="shared" si="14"/>
        <v>2</v>
      </c>
    </row>
    <row r="107" spans="1:28">
      <c r="B107" s="31"/>
      <c r="C107" s="31"/>
      <c r="D107" s="331"/>
      <c r="E107" s="31"/>
      <c r="F107" s="31">
        <v>4</v>
      </c>
      <c r="G107" s="32">
        <v>813.39996239999994</v>
      </c>
      <c r="H107" s="31">
        <f t="shared" si="14"/>
        <v>4</v>
      </c>
    </row>
    <row r="108" spans="1:28">
      <c r="A108" s="131" t="s">
        <v>222</v>
      </c>
      <c r="B108" s="65"/>
      <c r="C108" s="65"/>
      <c r="D108" s="65"/>
      <c r="E108" s="31"/>
      <c r="F108" s="31">
        <v>6</v>
      </c>
      <c r="G108" s="32">
        <v>934.98999119999985</v>
      </c>
      <c r="H108" s="31">
        <f t="shared" si="14"/>
        <v>6</v>
      </c>
    </row>
    <row r="109" spans="1:28" ht="14.25">
      <c r="A109" s="27" t="s">
        <v>256</v>
      </c>
      <c r="B109" s="124" t="s">
        <v>434</v>
      </c>
      <c r="C109" s="330">
        <f>R7</f>
        <v>0</v>
      </c>
      <c r="D109" s="31"/>
      <c r="E109" s="31"/>
      <c r="F109" s="31">
        <v>8</v>
      </c>
      <c r="G109" s="32">
        <v>1072.5787079999998</v>
      </c>
      <c r="H109" s="31">
        <f t="shared" si="14"/>
        <v>8</v>
      </c>
    </row>
    <row r="110" spans="1:28">
      <c r="A110" s="27" t="s">
        <v>249</v>
      </c>
      <c r="B110" s="31"/>
      <c r="C110" s="329">
        <f>D92</f>
        <v>0.05</v>
      </c>
      <c r="D110" s="31"/>
      <c r="E110" s="31"/>
      <c r="F110" s="31">
        <v>10</v>
      </c>
      <c r="G110" s="32">
        <v>1227.7659815999998</v>
      </c>
      <c r="H110" s="31">
        <f t="shared" si="14"/>
        <v>10</v>
      </c>
    </row>
    <row r="111" spans="1:28">
      <c r="B111" s="31"/>
      <c r="C111" s="31"/>
      <c r="D111" s="31"/>
      <c r="E111" s="31"/>
      <c r="F111" s="31">
        <v>12</v>
      </c>
      <c r="G111" s="32">
        <v>1402.2850031999999</v>
      </c>
      <c r="H111" s="31">
        <f t="shared" si="14"/>
        <v>12</v>
      </c>
    </row>
    <row r="112" spans="1:28">
      <c r="A112" s="27" t="s">
        <v>257</v>
      </c>
      <c r="B112" s="31" t="s">
        <v>255</v>
      </c>
      <c r="C112" s="32">
        <f>IF(C109&lt;0,0.09*6895,G197)</f>
        <v>610.48326959999986</v>
      </c>
      <c r="D112" s="31"/>
      <c r="E112" s="31"/>
      <c r="F112" s="31">
        <v>14</v>
      </c>
      <c r="G112" s="32">
        <v>1598.1356087999998</v>
      </c>
      <c r="H112" s="31">
        <f t="shared" si="14"/>
        <v>14</v>
      </c>
    </row>
    <row r="113" spans="1:8">
      <c r="A113" s="27" t="s">
        <v>258</v>
      </c>
      <c r="B113" s="31" t="s">
        <v>255</v>
      </c>
      <c r="C113" s="32">
        <f>C110*C112</f>
        <v>30.524163479999995</v>
      </c>
      <c r="D113" s="31"/>
      <c r="E113" s="31"/>
      <c r="F113" s="31">
        <v>16</v>
      </c>
      <c r="G113" s="32">
        <v>1817.7176015999999</v>
      </c>
      <c r="H113" s="31">
        <f t="shared" si="14"/>
        <v>16</v>
      </c>
    </row>
    <row r="114" spans="1:8">
      <c r="B114" s="31"/>
      <c r="C114" s="31"/>
      <c r="D114" s="31"/>
      <c r="E114" s="31"/>
      <c r="F114" s="31">
        <v>18</v>
      </c>
      <c r="G114" s="32">
        <v>2063.4307847999999</v>
      </c>
      <c r="H114" s="31">
        <f t="shared" si="14"/>
        <v>18</v>
      </c>
    </row>
    <row r="115" spans="1:8">
      <c r="A115" s="27" t="s">
        <v>259</v>
      </c>
      <c r="B115" s="31" t="s">
        <v>260</v>
      </c>
      <c r="C115" s="58">
        <f>C113/(C106-C113)</f>
        <v>3.0134085030720923E-4</v>
      </c>
      <c r="D115" s="31"/>
      <c r="E115" s="31"/>
      <c r="F115" s="31">
        <v>20</v>
      </c>
      <c r="G115" s="32">
        <v>2337.8082839999997</v>
      </c>
      <c r="H115" s="31">
        <f t="shared" si="14"/>
        <v>20</v>
      </c>
    </row>
    <row r="116" spans="1:8">
      <c r="A116" s="27" t="s">
        <v>259</v>
      </c>
      <c r="B116" s="31" t="s">
        <v>261</v>
      </c>
      <c r="C116" s="58">
        <f>C115*'Combustion_Chaud4 (Micro)'!$C$15/'Combustion_Chaud4 (Micro)'!$C$94</f>
        <v>1.8742114897268885E-4</v>
      </c>
      <c r="D116" s="31"/>
      <c r="E116" s="31"/>
      <c r="F116" s="31">
        <v>22</v>
      </c>
      <c r="G116" s="32">
        <v>2643.3832247999999</v>
      </c>
      <c r="H116" s="31">
        <f t="shared" si="14"/>
        <v>22</v>
      </c>
    </row>
    <row r="117" spans="1:8">
      <c r="B117" s="31"/>
      <c r="C117" s="31"/>
      <c r="D117" s="31"/>
      <c r="E117" s="31"/>
      <c r="F117" s="31">
        <v>24</v>
      </c>
      <c r="G117" s="32">
        <v>2983.3553447999998</v>
      </c>
      <c r="H117" s="31">
        <f t="shared" si="14"/>
        <v>24</v>
      </c>
    </row>
    <row r="118" spans="1:8">
      <c r="A118" s="27" t="s">
        <v>262</v>
      </c>
      <c r="B118" s="31" t="s">
        <v>260</v>
      </c>
      <c r="C118" s="58">
        <f>C113/C106</f>
        <v>3.0125007135455213E-4</v>
      </c>
      <c r="D118" s="31"/>
      <c r="E118" s="31"/>
      <c r="F118" s="31">
        <v>26</v>
      </c>
      <c r="G118" s="32">
        <v>3360.9243815999998</v>
      </c>
      <c r="H118" s="31">
        <f t="shared" si="14"/>
        <v>26</v>
      </c>
    </row>
    <row r="119" spans="1:8" ht="14.25">
      <c r="A119" s="27" t="s">
        <v>263</v>
      </c>
      <c r="B119" s="124" t="s">
        <v>434</v>
      </c>
      <c r="C119" s="123" t="e">
        <f>F203</f>
        <v>#N/A</v>
      </c>
      <c r="D119" s="31"/>
      <c r="F119" s="31">
        <v>28</v>
      </c>
      <c r="G119" s="32">
        <v>3779.5567175999995</v>
      </c>
      <c r="H119" s="31">
        <f t="shared" si="14"/>
        <v>28</v>
      </c>
    </row>
    <row r="120" spans="1:8">
      <c r="E120" s="31"/>
      <c r="F120" s="31">
        <v>30</v>
      </c>
      <c r="G120" s="32">
        <v>4242.8520576000001</v>
      </c>
      <c r="H120" s="31">
        <f t="shared" si="14"/>
        <v>30</v>
      </c>
    </row>
    <row r="121" spans="1:8">
      <c r="A121" s="131" t="s">
        <v>223</v>
      </c>
      <c r="B121" s="65"/>
      <c r="C121" s="65"/>
      <c r="D121" s="65"/>
      <c r="E121" s="31"/>
      <c r="F121" s="31">
        <v>32</v>
      </c>
      <c r="G121" s="32">
        <v>4754.6767511999988</v>
      </c>
      <c r="H121" s="31">
        <f t="shared" si="14"/>
        <v>32</v>
      </c>
    </row>
    <row r="122" spans="1:8" ht="14.25">
      <c r="A122" s="27" t="s">
        <v>256</v>
      </c>
      <c r="B122" s="124" t="s">
        <v>434</v>
      </c>
      <c r="C122" s="125">
        <f>U7</f>
        <v>200</v>
      </c>
      <c r="D122" s="32"/>
      <c r="E122" s="31"/>
      <c r="F122" s="31">
        <v>34</v>
      </c>
      <c r="G122" s="32">
        <v>5319.2971152</v>
      </c>
      <c r="H122" s="31">
        <f t="shared" si="14"/>
        <v>34</v>
      </c>
    </row>
    <row r="123" spans="1:8">
      <c r="B123" s="31"/>
      <c r="C123" s="31"/>
      <c r="D123" s="31"/>
      <c r="E123" s="31"/>
      <c r="F123" s="31">
        <v>36</v>
      </c>
      <c r="G123" s="32">
        <v>5941.2461112000001</v>
      </c>
      <c r="H123" s="31">
        <f t="shared" si="14"/>
        <v>36</v>
      </c>
    </row>
    <row r="124" spans="1:8">
      <c r="A124" s="27" t="s">
        <v>264</v>
      </c>
      <c r="B124" s="31" t="s">
        <v>186</v>
      </c>
      <c r="C124" s="419">
        <f>'Combustion_Chaud4 (Micro)'!L75</f>
        <v>10.425951704007129</v>
      </c>
      <c r="D124" s="31"/>
      <c r="E124" s="31"/>
      <c r="F124" s="31">
        <v>38</v>
      </c>
      <c r="G124" s="32">
        <v>6625.0567007999998</v>
      </c>
      <c r="H124" s="31">
        <f t="shared" si="14"/>
        <v>38</v>
      </c>
    </row>
    <row r="125" spans="1:8" ht="15.75">
      <c r="A125" s="27" t="s">
        <v>439</v>
      </c>
      <c r="B125" s="31" t="s">
        <v>186</v>
      </c>
      <c r="C125" s="420">
        <f>'Combustion_Chaud4 (Micro)'!L86</f>
        <v>1.9734419786239874</v>
      </c>
      <c r="D125" s="132" t="s">
        <v>265</v>
      </c>
      <c r="E125" s="31"/>
      <c r="F125" s="31">
        <v>40</v>
      </c>
      <c r="G125" s="32">
        <v>7375.9284575999991</v>
      </c>
      <c r="H125" s="31">
        <f t="shared" si="14"/>
        <v>40</v>
      </c>
    </row>
    <row r="126" spans="1:8">
      <c r="B126" s="31"/>
      <c r="C126" s="31"/>
      <c r="D126" s="31"/>
      <c r="E126" s="31"/>
      <c r="F126" s="31">
        <v>42</v>
      </c>
      <c r="G126" s="32">
        <v>8199.3275999999987</v>
      </c>
      <c r="H126" s="31">
        <f t="shared" si="14"/>
        <v>42</v>
      </c>
    </row>
    <row r="127" spans="1:8">
      <c r="A127" s="27" t="s">
        <v>266</v>
      </c>
      <c r="B127" s="31" t="s">
        <v>255</v>
      </c>
      <c r="C127" s="32">
        <f>C132*C106</f>
        <v>19178.969379574519</v>
      </c>
      <c r="D127" s="31"/>
      <c r="E127" s="31"/>
      <c r="F127" s="31">
        <v>44</v>
      </c>
      <c r="G127" s="32">
        <v>9100.5870240000004</v>
      </c>
      <c r="H127" s="31">
        <f t="shared" si="14"/>
        <v>44</v>
      </c>
    </row>
    <row r="128" spans="1:8">
      <c r="B128" s="31"/>
      <c r="C128" s="31"/>
      <c r="D128" s="31"/>
      <c r="E128" s="31"/>
      <c r="F128" s="31">
        <v>46</v>
      </c>
      <c r="G128" s="32">
        <v>10085.83956</v>
      </c>
      <c r="H128" s="31">
        <f t="shared" si="14"/>
        <v>46</v>
      </c>
    </row>
    <row r="129" spans="1:8" ht="14.25">
      <c r="A129" s="27" t="s">
        <v>437</v>
      </c>
      <c r="B129" s="31" t="s">
        <v>260</v>
      </c>
      <c r="C129" s="58">
        <f>C125/(C124-C125)</f>
        <v>0.23347408553671128</v>
      </c>
      <c r="D129" s="45" t="s">
        <v>438</v>
      </c>
      <c r="E129" s="31"/>
      <c r="F129" s="31">
        <v>48</v>
      </c>
      <c r="G129" s="32">
        <v>11160.418103999998</v>
      </c>
      <c r="H129" s="31">
        <f t="shared" si="14"/>
        <v>48</v>
      </c>
    </row>
    <row r="130" spans="1:8">
      <c r="A130" s="27" t="s">
        <v>437</v>
      </c>
      <c r="B130" s="31" t="s">
        <v>261</v>
      </c>
      <c r="C130" s="58">
        <f>C129*'Combustion_Chaud4 (Micro)'!$C$15/D130</f>
        <v>0.17346345372842753</v>
      </c>
      <c r="D130" s="133">
        <f>('Combustion_Chaud4 (Micro)'!M77*'Combustion_Chaud4 (Micro)'!$C$25+'Combustion_Chaud4 (Micro)'!M78*'Combustion_Chaud4 (Micro)'!$C$13+'Combustion_Chaud4 (Micro)'!M79*'Combustion_Chaud4 (Micro)'!$C$11+'Combustion_Chaud4 (Micro)'!M80*'Combustion_Chaud4 (Micro)'!$C$26)</f>
        <v>24.247764778584596</v>
      </c>
      <c r="E130" s="31"/>
      <c r="F130" s="31">
        <v>50</v>
      </c>
      <c r="G130" s="32">
        <v>12333.655224</v>
      </c>
      <c r="H130" s="31">
        <f t="shared" si="14"/>
        <v>50</v>
      </c>
    </row>
    <row r="131" spans="1:8">
      <c r="B131" s="31"/>
      <c r="C131" s="31"/>
      <c r="D131" s="31"/>
      <c r="E131" s="31"/>
      <c r="F131" s="31">
        <v>55</v>
      </c>
      <c r="G131" s="32">
        <v>15737.376096</v>
      </c>
      <c r="H131" s="31">
        <f t="shared" si="14"/>
        <v>55</v>
      </c>
    </row>
    <row r="132" spans="1:8">
      <c r="A132" s="27" t="s">
        <v>436</v>
      </c>
      <c r="B132" s="31" t="s">
        <v>260</v>
      </c>
      <c r="C132" s="58">
        <f>C125/C124</f>
        <v>0.18928171112336067</v>
      </c>
      <c r="D132" s="31"/>
      <c r="E132" s="31"/>
      <c r="F132" s="31">
        <v>60</v>
      </c>
      <c r="G132" s="32">
        <v>19915.700111999999</v>
      </c>
      <c r="H132" s="31">
        <f t="shared" si="14"/>
        <v>60</v>
      </c>
    </row>
    <row r="133" spans="1:8">
      <c r="A133" s="27" t="s">
        <v>435</v>
      </c>
      <c r="B133" s="31" t="s">
        <v>260</v>
      </c>
      <c r="C133" s="123">
        <f>C132*C124</f>
        <v>1.9734419786239874</v>
      </c>
      <c r="D133" s="31"/>
      <c r="E133" s="31"/>
      <c r="F133" s="31">
        <v>65</v>
      </c>
      <c r="G133" s="32">
        <v>25003.282895999997</v>
      </c>
      <c r="H133" s="31">
        <f t="shared" si="14"/>
        <v>65</v>
      </c>
    </row>
    <row r="134" spans="1:8">
      <c r="B134" s="31"/>
      <c r="C134" s="31"/>
      <c r="D134" s="31"/>
      <c r="E134" s="31"/>
      <c r="F134" s="31">
        <v>70</v>
      </c>
      <c r="G134" s="32">
        <v>31157.444879999995</v>
      </c>
      <c r="H134" s="31">
        <f t="shared" si="14"/>
        <v>70</v>
      </c>
    </row>
    <row r="135" spans="1:8">
      <c r="A135" s="34" t="s">
        <v>248</v>
      </c>
      <c r="B135" s="31"/>
      <c r="C135" s="45" t="str">
        <f>IF(C136&gt;C122,"VRAI","FAUX")</f>
        <v>FAUX</v>
      </c>
      <c r="D135" s="31"/>
      <c r="E135" s="31"/>
      <c r="F135" s="31">
        <v>75</v>
      </c>
      <c r="G135" s="32">
        <v>38543.505839999998</v>
      </c>
      <c r="H135" s="31">
        <f t="shared" si="14"/>
        <v>75</v>
      </c>
    </row>
    <row r="136" spans="1:8" ht="14.25">
      <c r="A136" s="27" t="s">
        <v>244</v>
      </c>
      <c r="B136" s="124" t="s">
        <v>434</v>
      </c>
      <c r="C136" s="123">
        <f>F209</f>
        <v>59.118389658623499</v>
      </c>
      <c r="D136" s="31"/>
      <c r="E136" s="31"/>
      <c r="F136" s="31">
        <v>80</v>
      </c>
      <c r="G136" s="32">
        <v>47342.784240000001</v>
      </c>
      <c r="H136" s="31">
        <f t="shared" si="14"/>
        <v>80</v>
      </c>
    </row>
    <row r="137" spans="1:8">
      <c r="B137" s="31"/>
      <c r="C137" s="31"/>
      <c r="D137" s="31"/>
      <c r="E137" s="31"/>
      <c r="F137" s="31">
        <v>85</v>
      </c>
      <c r="G137" s="32">
        <v>57808.592639999995</v>
      </c>
      <c r="H137" s="31">
        <f t="shared" si="14"/>
        <v>85</v>
      </c>
    </row>
    <row r="138" spans="1:8">
      <c r="A138" s="132" t="s">
        <v>257</v>
      </c>
      <c r="B138" s="31" t="s">
        <v>255</v>
      </c>
      <c r="C138" s="32">
        <f>G215</f>
        <v>1553800</v>
      </c>
      <c r="D138" s="31"/>
      <c r="E138" s="31"/>
      <c r="F138" s="31">
        <v>90</v>
      </c>
      <c r="G138" s="32">
        <v>70095.585023999985</v>
      </c>
      <c r="H138" s="31">
        <f t="shared" si="14"/>
        <v>90</v>
      </c>
    </row>
    <row r="139" spans="1:8">
      <c r="A139" s="31" t="s">
        <v>267</v>
      </c>
      <c r="B139" s="31" t="s">
        <v>433</v>
      </c>
      <c r="C139" s="58" t="str">
        <f>IF(C135,C138/C106,"-")</f>
        <v>-</v>
      </c>
      <c r="D139" s="31"/>
      <c r="E139" s="31"/>
      <c r="F139" s="31">
        <v>91</v>
      </c>
      <c r="G139" s="32">
        <v>72800.696519999983</v>
      </c>
      <c r="H139" s="31">
        <f t="shared" si="14"/>
        <v>91</v>
      </c>
    </row>
    <row r="140" spans="1:8">
      <c r="A140" s="31" t="s">
        <v>248</v>
      </c>
      <c r="B140" s="31" t="s">
        <v>433</v>
      </c>
      <c r="C140" s="58">
        <f>IF(C135,C132-C139,0)</f>
        <v>0</v>
      </c>
      <c r="D140" s="31"/>
      <c r="E140" s="31"/>
      <c r="F140" s="31">
        <v>92</v>
      </c>
      <c r="G140" s="32">
        <v>75592.467575999995</v>
      </c>
      <c r="H140" s="31">
        <f t="shared" si="14"/>
        <v>92</v>
      </c>
    </row>
    <row r="141" spans="1:8">
      <c r="A141" s="31" t="s">
        <v>248</v>
      </c>
      <c r="B141" s="31" t="s">
        <v>186</v>
      </c>
      <c r="C141" s="58">
        <f>IF(C135,C140*C124,0)</f>
        <v>0</v>
      </c>
      <c r="D141" s="31"/>
      <c r="E141" s="31"/>
      <c r="F141" s="31">
        <v>93</v>
      </c>
      <c r="G141" s="32">
        <v>78473.564639999997</v>
      </c>
      <c r="H141" s="31">
        <f t="shared" si="14"/>
        <v>93</v>
      </c>
    </row>
    <row r="142" spans="1:8">
      <c r="A142" s="31" t="s">
        <v>248</v>
      </c>
      <c r="B142" s="31" t="s">
        <v>268</v>
      </c>
      <c r="C142" s="76">
        <f>IF(C135,C141*'Combustion_Chaud4 (Micro)'!$C$15,0)</f>
        <v>0</v>
      </c>
      <c r="D142" s="31"/>
      <c r="E142" s="31"/>
      <c r="F142" s="31">
        <v>94</v>
      </c>
      <c r="G142" s="32">
        <v>81446.654159999991</v>
      </c>
      <c r="H142" s="31">
        <f t="shared" si="14"/>
        <v>94</v>
      </c>
    </row>
    <row r="143" spans="1:8">
      <c r="B143" s="31"/>
      <c r="C143" s="31"/>
      <c r="D143" s="31"/>
      <c r="E143" s="31"/>
      <c r="F143" s="31">
        <v>95</v>
      </c>
      <c r="G143" s="32">
        <v>84513.069359999994</v>
      </c>
      <c r="H143" s="31">
        <f t="shared" si="14"/>
        <v>95</v>
      </c>
    </row>
    <row r="144" spans="1:8" ht="15">
      <c r="A144" s="27" t="s">
        <v>432</v>
      </c>
      <c r="B144" s="31"/>
      <c r="C144" s="134" t="str">
        <f>IF(C135,1,IF(C122&lt;100,C127/C138,"N / A"))</f>
        <v>N / A</v>
      </c>
      <c r="D144" s="31"/>
      <c r="E144" s="31"/>
      <c r="F144" s="31">
        <v>96</v>
      </c>
      <c r="G144" s="32">
        <v>87675.476687999995</v>
      </c>
      <c r="H144" s="31">
        <f t="shared" si="14"/>
        <v>96</v>
      </c>
    </row>
    <row r="145" spans="2:8">
      <c r="B145" s="31"/>
      <c r="C145" s="31"/>
      <c r="D145" s="31"/>
      <c r="E145" s="31"/>
      <c r="F145" s="31">
        <v>97</v>
      </c>
      <c r="G145" s="32">
        <v>90935.209367999996</v>
      </c>
      <c r="H145" s="31">
        <f t="shared" si="14"/>
        <v>97</v>
      </c>
    </row>
    <row r="146" spans="2:8">
      <c r="B146" s="31"/>
      <c r="C146" s="31"/>
      <c r="D146" s="31"/>
      <c r="E146" s="31"/>
      <c r="F146" s="31">
        <v>98</v>
      </c>
      <c r="G146" s="32">
        <v>94294.933847999986</v>
      </c>
      <c r="H146" s="31">
        <f t="shared" si="14"/>
        <v>98</v>
      </c>
    </row>
    <row r="147" spans="2:8">
      <c r="B147" s="31"/>
      <c r="C147" s="31"/>
      <c r="D147" s="31"/>
      <c r="E147" s="31"/>
      <c r="F147" s="31">
        <v>99</v>
      </c>
      <c r="G147" s="32">
        <v>97757.316575999997</v>
      </c>
      <c r="H147" s="31">
        <f t="shared" si="14"/>
        <v>99</v>
      </c>
    </row>
    <row r="148" spans="2:8">
      <c r="B148" s="31"/>
      <c r="C148" s="31"/>
      <c r="D148" s="31"/>
      <c r="E148" s="31"/>
      <c r="F148" s="31">
        <v>100</v>
      </c>
      <c r="G148" s="32">
        <v>101325.02399999999</v>
      </c>
      <c r="H148" s="31">
        <f t="shared" si="14"/>
        <v>100</v>
      </c>
    </row>
    <row r="149" spans="2:8">
      <c r="B149" s="31"/>
      <c r="C149" s="31"/>
      <c r="D149" s="31"/>
      <c r="E149" s="31"/>
      <c r="F149" s="31">
        <v>105</v>
      </c>
      <c r="G149" s="32">
        <v>120820</v>
      </c>
      <c r="H149" s="31">
        <f t="shared" si="14"/>
        <v>105</v>
      </c>
    </row>
    <row r="150" spans="2:8">
      <c r="B150" s="31"/>
      <c r="C150" s="31"/>
      <c r="D150" s="31"/>
      <c r="E150" s="31"/>
      <c r="F150" s="31">
        <v>110</v>
      </c>
      <c r="G150" s="32">
        <v>143270</v>
      </c>
      <c r="H150" s="31">
        <f t="shared" si="14"/>
        <v>110</v>
      </c>
    </row>
    <row r="151" spans="2:8">
      <c r="B151" s="31"/>
      <c r="C151" s="31"/>
      <c r="D151" s="31"/>
      <c r="E151" s="31"/>
      <c r="F151" s="31">
        <v>115</v>
      </c>
      <c r="G151" s="32">
        <v>169060</v>
      </c>
      <c r="H151" s="31">
        <f t="shared" si="14"/>
        <v>115</v>
      </c>
    </row>
    <row r="152" spans="2:8">
      <c r="B152" s="31"/>
      <c r="C152" s="31"/>
      <c r="D152" s="31"/>
      <c r="E152" s="31"/>
      <c r="F152" s="31">
        <v>120</v>
      </c>
      <c r="G152" s="32">
        <v>198530</v>
      </c>
      <c r="H152" s="31">
        <f t="shared" si="14"/>
        <v>120</v>
      </c>
    </row>
    <row r="153" spans="2:8">
      <c r="B153" s="31"/>
      <c r="C153" s="31"/>
      <c r="D153" s="31"/>
      <c r="E153" s="31"/>
      <c r="F153" s="31">
        <v>125</v>
      </c>
      <c r="G153" s="32">
        <v>232100</v>
      </c>
      <c r="H153" s="31">
        <f t="shared" si="14"/>
        <v>125</v>
      </c>
    </row>
    <row r="154" spans="2:8">
      <c r="B154" s="31"/>
      <c r="C154" s="31"/>
      <c r="D154" s="31"/>
      <c r="E154" s="31"/>
      <c r="F154" s="31">
        <v>130</v>
      </c>
      <c r="G154" s="32">
        <v>270100</v>
      </c>
      <c r="H154" s="31">
        <f t="shared" si="14"/>
        <v>130</v>
      </c>
    </row>
    <row r="155" spans="2:8">
      <c r="B155" s="31"/>
      <c r="C155" s="31"/>
      <c r="D155" s="31"/>
      <c r="E155" s="31"/>
      <c r="F155" s="31">
        <v>135</v>
      </c>
      <c r="G155" s="32">
        <v>313000</v>
      </c>
      <c r="H155" s="31">
        <f t="shared" si="14"/>
        <v>135</v>
      </c>
    </row>
    <row r="156" spans="2:8">
      <c r="B156" s="31"/>
      <c r="C156" s="31"/>
      <c r="D156" s="31"/>
      <c r="E156" s="31"/>
      <c r="F156" s="31">
        <v>140</v>
      </c>
      <c r="G156" s="32">
        <v>361300</v>
      </c>
      <c r="H156" s="31">
        <f t="shared" si="14"/>
        <v>140</v>
      </c>
    </row>
    <row r="157" spans="2:8">
      <c r="B157" s="31"/>
      <c r="C157" s="31"/>
      <c r="D157" s="31"/>
      <c r="E157" s="31"/>
      <c r="F157" s="31">
        <v>145</v>
      </c>
      <c r="G157" s="32">
        <v>415400</v>
      </c>
      <c r="H157" s="31">
        <f t="shared" si="14"/>
        <v>145</v>
      </c>
    </row>
    <row r="158" spans="2:8">
      <c r="B158" s="31"/>
      <c r="C158" s="31"/>
      <c r="D158" s="31"/>
      <c r="E158" s="31"/>
      <c r="F158" s="31">
        <v>150</v>
      </c>
      <c r="G158" s="32">
        <v>475800</v>
      </c>
      <c r="H158" s="31">
        <f t="shared" si="14"/>
        <v>150</v>
      </c>
    </row>
    <row r="159" spans="2:8">
      <c r="B159" s="31"/>
      <c r="C159" s="31"/>
      <c r="D159" s="31"/>
      <c r="E159" s="31"/>
      <c r="F159" s="31">
        <v>155</v>
      </c>
      <c r="G159" s="32">
        <v>543100</v>
      </c>
      <c r="H159" s="31">
        <f t="shared" si="14"/>
        <v>155</v>
      </c>
    </row>
    <row r="160" spans="2:8">
      <c r="B160" s="31"/>
      <c r="C160" s="31"/>
      <c r="D160" s="31"/>
      <c r="E160" s="31"/>
      <c r="F160" s="31">
        <v>160</v>
      </c>
      <c r="G160" s="32">
        <v>617800</v>
      </c>
      <c r="H160" s="31">
        <f t="shared" si="14"/>
        <v>160</v>
      </c>
    </row>
    <row r="161" spans="2:8">
      <c r="B161" s="31"/>
      <c r="C161" s="31"/>
      <c r="D161" s="31"/>
      <c r="E161" s="31"/>
      <c r="F161" s="31">
        <v>165</v>
      </c>
      <c r="G161" s="32">
        <v>700500</v>
      </c>
      <c r="H161" s="31">
        <f t="shared" si="14"/>
        <v>165</v>
      </c>
    </row>
    <row r="162" spans="2:8">
      <c r="B162" s="31"/>
      <c r="C162" s="31"/>
      <c r="D162" s="31"/>
      <c r="E162" s="31"/>
      <c r="F162" s="31">
        <v>170</v>
      </c>
      <c r="G162" s="32">
        <v>791700</v>
      </c>
      <c r="H162" s="31">
        <f t="shared" si="14"/>
        <v>170</v>
      </c>
    </row>
    <row r="163" spans="2:8">
      <c r="B163" s="31"/>
      <c r="C163" s="31"/>
      <c r="D163" s="31"/>
      <c r="E163" s="31"/>
      <c r="F163" s="31">
        <v>175</v>
      </c>
      <c r="G163" s="32">
        <v>892000</v>
      </c>
      <c r="H163" s="31">
        <f t="shared" si="14"/>
        <v>175</v>
      </c>
    </row>
    <row r="164" spans="2:8">
      <c r="B164" s="31"/>
      <c r="C164" s="31"/>
      <c r="D164" s="31"/>
      <c r="E164" s="31"/>
      <c r="F164" s="31">
        <v>180</v>
      </c>
      <c r="G164" s="32">
        <v>1002100</v>
      </c>
      <c r="H164" s="31">
        <f t="shared" si="14"/>
        <v>180</v>
      </c>
    </row>
    <row r="165" spans="2:8">
      <c r="B165" s="31"/>
      <c r="C165" s="31"/>
      <c r="D165" s="31"/>
      <c r="E165" s="31"/>
      <c r="F165" s="31">
        <v>185</v>
      </c>
      <c r="G165" s="32">
        <v>1122700</v>
      </c>
      <c r="H165" s="31">
        <f t="shared" si="14"/>
        <v>185</v>
      </c>
    </row>
    <row r="166" spans="2:8">
      <c r="B166" s="31"/>
      <c r="C166" s="31"/>
      <c r="D166" s="31"/>
      <c r="E166" s="31"/>
      <c r="F166" s="31">
        <v>190</v>
      </c>
      <c r="G166" s="32">
        <v>1254400</v>
      </c>
      <c r="H166" s="31">
        <f t="shared" si="14"/>
        <v>190</v>
      </c>
    </row>
    <row r="167" spans="2:8">
      <c r="B167" s="31"/>
      <c r="C167" s="31"/>
      <c r="D167" s="31"/>
      <c r="E167" s="31"/>
      <c r="F167" s="31">
        <v>195</v>
      </c>
      <c r="G167" s="32">
        <v>1397800</v>
      </c>
      <c r="H167" s="31">
        <f t="shared" si="14"/>
        <v>195</v>
      </c>
    </row>
    <row r="168" spans="2:8">
      <c r="B168" s="31"/>
      <c r="C168" s="31"/>
      <c r="D168" s="31"/>
      <c r="E168" s="31"/>
      <c r="F168" s="31">
        <v>200</v>
      </c>
      <c r="G168" s="32">
        <v>1553800</v>
      </c>
      <c r="H168" s="31">
        <f t="shared" si="14"/>
        <v>200</v>
      </c>
    </row>
    <row r="169" spans="2:8">
      <c r="B169" s="31"/>
      <c r="C169" s="31"/>
      <c r="D169" s="31"/>
      <c r="E169" s="31"/>
      <c r="F169" s="31">
        <v>205</v>
      </c>
      <c r="G169" s="32">
        <v>1723000</v>
      </c>
      <c r="H169" s="31">
        <f t="shared" ref="H169:H192" si="15">F169</f>
        <v>205</v>
      </c>
    </row>
    <row r="170" spans="2:8">
      <c r="B170" s="31"/>
      <c r="C170" s="31"/>
      <c r="D170" s="31"/>
      <c r="E170" s="31"/>
      <c r="F170" s="31">
        <v>210</v>
      </c>
      <c r="G170" s="32">
        <v>1906200</v>
      </c>
      <c r="H170" s="31">
        <f t="shared" si="15"/>
        <v>210</v>
      </c>
    </row>
    <row r="171" spans="2:8">
      <c r="B171" s="31"/>
      <c r="C171" s="31"/>
      <c r="D171" s="31"/>
      <c r="E171" s="31"/>
      <c r="F171" s="31">
        <v>215</v>
      </c>
      <c r="G171" s="32">
        <v>2104000</v>
      </c>
      <c r="H171" s="31">
        <f t="shared" si="15"/>
        <v>215</v>
      </c>
    </row>
    <row r="172" spans="2:8">
      <c r="B172" s="31"/>
      <c r="C172" s="31"/>
      <c r="D172" s="31"/>
      <c r="E172" s="31"/>
      <c r="F172" s="31">
        <v>220</v>
      </c>
      <c r="G172" s="32">
        <v>2318000</v>
      </c>
      <c r="H172" s="31">
        <f t="shared" si="15"/>
        <v>220</v>
      </c>
    </row>
    <row r="173" spans="2:8">
      <c r="B173" s="31"/>
      <c r="C173" s="31"/>
      <c r="D173" s="31"/>
      <c r="E173" s="31"/>
      <c r="F173" s="31">
        <v>225</v>
      </c>
      <c r="G173" s="32">
        <v>2548000</v>
      </c>
      <c r="H173" s="31">
        <f t="shared" si="15"/>
        <v>225</v>
      </c>
    </row>
    <row r="174" spans="2:8">
      <c r="B174" s="31"/>
      <c r="C174" s="31"/>
      <c r="D174" s="31"/>
      <c r="E174" s="31"/>
      <c r="F174" s="31">
        <v>230</v>
      </c>
      <c r="G174" s="32">
        <v>2795000</v>
      </c>
      <c r="H174" s="31">
        <f t="shared" si="15"/>
        <v>230</v>
      </c>
    </row>
    <row r="175" spans="2:8">
      <c r="B175" s="31"/>
      <c r="C175" s="31"/>
      <c r="D175" s="31"/>
      <c r="E175" s="31"/>
      <c r="F175" s="31">
        <v>235</v>
      </c>
      <c r="G175" s="32">
        <v>3060000</v>
      </c>
      <c r="H175" s="31">
        <f t="shared" si="15"/>
        <v>235</v>
      </c>
    </row>
    <row r="176" spans="2:8">
      <c r="B176" s="31"/>
      <c r="C176" s="31"/>
      <c r="D176" s="31"/>
      <c r="E176" s="31"/>
      <c r="F176" s="31">
        <v>240</v>
      </c>
      <c r="G176" s="32">
        <v>3344000</v>
      </c>
      <c r="H176" s="31">
        <f t="shared" si="15"/>
        <v>240</v>
      </c>
    </row>
    <row r="177" spans="2:8">
      <c r="B177" s="31"/>
      <c r="C177" s="31"/>
      <c r="D177" s="31"/>
      <c r="E177" s="31"/>
      <c r="F177" s="31">
        <v>245</v>
      </c>
      <c r="G177" s="32">
        <v>3648000</v>
      </c>
      <c r="H177" s="31">
        <f t="shared" si="15"/>
        <v>245</v>
      </c>
    </row>
    <row r="178" spans="2:8">
      <c r="B178" s="31"/>
      <c r="C178" s="31"/>
      <c r="D178" s="31"/>
      <c r="E178" s="31"/>
      <c r="F178" s="31">
        <v>250</v>
      </c>
      <c r="G178" s="32">
        <v>3973000</v>
      </c>
      <c r="H178" s="31">
        <f t="shared" si="15"/>
        <v>250</v>
      </c>
    </row>
    <row r="179" spans="2:8">
      <c r="B179" s="31"/>
      <c r="C179" s="31"/>
      <c r="D179" s="31"/>
      <c r="E179" s="31"/>
      <c r="F179" s="31">
        <v>255</v>
      </c>
      <c r="G179" s="32">
        <v>4319000</v>
      </c>
      <c r="H179" s="31">
        <f t="shared" si="15"/>
        <v>255</v>
      </c>
    </row>
    <row r="180" spans="2:8">
      <c r="B180" s="31"/>
      <c r="C180" s="31"/>
      <c r="D180" s="31"/>
      <c r="E180" s="31"/>
      <c r="F180" s="31">
        <v>260</v>
      </c>
      <c r="G180" s="32">
        <v>4688000</v>
      </c>
      <c r="H180" s="31">
        <f t="shared" si="15"/>
        <v>260</v>
      </c>
    </row>
    <row r="181" spans="2:8">
      <c r="B181" s="31"/>
      <c r="C181" s="31"/>
      <c r="D181" s="31"/>
      <c r="E181" s="31"/>
      <c r="F181" s="31">
        <v>265</v>
      </c>
      <c r="G181" s="32">
        <v>5081000</v>
      </c>
      <c r="H181" s="31">
        <f t="shared" si="15"/>
        <v>265</v>
      </c>
    </row>
    <row r="182" spans="2:8">
      <c r="B182" s="31"/>
      <c r="C182" s="31"/>
      <c r="D182" s="31"/>
      <c r="E182" s="31"/>
      <c r="F182" s="31">
        <v>270</v>
      </c>
      <c r="G182" s="32">
        <v>5499000</v>
      </c>
      <c r="H182" s="31">
        <f t="shared" si="15"/>
        <v>270</v>
      </c>
    </row>
    <row r="183" spans="2:8">
      <c r="B183" s="31"/>
      <c r="C183" s="31"/>
      <c r="D183" s="31"/>
      <c r="E183" s="31"/>
      <c r="F183" s="31">
        <v>275</v>
      </c>
      <c r="G183" s="32">
        <v>5942000</v>
      </c>
      <c r="H183" s="31">
        <f t="shared" si="15"/>
        <v>275</v>
      </c>
    </row>
    <row r="184" spans="2:8">
      <c r="B184" s="31"/>
      <c r="C184" s="31"/>
      <c r="D184" s="31"/>
      <c r="E184" s="31"/>
      <c r="F184" s="31">
        <v>280</v>
      </c>
      <c r="G184" s="32">
        <v>6412000</v>
      </c>
      <c r="H184" s="31">
        <f t="shared" si="15"/>
        <v>280</v>
      </c>
    </row>
    <row r="185" spans="2:8">
      <c r="B185" s="31"/>
      <c r="C185" s="31"/>
      <c r="D185" s="31"/>
      <c r="E185" s="31"/>
      <c r="F185" s="31">
        <v>285</v>
      </c>
      <c r="G185" s="32">
        <v>6909000</v>
      </c>
      <c r="H185" s="31">
        <f t="shared" si="15"/>
        <v>285</v>
      </c>
    </row>
    <row r="186" spans="2:8">
      <c r="B186" s="31"/>
      <c r="C186" s="31"/>
      <c r="D186" s="31"/>
      <c r="E186" s="31"/>
      <c r="F186" s="31">
        <v>290</v>
      </c>
      <c r="G186" s="32">
        <v>7436000</v>
      </c>
      <c r="H186" s="31">
        <f t="shared" si="15"/>
        <v>290</v>
      </c>
    </row>
    <row r="187" spans="2:8">
      <c r="B187" s="31"/>
      <c r="C187" s="31"/>
      <c r="D187" s="31"/>
      <c r="E187" s="31"/>
      <c r="F187" s="31">
        <v>295</v>
      </c>
      <c r="G187" s="32">
        <v>7993000</v>
      </c>
      <c r="H187" s="31">
        <f t="shared" si="15"/>
        <v>295</v>
      </c>
    </row>
    <row r="188" spans="2:8">
      <c r="B188" s="31"/>
      <c r="C188" s="31"/>
      <c r="D188" s="31"/>
      <c r="E188" s="31"/>
      <c r="F188" s="31">
        <v>300</v>
      </c>
      <c r="G188" s="32">
        <v>8581000</v>
      </c>
      <c r="H188" s="31">
        <f t="shared" si="15"/>
        <v>300</v>
      </c>
    </row>
    <row r="189" spans="2:8">
      <c r="B189" s="31"/>
      <c r="C189" s="31"/>
      <c r="D189" s="31"/>
      <c r="E189" s="31"/>
      <c r="F189" s="31">
        <v>320</v>
      </c>
      <c r="G189" s="31">
        <v>11274000</v>
      </c>
      <c r="H189" s="31">
        <f t="shared" si="15"/>
        <v>320</v>
      </c>
    </row>
    <row r="190" spans="2:8">
      <c r="B190" s="31"/>
      <c r="C190" s="31"/>
      <c r="D190" s="31"/>
      <c r="E190" s="31"/>
      <c r="F190" s="31">
        <v>340</v>
      </c>
      <c r="G190" s="31">
        <v>14586000</v>
      </c>
      <c r="H190" s="31">
        <f t="shared" si="15"/>
        <v>340</v>
      </c>
    </row>
    <row r="191" spans="2:8">
      <c r="B191" s="31"/>
      <c r="C191" s="31"/>
      <c r="D191" s="31"/>
      <c r="E191" s="31"/>
      <c r="F191" s="31">
        <v>360</v>
      </c>
      <c r="G191" s="31">
        <v>18651000</v>
      </c>
      <c r="H191" s="31">
        <f t="shared" si="15"/>
        <v>360</v>
      </c>
    </row>
    <row r="192" spans="2:8">
      <c r="B192" s="31"/>
      <c r="C192" s="31"/>
      <c r="D192" s="31"/>
      <c r="E192" s="31"/>
      <c r="F192" s="32">
        <v>374.14</v>
      </c>
      <c r="G192" s="32">
        <v>22090000</v>
      </c>
      <c r="H192" s="32">
        <f t="shared" si="15"/>
        <v>374.14</v>
      </c>
    </row>
    <row r="193" spans="2:8">
      <c r="B193" s="31"/>
      <c r="C193" s="31"/>
      <c r="D193" s="31"/>
      <c r="E193" s="31"/>
      <c r="F193" s="31"/>
      <c r="G193" s="31"/>
      <c r="H193" s="31"/>
    </row>
    <row r="194" spans="2:8">
      <c r="B194" s="31"/>
      <c r="C194" s="31"/>
      <c r="D194" s="31"/>
      <c r="E194" s="31"/>
      <c r="F194" s="2341" t="s">
        <v>269</v>
      </c>
      <c r="G194" s="2342"/>
      <c r="H194" s="2343"/>
    </row>
    <row r="195" spans="2:8">
      <c r="B195" s="31"/>
      <c r="C195" s="31"/>
      <c r="D195" s="31"/>
      <c r="E195" s="31"/>
      <c r="F195" s="43" t="s">
        <v>270</v>
      </c>
      <c r="G195" s="45" t="s">
        <v>271</v>
      </c>
      <c r="H195" s="75"/>
    </row>
    <row r="196" spans="2:8">
      <c r="B196" s="31"/>
      <c r="C196" s="31"/>
      <c r="D196" s="31"/>
      <c r="E196" s="31"/>
      <c r="F196" s="57">
        <f>VLOOKUP(C109,F105:G192,1)</f>
        <v>0</v>
      </c>
      <c r="G196" s="32">
        <f>VLOOKUP(F196,$F$105:$G$192,2)</f>
        <v>610.48326959999986</v>
      </c>
      <c r="H196" s="54">
        <f>MATCH(F196,F105:F192,1)</f>
        <v>1</v>
      </c>
    </row>
    <row r="197" spans="2:8">
      <c r="B197" s="31"/>
      <c r="C197" s="31"/>
      <c r="D197" s="31"/>
      <c r="E197" s="31"/>
      <c r="F197" s="57">
        <f>C109</f>
        <v>0</v>
      </c>
      <c r="G197" s="32">
        <f>G196+((F197-F196)/(F198-F196))*(G198-G196)</f>
        <v>610.48326959999986</v>
      </c>
      <c r="H197" s="54"/>
    </row>
    <row r="198" spans="2:8">
      <c r="B198" s="31"/>
      <c r="C198" s="31"/>
      <c r="D198" s="31"/>
      <c r="E198" s="31"/>
      <c r="F198" s="69">
        <f>INDEX(F105:F192,H198)</f>
        <v>2</v>
      </c>
      <c r="G198" s="77">
        <f>VLOOKUP(F198,$F$105:$G$192,2)</f>
        <v>705.80878559999985</v>
      </c>
      <c r="H198" s="66">
        <f>H196+1</f>
        <v>2</v>
      </c>
    </row>
    <row r="199" spans="2:8">
      <c r="B199" s="31"/>
      <c r="C199" s="31"/>
      <c r="D199" s="31"/>
      <c r="E199" s="31"/>
    </row>
    <row r="200" spans="2:8">
      <c r="B200" s="31"/>
      <c r="C200" s="31"/>
      <c r="D200" s="31"/>
      <c r="E200" s="31"/>
      <c r="F200" s="2341" t="s">
        <v>272</v>
      </c>
      <c r="G200" s="2342"/>
      <c r="H200" s="2343"/>
    </row>
    <row r="201" spans="2:8">
      <c r="B201" s="31"/>
      <c r="C201" s="31"/>
      <c r="D201" s="31"/>
      <c r="E201" s="31"/>
      <c r="F201" s="43" t="s">
        <v>270</v>
      </c>
      <c r="G201" s="45" t="s">
        <v>271</v>
      </c>
      <c r="H201" s="75"/>
    </row>
    <row r="202" spans="2:8">
      <c r="B202" s="31"/>
      <c r="C202" s="31"/>
      <c r="D202" s="31"/>
      <c r="E202" s="31"/>
      <c r="F202" s="57" t="e">
        <f>VLOOKUP(G202,$G$105:$H$192,2)</f>
        <v>#N/A</v>
      </c>
      <c r="G202" s="32" t="e">
        <f>VLOOKUP(G203,G105:H192,1)</f>
        <v>#N/A</v>
      </c>
      <c r="H202" s="54" t="e">
        <f>MATCH(F202,F105:F192,1)</f>
        <v>#N/A</v>
      </c>
    </row>
    <row r="203" spans="2:8">
      <c r="B203" s="31"/>
      <c r="C203" s="31"/>
      <c r="D203" s="31"/>
      <c r="E203" s="31"/>
      <c r="F203" s="57" t="e">
        <f>F202+(G203-G202)/(G204-G202)*(F204-F202)</f>
        <v>#N/A</v>
      </c>
      <c r="G203" s="32">
        <f>C118*C106</f>
        <v>30.524163479999995</v>
      </c>
      <c r="H203" s="54"/>
    </row>
    <row r="204" spans="2:8">
      <c r="B204" s="31"/>
      <c r="C204" s="31"/>
      <c r="D204" s="31"/>
      <c r="E204" s="31"/>
      <c r="F204" s="69" t="e">
        <f>INDEX(F105:F192,H204)</f>
        <v>#N/A</v>
      </c>
      <c r="G204" s="77" t="e">
        <f>VLOOKUP(F204,F105:G192,2)</f>
        <v>#N/A</v>
      </c>
      <c r="H204" s="66" t="e">
        <f>H202+1</f>
        <v>#N/A</v>
      </c>
    </row>
    <row r="205" spans="2:8">
      <c r="B205" s="31"/>
      <c r="C205" s="31"/>
      <c r="D205" s="31"/>
      <c r="E205" s="31"/>
    </row>
    <row r="206" spans="2:8">
      <c r="B206" s="31"/>
      <c r="C206" s="31"/>
      <c r="D206" s="31"/>
      <c r="E206" s="31"/>
      <c r="F206" s="2341" t="s">
        <v>431</v>
      </c>
      <c r="G206" s="2342"/>
      <c r="H206" s="2343"/>
    </row>
    <row r="207" spans="2:8">
      <c r="B207" s="31"/>
      <c r="C207" s="31"/>
      <c r="D207" s="31"/>
      <c r="E207" s="31"/>
      <c r="F207" s="43" t="s">
        <v>270</v>
      </c>
      <c r="G207" s="45" t="s">
        <v>271</v>
      </c>
      <c r="H207" s="75"/>
    </row>
    <row r="208" spans="2:8">
      <c r="B208" s="31"/>
      <c r="C208" s="31"/>
      <c r="D208" s="31"/>
      <c r="E208" s="31"/>
      <c r="F208" s="57">
        <f>VLOOKUP(G208,$G$105:$H$192,2)</f>
        <v>55</v>
      </c>
      <c r="G208" s="32">
        <f>VLOOKUP(C127,G105:H192,1)</f>
        <v>15737.376096</v>
      </c>
      <c r="H208" s="54">
        <f>MATCH(F208,F105:F192,1)</f>
        <v>27</v>
      </c>
    </row>
    <row r="209" spans="2:8">
      <c r="B209" s="31"/>
      <c r="C209" s="31"/>
      <c r="D209" s="31"/>
      <c r="E209" s="31"/>
      <c r="F209" s="57">
        <f>F208+(G209-G208)/(G210-G208)*(F210-F208)</f>
        <v>59.118389658623499</v>
      </c>
      <c r="G209" s="32">
        <f>C127</f>
        <v>19178.969379574519</v>
      </c>
      <c r="H209" s="54"/>
    </row>
    <row r="210" spans="2:8">
      <c r="B210" s="31"/>
      <c r="C210" s="31"/>
      <c r="D210" s="31"/>
      <c r="E210" s="31"/>
      <c r="F210" s="69">
        <f>INDEX(F105:F192,H210)</f>
        <v>60</v>
      </c>
      <c r="G210" s="77">
        <f>VLOOKUP(F210,F105:G192,2)</f>
        <v>19915.700111999999</v>
      </c>
      <c r="H210" s="66">
        <f>H208+1</f>
        <v>28</v>
      </c>
    </row>
    <row r="211" spans="2:8">
      <c r="B211" s="31"/>
      <c r="C211" s="31"/>
      <c r="D211" s="31"/>
      <c r="E211" s="31"/>
    </row>
    <row r="212" spans="2:8">
      <c r="B212" s="31"/>
      <c r="C212" s="31"/>
      <c r="D212" s="31"/>
      <c r="E212" s="31"/>
      <c r="F212" s="2341" t="s">
        <v>273</v>
      </c>
      <c r="G212" s="2342"/>
      <c r="H212" s="2343"/>
    </row>
    <row r="213" spans="2:8">
      <c r="B213" s="31"/>
      <c r="C213" s="31"/>
      <c r="D213" s="31"/>
      <c r="E213" s="31"/>
      <c r="F213" s="43" t="s">
        <v>270</v>
      </c>
      <c r="G213" s="45" t="s">
        <v>271</v>
      </c>
      <c r="H213" s="75"/>
    </row>
    <row r="214" spans="2:8">
      <c r="B214" s="31"/>
      <c r="C214" s="31"/>
      <c r="D214" s="31"/>
      <c r="E214" s="31"/>
      <c r="F214" s="57">
        <f>VLOOKUP(F215,F105:G192,1)</f>
        <v>200</v>
      </c>
      <c r="G214" s="32">
        <f>VLOOKUP(F214,$F$105:$G$192,2)</f>
        <v>1553800</v>
      </c>
      <c r="H214" s="54">
        <f>MATCH(F214,F105:F192,1)</f>
        <v>64</v>
      </c>
    </row>
    <row r="215" spans="2:8">
      <c r="B215" s="31"/>
      <c r="C215" s="31"/>
      <c r="D215" s="31"/>
      <c r="E215" s="31"/>
      <c r="F215" s="57">
        <f>C122</f>
        <v>200</v>
      </c>
      <c r="G215" s="32">
        <f>G214+((F215-F214)/(F216-F214))*(G216-G214)</f>
        <v>1553800</v>
      </c>
      <c r="H215" s="54"/>
    </row>
    <row r="216" spans="2:8">
      <c r="B216" s="31"/>
      <c r="C216" s="31"/>
      <c r="D216" s="31"/>
      <c r="E216" s="31"/>
      <c r="F216" s="69">
        <f>INDEX(F105:F192,H216)</f>
        <v>205</v>
      </c>
      <c r="G216" s="77">
        <f>VLOOKUP(F216,$F$105:$G$192,2)</f>
        <v>1723000</v>
      </c>
      <c r="H216" s="66">
        <f>H214+1</f>
        <v>65</v>
      </c>
    </row>
    <row r="217" spans="2:8">
      <c r="B217" s="31"/>
      <c r="C217" s="31"/>
      <c r="D217" s="31"/>
      <c r="E217" s="31"/>
    </row>
    <row r="218" spans="2:8">
      <c r="B218" s="31"/>
      <c r="C218" s="31"/>
      <c r="D218" s="31"/>
      <c r="E218" s="31"/>
    </row>
    <row r="219" spans="2:8">
      <c r="B219" s="31"/>
      <c r="C219" s="31"/>
      <c r="D219" s="31"/>
      <c r="E219" s="31"/>
    </row>
    <row r="220" spans="2:8">
      <c r="B220" s="31"/>
      <c r="C220" s="31"/>
      <c r="D220" s="31"/>
      <c r="E220" s="31"/>
    </row>
    <row r="221" spans="2:8">
      <c r="B221" s="31"/>
      <c r="C221" s="31"/>
      <c r="D221" s="31"/>
      <c r="E221" s="31"/>
    </row>
    <row r="222" spans="2:8">
      <c r="B222" s="31"/>
      <c r="C222" s="31"/>
      <c r="D222" s="31"/>
      <c r="E222" s="31"/>
    </row>
    <row r="223" spans="2:8">
      <c r="B223" s="31"/>
      <c r="C223" s="31"/>
      <c r="D223" s="31"/>
      <c r="E223" s="31"/>
    </row>
    <row r="224" spans="2:8">
      <c r="B224" s="31"/>
    </row>
    <row r="225" spans="2:2">
      <c r="B225" s="31"/>
    </row>
    <row r="226" spans="2:2">
      <c r="B226" s="31"/>
    </row>
    <row r="227" spans="2:2">
      <c r="B227" s="31"/>
    </row>
    <row r="228" spans="2:2">
      <c r="B228" s="31"/>
    </row>
    <row r="229" spans="2:2">
      <c r="B229" s="31"/>
    </row>
    <row r="230" spans="2:2">
      <c r="B230" s="31"/>
    </row>
    <row r="231" spans="2:2">
      <c r="B231" s="31"/>
    </row>
    <row r="232" spans="2:2">
      <c r="B232" s="31"/>
    </row>
    <row r="233" spans="2:2">
      <c r="B233" s="31"/>
    </row>
    <row r="234" spans="2:2">
      <c r="B234" s="31"/>
    </row>
    <row r="235" spans="2:2">
      <c r="B235" s="31"/>
    </row>
    <row r="236" spans="2:2">
      <c r="B236" s="31"/>
    </row>
    <row r="237" spans="2:2">
      <c r="B237" s="31"/>
    </row>
    <row r="238" spans="2:2">
      <c r="B238" s="31"/>
    </row>
    <row r="239" spans="2:2">
      <c r="B239" s="31"/>
    </row>
    <row r="240" spans="2:2">
      <c r="B240" s="31"/>
    </row>
    <row r="241" spans="2:2">
      <c r="B241" s="31"/>
    </row>
    <row r="242" spans="2:2">
      <c r="B242" s="31"/>
    </row>
    <row r="243" spans="2:2">
      <c r="B243" s="31"/>
    </row>
    <row r="244" spans="2:2">
      <c r="B244" s="31"/>
    </row>
    <row r="245" spans="2:2">
      <c r="B245" s="31"/>
    </row>
    <row r="246" spans="2:2">
      <c r="B246" s="31"/>
    </row>
    <row r="247" spans="2:2">
      <c r="B247" s="31"/>
    </row>
    <row r="248" spans="2:2">
      <c r="B248" s="31"/>
    </row>
    <row r="249" spans="2:2">
      <c r="B249" s="31"/>
    </row>
    <row r="250" spans="2:2">
      <c r="B250" s="31"/>
    </row>
    <row r="251" spans="2:2">
      <c r="B251" s="31"/>
    </row>
    <row r="252" spans="2:2">
      <c r="B252" s="31"/>
    </row>
    <row r="253" spans="2:2">
      <c r="B253" s="31"/>
    </row>
    <row r="254" spans="2:2">
      <c r="B254" s="31"/>
    </row>
    <row r="255" spans="2:2">
      <c r="B255" s="31"/>
    </row>
    <row r="256" spans="2:2">
      <c r="B256" s="31"/>
    </row>
    <row r="257" spans="2:2">
      <c r="B257" s="31"/>
    </row>
    <row r="258" spans="2:2">
      <c r="B258" s="31"/>
    </row>
    <row r="259" spans="2:2">
      <c r="B259" s="31"/>
    </row>
    <row r="260" spans="2:2">
      <c r="B260" s="31"/>
    </row>
    <row r="261" spans="2:2">
      <c r="B261" s="31"/>
    </row>
    <row r="262" spans="2:2">
      <c r="B262" s="31"/>
    </row>
    <row r="263" spans="2:2">
      <c r="B263" s="31"/>
    </row>
    <row r="264" spans="2:2">
      <c r="B264" s="31"/>
    </row>
    <row r="265" spans="2:2">
      <c r="B265" s="31"/>
    </row>
    <row r="266" spans="2:2">
      <c r="B266" s="31"/>
    </row>
    <row r="267" spans="2:2">
      <c r="B267" s="31"/>
    </row>
    <row r="268" spans="2:2">
      <c r="B268" s="31"/>
    </row>
    <row r="269" spans="2:2">
      <c r="B269" s="31"/>
    </row>
    <row r="270" spans="2:2">
      <c r="B270" s="31"/>
    </row>
    <row r="271" spans="2:2">
      <c r="B271" s="31"/>
    </row>
    <row r="272" spans="2:2">
      <c r="B272" s="31"/>
    </row>
    <row r="273" spans="2:2">
      <c r="B273" s="31"/>
    </row>
    <row r="274" spans="2:2">
      <c r="B274" s="31"/>
    </row>
    <row r="275" spans="2:2">
      <c r="B275" s="31"/>
    </row>
    <row r="276" spans="2:2">
      <c r="B276" s="31"/>
    </row>
    <row r="277" spans="2:2">
      <c r="B277" s="31"/>
    </row>
    <row r="278" spans="2:2">
      <c r="B278" s="31"/>
    </row>
    <row r="279" spans="2:2">
      <c r="B279" s="31"/>
    </row>
    <row r="280" spans="2:2">
      <c r="B280" s="31"/>
    </row>
    <row r="281" spans="2:2">
      <c r="B281" s="31"/>
    </row>
    <row r="282" spans="2:2">
      <c r="B282" s="31"/>
    </row>
    <row r="283" spans="2:2">
      <c r="B283" s="31"/>
    </row>
    <row r="284" spans="2:2">
      <c r="B284" s="31"/>
    </row>
    <row r="285" spans="2:2">
      <c r="B285" s="31"/>
    </row>
    <row r="286" spans="2:2">
      <c r="B286" s="31"/>
    </row>
    <row r="287" spans="2:2">
      <c r="B287" s="31"/>
    </row>
    <row r="288" spans="2:2">
      <c r="B288" s="31"/>
    </row>
    <row r="289" spans="2:2">
      <c r="B289" s="31"/>
    </row>
    <row r="290" spans="2:2">
      <c r="B290" s="31"/>
    </row>
    <row r="291" spans="2:2">
      <c r="B291" s="31"/>
    </row>
    <row r="292" spans="2:2">
      <c r="B292" s="31"/>
    </row>
    <row r="293" spans="2:2">
      <c r="B293" s="31"/>
    </row>
    <row r="294" spans="2:2">
      <c r="B294" s="31"/>
    </row>
    <row r="295" spans="2:2">
      <c r="B295" s="31"/>
    </row>
    <row r="296" spans="2:2">
      <c r="B296" s="31"/>
    </row>
    <row r="297" spans="2:2">
      <c r="B297" s="31"/>
    </row>
    <row r="298" spans="2:2">
      <c r="B298" s="31"/>
    </row>
    <row r="299" spans="2:2">
      <c r="B299" s="31"/>
    </row>
    <row r="300" spans="2:2">
      <c r="B300" s="31"/>
    </row>
    <row r="301" spans="2:2">
      <c r="B301" s="31"/>
    </row>
    <row r="302" spans="2:2">
      <c r="B302" s="31"/>
    </row>
    <row r="303" spans="2:2">
      <c r="B303" s="31"/>
    </row>
    <row r="304" spans="2:2">
      <c r="B304" s="31"/>
    </row>
    <row r="305" spans="2:2">
      <c r="B305" s="31"/>
    </row>
    <row r="306" spans="2:2">
      <c r="B306" s="31"/>
    </row>
    <row r="307" spans="2:2">
      <c r="B307" s="31"/>
    </row>
    <row r="308" spans="2:2">
      <c r="B308" s="31"/>
    </row>
    <row r="309" spans="2:2">
      <c r="B309" s="31"/>
    </row>
    <row r="310" spans="2:2">
      <c r="B310" s="31"/>
    </row>
    <row r="311" spans="2:2">
      <c r="B311" s="31"/>
    </row>
    <row r="312" spans="2:2">
      <c r="B312" s="31"/>
    </row>
    <row r="313" spans="2:2">
      <c r="B313" s="31"/>
    </row>
    <row r="314" spans="2:2">
      <c r="B314" s="31"/>
    </row>
    <row r="315" spans="2:2">
      <c r="B315" s="31"/>
    </row>
    <row r="316" spans="2:2">
      <c r="B316" s="31"/>
    </row>
    <row r="317" spans="2:2">
      <c r="B317" s="31"/>
    </row>
    <row r="318" spans="2:2">
      <c r="B318" s="31"/>
    </row>
    <row r="319" spans="2:2">
      <c r="B319" s="31"/>
    </row>
    <row r="320" spans="2:2">
      <c r="B320" s="31"/>
    </row>
    <row r="321" spans="2:2">
      <c r="B321" s="31"/>
    </row>
    <row r="322" spans="2:2">
      <c r="B322" s="31"/>
    </row>
    <row r="323" spans="2:2">
      <c r="B323" s="31"/>
    </row>
    <row r="324" spans="2:2">
      <c r="B324" s="31"/>
    </row>
    <row r="325" spans="2:2">
      <c r="B325" s="31"/>
    </row>
    <row r="326" spans="2:2">
      <c r="B326" s="31"/>
    </row>
    <row r="327" spans="2:2">
      <c r="B327" s="31"/>
    </row>
    <row r="328" spans="2:2">
      <c r="B328" s="31"/>
    </row>
    <row r="329" spans="2:2">
      <c r="B329" s="31"/>
    </row>
    <row r="330" spans="2:2">
      <c r="B330" s="31"/>
    </row>
    <row r="331" spans="2:2">
      <c r="B331" s="31"/>
    </row>
    <row r="332" spans="2:2">
      <c r="B332" s="31"/>
    </row>
    <row r="333" spans="2:2">
      <c r="B333" s="31"/>
    </row>
    <row r="334" spans="2:2">
      <c r="B334" s="31"/>
    </row>
    <row r="335" spans="2:2">
      <c r="B335" s="31"/>
    </row>
    <row r="336" spans="2:2">
      <c r="B336" s="31"/>
    </row>
    <row r="337" spans="2:2">
      <c r="B337" s="31"/>
    </row>
    <row r="338" spans="2:2">
      <c r="B338" s="31"/>
    </row>
    <row r="339" spans="2:2">
      <c r="B339" s="31"/>
    </row>
    <row r="340" spans="2:2">
      <c r="B340" s="31"/>
    </row>
    <row r="341" spans="2:2">
      <c r="B341" s="31"/>
    </row>
    <row r="342" spans="2:2">
      <c r="B342" s="31"/>
    </row>
    <row r="343" spans="2:2">
      <c r="B343" s="31"/>
    </row>
    <row r="344" spans="2:2">
      <c r="B344" s="31"/>
    </row>
    <row r="345" spans="2:2">
      <c r="B345" s="31"/>
    </row>
    <row r="346" spans="2:2">
      <c r="B346" s="31"/>
    </row>
    <row r="347" spans="2:2">
      <c r="B347" s="31"/>
    </row>
    <row r="348" spans="2:2">
      <c r="B348" s="31"/>
    </row>
    <row r="349" spans="2:2">
      <c r="B349" s="31"/>
    </row>
    <row r="350" spans="2:2">
      <c r="B350" s="31"/>
    </row>
    <row r="351" spans="2:2">
      <c r="B351" s="31"/>
    </row>
    <row r="352" spans="2:2">
      <c r="B352" s="31"/>
    </row>
    <row r="353" spans="2:2">
      <c r="B353" s="31"/>
    </row>
    <row r="354" spans="2:2">
      <c r="B354" s="31"/>
    </row>
    <row r="355" spans="2:2">
      <c r="B355" s="31"/>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1"/>
  <dimension ref="A1:X103"/>
  <sheetViews>
    <sheetView workbookViewId="0"/>
  </sheetViews>
  <sheetFormatPr baseColWidth="10" defaultColWidth="11.42578125" defaultRowHeight="15"/>
  <cols>
    <col min="1" max="1" width="4.42578125" style="7" customWidth="1"/>
    <col min="2" max="2" width="21.85546875" customWidth="1"/>
    <col min="3" max="4" width="23" customWidth="1"/>
    <col min="5" max="5" width="22.42578125" customWidth="1"/>
    <col min="6" max="6" width="20.140625" customWidth="1"/>
    <col min="7" max="10" width="20" customWidth="1"/>
    <col min="11" max="11" width="14.140625" style="7" customWidth="1"/>
    <col min="12" max="12" width="11.42578125" style="7"/>
    <col min="13" max="13" width="23.140625" customWidth="1"/>
    <col min="15" max="15" width="16.140625" customWidth="1"/>
    <col min="16" max="16" width="17.5703125" customWidth="1"/>
    <col min="17" max="18" width="13.42578125" customWidth="1"/>
    <col min="19" max="22" width="11.42578125" style="7"/>
  </cols>
  <sheetData>
    <row r="1" spans="2:18" s="7" customFormat="1"/>
    <row r="2" spans="2:18" s="7" customFormat="1" ht="36">
      <c r="B2" s="499" t="s">
        <v>274</v>
      </c>
      <c r="M2" s="7" t="s">
        <v>275</v>
      </c>
    </row>
    <row r="3" spans="2:18">
      <c r="B3" s="7"/>
      <c r="C3" s="508" t="s">
        <v>276</v>
      </c>
      <c r="D3" s="7"/>
      <c r="E3" s="2403" t="s">
        <v>277</v>
      </c>
      <c r="F3" s="2404"/>
      <c r="G3" s="2405"/>
      <c r="H3" s="2403" t="s">
        <v>277</v>
      </c>
      <c r="I3" s="2404"/>
      <c r="J3" s="2405"/>
      <c r="M3" s="2327" t="s">
        <v>278</v>
      </c>
      <c r="N3" s="2327"/>
      <c r="O3" s="1061" t="s">
        <v>1637</v>
      </c>
      <c r="P3" s="7"/>
      <c r="Q3" s="7"/>
      <c r="R3" s="7"/>
    </row>
    <row r="4" spans="2:18">
      <c r="B4" s="541"/>
      <c r="C4" s="7"/>
      <c r="D4" s="7"/>
      <c r="E4" s="2329" t="s">
        <v>987</v>
      </c>
      <c r="F4" s="2329"/>
      <c r="G4" s="2329"/>
      <c r="H4" s="2329" t="s">
        <v>988</v>
      </c>
      <c r="I4" s="2329"/>
      <c r="J4" s="2329"/>
      <c r="M4" s="22" t="s">
        <v>283</v>
      </c>
      <c r="O4" s="894">
        <f>'3c. Calculateur MEÉ 2-3-4'!G17</f>
        <v>0</v>
      </c>
      <c r="P4" s="7"/>
      <c r="Q4" s="7"/>
      <c r="R4" s="7"/>
    </row>
    <row r="5" spans="2:18">
      <c r="B5" s="22" t="s">
        <v>284</v>
      </c>
      <c r="C5" s="22" t="s">
        <v>285</v>
      </c>
      <c r="D5" s="22" t="s">
        <v>286</v>
      </c>
      <c r="E5" s="22" t="s">
        <v>287</v>
      </c>
      <c r="F5" s="22" t="s">
        <v>288</v>
      </c>
      <c r="G5" s="22" t="s">
        <v>289</v>
      </c>
      <c r="H5" s="22" t="s">
        <v>287</v>
      </c>
      <c r="I5" s="22" t="s">
        <v>288</v>
      </c>
      <c r="J5" s="22" t="s">
        <v>289</v>
      </c>
      <c r="M5" s="22"/>
      <c r="N5" s="22"/>
      <c r="O5" s="22"/>
      <c r="P5" s="7"/>
      <c r="Q5" s="7"/>
      <c r="R5" s="7"/>
    </row>
    <row r="6" spans="2:18">
      <c r="B6" s="20">
        <f>C6*'Facteurs conversion'!$C$20</f>
        <v>-0.19217534999999999</v>
      </c>
      <c r="C6" s="22">
        <v>-1.325</v>
      </c>
      <c r="D6" s="22">
        <v>99.63</v>
      </c>
      <c r="E6" s="22">
        <v>417.46</v>
      </c>
      <c r="F6" s="22">
        <v>2258</v>
      </c>
      <c r="G6" s="22">
        <v>2675.46</v>
      </c>
      <c r="H6" s="21">
        <f>E6*'Facteurs conversion'!$C$15</f>
        <v>179.47547162887682</v>
      </c>
      <c r="I6" s="21">
        <f>F6*'Facteurs conversion'!$C$15</f>
        <v>970.76513902650288</v>
      </c>
      <c r="J6" s="21">
        <f>G6*'Facteurs conversion'!$C$15</f>
        <v>1150.2406106553797</v>
      </c>
      <c r="M6" s="23" t="s">
        <v>290</v>
      </c>
      <c r="N6" s="23" t="s">
        <v>291</v>
      </c>
      <c r="O6" s="23" t="s">
        <v>292</v>
      </c>
      <c r="P6" s="7"/>
      <c r="Q6" s="7"/>
      <c r="R6" s="7"/>
    </row>
    <row r="7" spans="2:18">
      <c r="B7" s="20">
        <f>C7*'Facteurs conversion'!$C$20</f>
        <v>3.4337746500000002</v>
      </c>
      <c r="C7" s="22">
        <v>23.675000000000001</v>
      </c>
      <c r="D7" s="22">
        <v>105.99</v>
      </c>
      <c r="E7" s="22">
        <v>444.32</v>
      </c>
      <c r="F7" s="22">
        <v>2241</v>
      </c>
      <c r="G7" s="22">
        <v>2685.32</v>
      </c>
      <c r="H7" s="21">
        <f>E7*'Facteurs conversion'!$C$15</f>
        <v>191.02319157318678</v>
      </c>
      <c r="I7" s="21">
        <f>F7*'Facteurs conversion'!$C$15</f>
        <v>963.45645551744599</v>
      </c>
      <c r="J7" s="21">
        <f>G7*'Facteurs conversion'!$C$15</f>
        <v>1154.4796470906329</v>
      </c>
      <c r="M7" s="24">
        <v>-1.325</v>
      </c>
      <c r="N7" s="22">
        <v>99.63</v>
      </c>
      <c r="O7" s="22">
        <f>0.0003*($N$7+O4)^2+1.8288*($N$7+O4)+2494</f>
        <v>2679.1811850700001</v>
      </c>
      <c r="P7" s="7"/>
      <c r="Q7" s="7"/>
      <c r="R7" s="7"/>
    </row>
    <row r="8" spans="2:18">
      <c r="B8" s="20">
        <f>C8*'Facteurs conversion'!$C$20</f>
        <v>7.0597246499999997</v>
      </c>
      <c r="C8" s="22">
        <v>48.674999999999997</v>
      </c>
      <c r="D8" s="22">
        <v>111.37</v>
      </c>
      <c r="E8" s="22">
        <v>467.11</v>
      </c>
      <c r="F8" s="22">
        <v>2226.5</v>
      </c>
      <c r="G8" s="22">
        <v>2693.61</v>
      </c>
      <c r="H8" s="21">
        <f>E8*'Facteurs conversion'!$C$15</f>
        <v>200.82112670091664</v>
      </c>
      <c r="I8" s="21">
        <f>F8*'Facteurs conversion'!$C$15</f>
        <v>957.2225784067798</v>
      </c>
      <c r="J8" s="21">
        <f>G8*'Facteurs conversion'!$C$15</f>
        <v>1158.0437051076965</v>
      </c>
      <c r="M8" s="24">
        <v>98.674999999999997</v>
      </c>
      <c r="N8" s="22">
        <v>120.23</v>
      </c>
      <c r="O8" s="22">
        <f>0.0003*($N$8+O4)^2 + 1.8428*($N$8+O4) + 2487.2</f>
        <v>2713.0964198699999</v>
      </c>
      <c r="P8" s="7"/>
      <c r="Q8" s="7"/>
      <c r="R8" s="7"/>
    </row>
    <row r="9" spans="2:18">
      <c r="B9" s="20">
        <f>C9*'Facteurs conversion'!$C$20</f>
        <v>10.685674649999999</v>
      </c>
      <c r="C9" s="22">
        <v>73.674999999999997</v>
      </c>
      <c r="D9" s="22">
        <v>116.06</v>
      </c>
      <c r="E9" s="22">
        <v>486.99</v>
      </c>
      <c r="F9" s="22">
        <v>2213.6</v>
      </c>
      <c r="G9" s="22">
        <v>2700.59</v>
      </c>
      <c r="H9" s="21">
        <f>E9*'Facteurs conversion'!$C$15</f>
        <v>209.3679871809197</v>
      </c>
      <c r="I9" s="21">
        <f>F9*'Facteurs conversion'!$C$15</f>
        <v>951.67657739108358</v>
      </c>
      <c r="J9" s="21">
        <f>G9*'Facteurs conversion'!$C$15</f>
        <v>1161.0445645720033</v>
      </c>
      <c r="M9" s="24">
        <v>198.67500000000001</v>
      </c>
      <c r="N9" s="22">
        <v>133.55000000000001</v>
      </c>
      <c r="O9" s="22">
        <f>2.2725*($N$9+O4) + 2383.6</f>
        <v>2687.0923750000002</v>
      </c>
      <c r="P9" s="7"/>
      <c r="Q9" s="7"/>
      <c r="R9" s="7"/>
    </row>
    <row r="10" spans="2:18">
      <c r="B10" s="20">
        <f>C10*'Facteurs conversion'!$C$20</f>
        <v>14.311624649999999</v>
      </c>
      <c r="C10" s="22">
        <v>98.674999999999997</v>
      </c>
      <c r="D10" s="22">
        <v>120.23</v>
      </c>
      <c r="E10" s="22">
        <v>504.7</v>
      </c>
      <c r="F10" s="22">
        <v>2201.9</v>
      </c>
      <c r="G10" s="22">
        <v>2706.6</v>
      </c>
      <c r="H10" s="21">
        <f>E10*'Facteurs conversion'!$C$15</f>
        <v>216.98191570711958</v>
      </c>
      <c r="I10" s="21">
        <f>F10*'Facteurs conversion'!$C$15</f>
        <v>946.64648344661509</v>
      </c>
      <c r="J10" s="21">
        <f>G10*'Facteurs conversion'!$C$15</f>
        <v>1163.6283991537346</v>
      </c>
      <c r="M10" s="24">
        <v>298.67500000000001</v>
      </c>
      <c r="N10" s="22">
        <v>143.63</v>
      </c>
      <c r="O10" s="22">
        <f>2.2785*($N$10+O4) + 2377.5</f>
        <v>2704.7609550000002</v>
      </c>
      <c r="P10" s="7"/>
      <c r="Q10" s="7"/>
      <c r="R10" s="7"/>
    </row>
    <row r="11" spans="2:18">
      <c r="B11" s="20">
        <f>C11*'Facteurs conversion'!$C$20</f>
        <v>17.937574649999998</v>
      </c>
      <c r="C11" s="22">
        <v>123.675</v>
      </c>
      <c r="D11" s="22">
        <v>124</v>
      </c>
      <c r="E11" s="22">
        <v>520.72</v>
      </c>
      <c r="F11" s="22">
        <v>2191.3000000000002</v>
      </c>
      <c r="G11" s="22">
        <v>2712.0200000000004</v>
      </c>
      <c r="H11" s="21">
        <f>E11*'Facteurs conversion'!$C$15</f>
        <v>223.86927510800737</v>
      </c>
      <c r="I11" s="21">
        <f>F11*'Facteurs conversion'!$C$15</f>
        <v>942.0893043174384</v>
      </c>
      <c r="J11" s="21">
        <f>G11*'Facteurs conversion'!$C$15</f>
        <v>1165.9585794254458</v>
      </c>
      <c r="M11" s="24">
        <v>398.67500000000001</v>
      </c>
      <c r="N11" s="22">
        <v>151.86000000000001</v>
      </c>
      <c r="O11" s="22">
        <f>2.2922*($N$11+O4) + 2364.21</f>
        <v>2712.303492</v>
      </c>
      <c r="P11" s="7"/>
      <c r="Q11" s="7"/>
      <c r="R11" s="7"/>
    </row>
    <row r="12" spans="2:18">
      <c r="B12" s="20">
        <f>C12*'Facteurs conversion'!$C$20</f>
        <v>21.563524650000002</v>
      </c>
      <c r="C12" s="22">
        <v>148.67500000000001</v>
      </c>
      <c r="D12" s="22">
        <v>127.44</v>
      </c>
      <c r="E12" s="22">
        <v>535.37</v>
      </c>
      <c r="F12" s="22">
        <v>2181.5</v>
      </c>
      <c r="G12" s="22">
        <v>2716.87</v>
      </c>
      <c r="H12" s="21">
        <f>E12*'Facteurs conversion'!$C$15</f>
        <v>230.16764060257699</v>
      </c>
      <c r="I12" s="21">
        <f>F12*'Facteurs conversion'!$C$15</f>
        <v>937.87606323574676</v>
      </c>
      <c r="J12" s="21">
        <f>G12*'Facteurs conversion'!$C$15</f>
        <v>1168.0437038383236</v>
      </c>
      <c r="M12" s="24">
        <v>498.67500000000001</v>
      </c>
      <c r="N12" s="22">
        <v>158.85</v>
      </c>
      <c r="O12" s="22">
        <f>2.2968*($N$12+O4) + 2359.4</f>
        <v>2724.2466800000002</v>
      </c>
      <c r="P12" s="7"/>
      <c r="Q12" s="7"/>
      <c r="R12" s="7"/>
    </row>
    <row r="13" spans="2:18">
      <c r="B13" s="20">
        <f>C13*'Facteurs conversion'!$C$20</f>
        <v>25.189474650000001</v>
      </c>
      <c r="C13" s="22">
        <v>173.67500000000001</v>
      </c>
      <c r="D13" s="22">
        <v>130.6</v>
      </c>
      <c r="E13" s="22">
        <v>548.89</v>
      </c>
      <c r="F13" s="22">
        <v>2172.4</v>
      </c>
      <c r="G13" s="22">
        <v>2721.29</v>
      </c>
      <c r="H13" s="21">
        <f>E13*'Facteurs conversion'!$C$15</f>
        <v>235.98019360507402</v>
      </c>
      <c r="I13" s="21">
        <f>F13*'Facteurs conversion'!$C$15</f>
        <v>933.96376794560456</v>
      </c>
      <c r="J13" s="21">
        <f>G13*'Facteurs conversion'!$C$15</f>
        <v>1169.9439615506785</v>
      </c>
      <c r="M13" s="24">
        <v>698.67499999999995</v>
      </c>
      <c r="N13" s="22">
        <v>170.43</v>
      </c>
      <c r="O13" s="22">
        <f xml:space="preserve"> 2.3056*($N$13+O4) +2350.1</f>
        <v>2743.043408</v>
      </c>
      <c r="P13" s="7"/>
      <c r="Q13" s="7"/>
      <c r="R13" s="7"/>
    </row>
    <row r="14" spans="2:18">
      <c r="B14" s="20">
        <f>C14*'Facteurs conversion'!$C$20</f>
        <v>28.815424650000001</v>
      </c>
      <c r="C14" s="22">
        <v>198.67500000000001</v>
      </c>
      <c r="D14" s="22">
        <v>133.55000000000001</v>
      </c>
      <c r="E14" s="22">
        <v>561.47</v>
      </c>
      <c r="F14" s="22">
        <v>2163.8000000000002</v>
      </c>
      <c r="G14" s="22">
        <v>2725.2700000000004</v>
      </c>
      <c r="H14" s="21">
        <f>E14*'Facteurs conversion'!$C$15</f>
        <v>241.38861940177617</v>
      </c>
      <c r="I14" s="21">
        <f>F14*'Facteurs conversion'!$C$15</f>
        <v>930.26643393514041</v>
      </c>
      <c r="J14" s="21">
        <f>G14*'Facteurs conversion'!$C$15</f>
        <v>1171.6550533369168</v>
      </c>
      <c r="M14" s="24">
        <v>898.67499999999995</v>
      </c>
      <c r="N14" s="22">
        <v>179.91</v>
      </c>
      <c r="O14" s="22">
        <f>2.3142*($N$14+O4) + 2341</f>
        <v>2757.347722</v>
      </c>
      <c r="P14" s="7"/>
      <c r="Q14" s="7"/>
      <c r="R14" s="7"/>
    </row>
    <row r="15" spans="2:18">
      <c r="B15" s="20">
        <f>C15*'Facteurs conversion'!$C$20</f>
        <v>32.44137465</v>
      </c>
      <c r="C15" s="22">
        <v>223.67500000000001</v>
      </c>
      <c r="D15" s="22">
        <v>136.30000000000001</v>
      </c>
      <c r="E15" s="22">
        <v>573.25</v>
      </c>
      <c r="F15" s="22">
        <v>2155.8000000000002</v>
      </c>
      <c r="G15" s="22">
        <v>2729.05</v>
      </c>
      <c r="H15" s="21">
        <f>E15*'Facteurs conversion'!$C$15</f>
        <v>246.45310715099328</v>
      </c>
      <c r="I15" s="21">
        <f>F15*'Facteurs conversion'!$C$15</f>
        <v>926.82705346029013</v>
      </c>
      <c r="J15" s="21">
        <f>G15*'Facteurs conversion'!$C$15</f>
        <v>1173.2801606112835</v>
      </c>
      <c r="M15" s="24">
        <v>1098.675</v>
      </c>
      <c r="N15" s="22">
        <v>187.99</v>
      </c>
      <c r="O15" s="22">
        <f>2.3273*($N$15+O4)+2327.6</f>
        <v>2765.1091269999997</v>
      </c>
      <c r="P15" s="7"/>
      <c r="Q15" s="7"/>
      <c r="R15" s="7"/>
    </row>
    <row r="16" spans="2:18">
      <c r="B16" s="20">
        <f>C16*'Facteurs conversion'!$C$20</f>
        <v>36.067324650000003</v>
      </c>
      <c r="C16" s="22">
        <v>248.67500000000001</v>
      </c>
      <c r="D16" s="22">
        <v>138.88</v>
      </c>
      <c r="E16" s="22">
        <v>584.33000000000004</v>
      </c>
      <c r="F16" s="22">
        <v>2148.1</v>
      </c>
      <c r="G16" s="22">
        <v>2732.43</v>
      </c>
      <c r="H16" s="21">
        <f>E16*'Facteurs conversion'!$C$15</f>
        <v>251.21664910866096</v>
      </c>
      <c r="I16" s="21">
        <f>F16*'Facteurs conversion'!$C$15</f>
        <v>923.51664975324661</v>
      </c>
      <c r="J16" s="21">
        <f>G16*'Facteurs conversion'!$C$15</f>
        <v>1174.7332988619075</v>
      </c>
      <c r="M16" s="24">
        <v>1298.675</v>
      </c>
      <c r="N16" s="22">
        <v>195.07</v>
      </c>
      <c r="O16" s="22">
        <f>2.3228*($N$16+O4)+ 2331.9</f>
        <v>2785.0085960000001</v>
      </c>
      <c r="P16" s="7"/>
      <c r="Q16" s="7"/>
      <c r="R16" s="7"/>
    </row>
    <row r="17" spans="2:18">
      <c r="B17" s="20">
        <f>C17*'Facteurs conversion'!$C$20</f>
        <v>39.693274649999999</v>
      </c>
      <c r="C17" s="22">
        <v>273.67500000000001</v>
      </c>
      <c r="D17" s="22">
        <v>141.32</v>
      </c>
      <c r="E17" s="22">
        <v>594.80999999999995</v>
      </c>
      <c r="F17" s="22">
        <v>2140.8000000000002</v>
      </c>
      <c r="G17" s="22">
        <v>2735.61</v>
      </c>
      <c r="H17" s="21">
        <f>E17*'Facteurs conversion'!$C$15</f>
        <v>255.72223753071486</v>
      </c>
      <c r="I17" s="21">
        <f>F17*'Facteurs conversion'!$C$15</f>
        <v>920.37821506994578</v>
      </c>
      <c r="J17" s="21">
        <f>G17*'Facteurs conversion'!$C$15</f>
        <v>1176.1004526006607</v>
      </c>
      <c r="M17" s="24">
        <v>1498.675</v>
      </c>
      <c r="N17" s="22">
        <v>201.41</v>
      </c>
      <c r="O17" s="22">
        <f>2.3381*($N$17+O4) + 2315.3</f>
        <v>2786.2167210000002</v>
      </c>
      <c r="P17" s="7"/>
      <c r="Q17" s="7"/>
      <c r="R17" s="7"/>
    </row>
    <row r="18" spans="2:18">
      <c r="B18" s="20">
        <f>C18*'Facteurs conversion'!$C$20</f>
        <v>43.319224650000002</v>
      </c>
      <c r="C18" s="22">
        <v>298.67500000000001</v>
      </c>
      <c r="D18" s="22">
        <v>143.63</v>
      </c>
      <c r="E18" s="22">
        <v>604.74</v>
      </c>
      <c r="F18" s="22">
        <v>2133.8000000000002</v>
      </c>
      <c r="G18" s="22">
        <v>2738.54</v>
      </c>
      <c r="H18" s="21">
        <f>E18*'Facteurs conversion'!$C$15</f>
        <v>259.99136854512284</v>
      </c>
      <c r="I18" s="21">
        <f>F18*'Facteurs conversion'!$C$15</f>
        <v>917.36875715445171</v>
      </c>
      <c r="J18" s="21">
        <f>G18*'Facteurs conversion'!$C$15</f>
        <v>1177.3601256995746</v>
      </c>
      <c r="M18" s="24">
        <v>1698.675</v>
      </c>
      <c r="N18" s="22">
        <v>207.15</v>
      </c>
      <c r="O18" s="22">
        <f>2.3454*($N$18+O4) + 2307.3</f>
        <v>2793.1496100000004</v>
      </c>
      <c r="P18" s="7"/>
      <c r="Q18" s="7"/>
      <c r="R18" s="7"/>
    </row>
    <row r="19" spans="2:18">
      <c r="B19" s="20">
        <f>C19*'Facteurs conversion'!$C$20</f>
        <v>50.571124650000002</v>
      </c>
      <c r="C19" s="22">
        <v>348.67500000000001</v>
      </c>
      <c r="D19" s="22">
        <v>147.93</v>
      </c>
      <c r="E19" s="22">
        <v>623.25</v>
      </c>
      <c r="F19" s="22">
        <v>2120.6999999999998</v>
      </c>
      <c r="G19" s="22">
        <v>2743.95</v>
      </c>
      <c r="H19" s="21">
        <f>E19*'Facteurs conversion'!$C$15</f>
        <v>267.94923511880779</v>
      </c>
      <c r="I19" s="21">
        <f>F19*'Facteurs conversion'!$C$15</f>
        <v>911.73677162688421</v>
      </c>
      <c r="J19" s="21">
        <f>G19*'Facteurs conversion'!$C$15</f>
        <v>1179.6860067456919</v>
      </c>
      <c r="M19" s="24">
        <v>1898.675</v>
      </c>
      <c r="N19" s="22">
        <v>212.42</v>
      </c>
      <c r="O19" s="22">
        <f>2.3541*($N$19+O4)+ 2298</f>
        <v>2798.057922</v>
      </c>
      <c r="P19" s="7"/>
      <c r="Q19" s="7"/>
      <c r="R19" s="7"/>
    </row>
    <row r="20" spans="2:18">
      <c r="B20" s="20">
        <f>C20*'Facteurs conversion'!$C$20</f>
        <v>57.823024650000001</v>
      </c>
      <c r="C20" s="22">
        <v>398.67500000000001</v>
      </c>
      <c r="D20" s="22">
        <v>151.86000000000001</v>
      </c>
      <c r="E20" s="22">
        <v>640.23</v>
      </c>
      <c r="F20" s="22">
        <v>2108.5</v>
      </c>
      <c r="G20" s="22">
        <v>2748.73</v>
      </c>
      <c r="H20" s="21">
        <f>E20*'Facteurs conversion'!$C$15</f>
        <v>275.2493201766776</v>
      </c>
      <c r="I20" s="21">
        <f>F20*'Facteurs conversion'!$C$15</f>
        <v>906.49171640273755</v>
      </c>
      <c r="J20" s="21">
        <f>G20*'Facteurs conversion'!$C$15</f>
        <v>1181.7410365794151</v>
      </c>
      <c r="M20" s="24">
        <v>2398.6750000000002</v>
      </c>
      <c r="N20" s="22">
        <v>223.99</v>
      </c>
      <c r="O20" s="22">
        <f>2.3758*($N$20+O4)+2275.9</f>
        <v>2808.0554419999999</v>
      </c>
      <c r="P20" s="7"/>
      <c r="Q20" s="7"/>
      <c r="R20" s="7"/>
    </row>
    <row r="21" spans="2:18">
      <c r="B21" s="20">
        <f>C21*'Facteurs conversion'!$C$20</f>
        <v>65.07492465</v>
      </c>
      <c r="C21" s="22">
        <v>448.67500000000001</v>
      </c>
      <c r="D21" s="22">
        <v>155.47999999999999</v>
      </c>
      <c r="E21" s="22">
        <v>655.93</v>
      </c>
      <c r="F21" s="22">
        <v>2097</v>
      </c>
      <c r="G21" s="22">
        <v>2752.93</v>
      </c>
      <c r="H21" s="21">
        <f>E21*'Facteurs conversion'!$C$15</f>
        <v>281.99910435857129</v>
      </c>
      <c r="I21" s="21">
        <f>F21*'Facteurs conversion'!$C$15</f>
        <v>901.54760697014024</v>
      </c>
      <c r="J21" s="21">
        <f>G21*'Facteurs conversion'!$C$15</f>
        <v>1183.5467113287114</v>
      </c>
      <c r="M21" s="24">
        <v>2898.6750000000002</v>
      </c>
      <c r="N21" s="22">
        <v>233.9</v>
      </c>
      <c r="O21" s="22">
        <f>2.3903*($N$21+O4)+2258.7</f>
        <v>2817.79117</v>
      </c>
      <c r="P21" s="7"/>
      <c r="Q21" s="7"/>
      <c r="R21" s="7"/>
    </row>
    <row r="22" spans="2:18">
      <c r="B22" s="20">
        <f>C22*'Facteurs conversion'!$C$20</f>
        <v>72.326824650000006</v>
      </c>
      <c r="C22" s="22">
        <v>498.67500000000001</v>
      </c>
      <c r="D22" s="22">
        <v>158.85</v>
      </c>
      <c r="E22" s="22">
        <v>670.56</v>
      </c>
      <c r="F22" s="22">
        <v>2086.3000000000002</v>
      </c>
      <c r="G22" s="22">
        <v>2756.86</v>
      </c>
      <c r="H22" s="21">
        <f>E22*'Facteurs conversion'!$C$15</f>
        <v>288.28887140195383</v>
      </c>
      <c r="I22" s="21">
        <f>F22*'Facteurs conversion'!$C$15</f>
        <v>896.94743558502796</v>
      </c>
      <c r="J22" s="21">
        <f>G22*'Facteurs conversion'!$C$15</f>
        <v>1185.2363069869818</v>
      </c>
      <c r="M22" s="24">
        <v>3398.6750000000002</v>
      </c>
      <c r="N22" s="22">
        <v>242.6</v>
      </c>
      <c r="O22" s="22">
        <f>0.00008*($N$22+O4)^2 +2.2841*($N$22+O4) + 2274.9</f>
        <v>2833.7310408000003</v>
      </c>
      <c r="P22" s="7"/>
      <c r="Q22" s="7"/>
      <c r="R22" s="7"/>
    </row>
    <row r="23" spans="2:18">
      <c r="B23" s="20">
        <f>C23*'Facteurs conversion'!$C$20</f>
        <v>79.578724649999998</v>
      </c>
      <c r="C23" s="22">
        <v>548.67499999999995</v>
      </c>
      <c r="D23" s="22">
        <v>162.01</v>
      </c>
      <c r="E23" s="22">
        <v>684.28</v>
      </c>
      <c r="F23" s="22">
        <v>2076</v>
      </c>
      <c r="G23" s="22">
        <v>2760.2799999999997</v>
      </c>
      <c r="H23" s="21">
        <f>E23*'Facteurs conversion'!$C$15</f>
        <v>294.18740891632211</v>
      </c>
      <c r="I23" s="21">
        <f>F23*'Facteurs conversion'!$C$15</f>
        <v>892.51923322365815</v>
      </c>
      <c r="J23" s="21">
        <f>G23*'Facteurs conversion'!$C$15</f>
        <v>1186.7066421399802</v>
      </c>
      <c r="M23" s="24">
        <v>3898.6750000000002</v>
      </c>
      <c r="N23" s="22">
        <v>250.4</v>
      </c>
      <c r="O23" s="22">
        <f>0.00007*($N$23+O4)^2 +2.3123*($N$23+O4) + 2256.3</f>
        <v>2839.6889312000003</v>
      </c>
      <c r="P23" s="7"/>
      <c r="Q23" s="7"/>
      <c r="R23" s="7"/>
    </row>
    <row r="24" spans="2:18">
      <c r="B24" s="20">
        <f>C24*'Facteurs conversion'!$C$20</f>
        <v>86.83062464999999</v>
      </c>
      <c r="C24" s="22">
        <v>598.67499999999995</v>
      </c>
      <c r="D24" s="22">
        <v>164.97</v>
      </c>
      <c r="E24" s="22">
        <v>697.22</v>
      </c>
      <c r="F24" s="22">
        <v>2066.3000000000002</v>
      </c>
      <c r="G24" s="22">
        <v>2763.5200000000004</v>
      </c>
      <c r="H24" s="21">
        <f>E24*'Facteurs conversion'!$C$15</f>
        <v>299.75060683439256</v>
      </c>
      <c r="I24" s="21">
        <f>F24*'Facteurs conversion'!$C$15</f>
        <v>888.3489843979022</v>
      </c>
      <c r="J24" s="21">
        <f>G24*'Facteurs conversion'!$C$15</f>
        <v>1188.0995912322949</v>
      </c>
      <c r="M24" s="24">
        <v>4398.6750000000002</v>
      </c>
      <c r="N24" s="22">
        <v>257.49</v>
      </c>
      <c r="O24" s="22">
        <f>4*10^-5*($N$24+O4)^2+2.3769*($N$24+O4) + 2228.2</f>
        <v>2842.8800250039999</v>
      </c>
      <c r="P24" s="7"/>
      <c r="Q24" s="7"/>
      <c r="R24" s="7"/>
    </row>
    <row r="25" spans="2:18">
      <c r="B25" s="20">
        <f>C25*'Facteurs conversion'!$C$20</f>
        <v>94.082524649999996</v>
      </c>
      <c r="C25" s="22">
        <v>648.67499999999995</v>
      </c>
      <c r="D25" s="22">
        <v>167.78</v>
      </c>
      <c r="E25" s="22">
        <v>709.47</v>
      </c>
      <c r="F25" s="22">
        <v>2057</v>
      </c>
      <c r="G25" s="22">
        <v>2766.4700000000003</v>
      </c>
      <c r="H25" s="21">
        <f>E25*'Facteurs conversion'!$C$15</f>
        <v>305.01715818650712</v>
      </c>
      <c r="I25" s="21">
        <f>F25*'Facteurs conversion'!$C$15</f>
        <v>884.3507045958886</v>
      </c>
      <c r="J25" s="21">
        <f>G25*'Facteurs conversion'!$C$15</f>
        <v>1189.3678627823958</v>
      </c>
      <c r="M25" s="24">
        <v>4898.6750000000002</v>
      </c>
      <c r="N25" s="22">
        <v>263.99</v>
      </c>
      <c r="O25" s="22">
        <f>3*10^-7*($N$25+O4)^2+2.4548*($N$25+O4) + 2186.6</f>
        <v>2834.6635592160301</v>
      </c>
      <c r="P25" s="7"/>
      <c r="Q25" s="7"/>
      <c r="R25" s="7"/>
    </row>
    <row r="26" spans="2:18">
      <c r="B26" s="20">
        <f>C26*'Facteurs conversion'!$C$20</f>
        <v>101.33442464999999</v>
      </c>
      <c r="C26" s="22">
        <v>698.67499999999995</v>
      </c>
      <c r="D26" s="22">
        <v>170.43</v>
      </c>
      <c r="E26" s="22">
        <v>721.11</v>
      </c>
      <c r="F26" s="22">
        <v>2048</v>
      </c>
      <c r="G26" s="22">
        <v>2769.11</v>
      </c>
      <c r="H26" s="21">
        <f>E26*'Facteurs conversion'!$C$15</f>
        <v>310.0214567774143</v>
      </c>
      <c r="I26" s="21">
        <f>F26*'Facteurs conversion'!$C$15</f>
        <v>880.48140156168199</v>
      </c>
      <c r="J26" s="21">
        <f>G26*'Facteurs conversion'!$C$15</f>
        <v>1190.5028583390963</v>
      </c>
      <c r="M26" s="24">
        <v>5898.6750000000002</v>
      </c>
      <c r="N26" s="22">
        <v>275.64</v>
      </c>
      <c r="O26" s="22">
        <f>-5*10^-5*($N$26+O4)^2 + 2.5508*($N$26+O4) + 2137.8</f>
        <v>2837.1036415200001</v>
      </c>
      <c r="P26" s="7"/>
      <c r="Q26" s="7"/>
      <c r="R26" s="7"/>
    </row>
    <row r="27" spans="2:18">
      <c r="B27" s="20">
        <f>C27*'Facteurs conversion'!$C$20</f>
        <v>108.58632464999999</v>
      </c>
      <c r="C27" s="22">
        <v>748.67499999999995</v>
      </c>
      <c r="D27" s="22">
        <v>172.96</v>
      </c>
      <c r="E27" s="22">
        <v>732.22</v>
      </c>
      <c r="F27" s="22">
        <v>2039.4</v>
      </c>
      <c r="G27" s="22">
        <v>2771.62</v>
      </c>
      <c r="H27" s="21">
        <f>E27*'Facteurs conversion'!$C$15</f>
        <v>314.79789641186272</v>
      </c>
      <c r="I27" s="21">
        <f>F27*'Facteurs conversion'!$C$15</f>
        <v>876.78406755121796</v>
      </c>
      <c r="J27" s="21">
        <f>G27*'Facteurs conversion'!$C$15</f>
        <v>1191.5819639630806</v>
      </c>
      <c r="M27" s="24">
        <v>6898.6750000000002</v>
      </c>
      <c r="N27" s="22">
        <v>285.88</v>
      </c>
      <c r="O27" s="22">
        <f>-5*10^-5*($N$27+O4)^2 + 2.568*($N$27+O4) + 2118</f>
        <v>2848.0534712799999</v>
      </c>
      <c r="P27" s="7"/>
      <c r="Q27" s="7"/>
      <c r="R27" s="7"/>
    </row>
    <row r="28" spans="2:18">
      <c r="B28" s="20">
        <f>C28*'Facteurs conversion'!$C$20</f>
        <v>115.83822464999999</v>
      </c>
      <c r="C28" s="22">
        <v>798.67499999999995</v>
      </c>
      <c r="D28" s="22">
        <v>175.38</v>
      </c>
      <c r="E28" s="22">
        <v>742.83</v>
      </c>
      <c r="F28" s="22">
        <v>2031.1</v>
      </c>
      <c r="G28" s="22">
        <v>2773.93</v>
      </c>
      <c r="H28" s="21">
        <f>E28*'Facteurs conversion'!$C$15</f>
        <v>319.35937476663293</v>
      </c>
      <c r="I28" s="21">
        <f>F28*'Facteurs conversion'!$C$15</f>
        <v>873.21571030856069</v>
      </c>
      <c r="J28" s="21">
        <f>G28*'Facteurs conversion'!$C$15</f>
        <v>1192.5750850751936</v>
      </c>
      <c r="M28" s="24">
        <v>7898.6750000000002</v>
      </c>
      <c r="N28" s="22">
        <v>295.06</v>
      </c>
      <c r="O28" s="22">
        <f>-0.0002*($N$28+O4)^2 + 2.8524*($N$28+O4) + 1991.1</f>
        <v>2815.3170632800002</v>
      </c>
      <c r="P28" s="7"/>
      <c r="Q28" s="7"/>
      <c r="R28" s="7"/>
    </row>
    <row r="29" spans="2:18">
      <c r="B29" s="20">
        <f>C29*'Facteurs conversion'!$C$20</f>
        <v>123.09012464999999</v>
      </c>
      <c r="C29" s="22">
        <v>848.67499999999995</v>
      </c>
      <c r="D29" s="22">
        <v>177.69</v>
      </c>
      <c r="E29" s="22">
        <v>753.02</v>
      </c>
      <c r="F29" s="22">
        <v>2023.1</v>
      </c>
      <c r="G29" s="22">
        <v>2776.12</v>
      </c>
      <c r="H29" s="21">
        <f>E29*'Facteurs conversion'!$C$15</f>
        <v>323.74028564647352</v>
      </c>
      <c r="I29" s="21">
        <f>F29*'Facteurs conversion'!$C$15</f>
        <v>869.77632983371029</v>
      </c>
      <c r="J29" s="21">
        <f>G29*'Facteurs conversion'!$C$15</f>
        <v>1193.5166154801839</v>
      </c>
      <c r="M29" s="24">
        <v>8898.6749999999993</v>
      </c>
      <c r="N29" s="22">
        <v>303.39999999999998</v>
      </c>
      <c r="O29" s="22">
        <f>-0.0002*($N$29+O4)^2+2.9162*($N$29+O4)+1952.8</f>
        <v>2819.1647679999996</v>
      </c>
      <c r="P29" s="7"/>
      <c r="Q29" s="7"/>
      <c r="R29" s="7"/>
    </row>
    <row r="30" spans="2:18">
      <c r="B30" s="20">
        <f>C30*'Facteurs conversion'!$C$20</f>
        <v>130.34202464999998</v>
      </c>
      <c r="C30" s="22">
        <v>898.67499999999995</v>
      </c>
      <c r="D30" s="22">
        <v>179.91</v>
      </c>
      <c r="E30" s="22">
        <v>762.81</v>
      </c>
      <c r="F30" s="22">
        <v>2015.3</v>
      </c>
      <c r="G30" s="22">
        <v>2778.1099999999997</v>
      </c>
      <c r="H30" s="21">
        <f>E30*'Facteurs conversion'!$C$15</f>
        <v>327.9492275025716</v>
      </c>
      <c r="I30" s="21">
        <f>F30*'Facteurs conversion'!$C$15</f>
        <v>866.4229338707313</v>
      </c>
      <c r="J30" s="21">
        <f>G30*'Facteurs conversion'!$C$15</f>
        <v>1194.3721613733028</v>
      </c>
      <c r="M30" s="24">
        <v>9898.6749999999993</v>
      </c>
      <c r="N30" s="22">
        <v>311.06</v>
      </c>
      <c r="O30" s="22">
        <f>-0.0003*($N$30+O4)^2 + 3.074*($N$30+O4) + 1875.7</f>
        <v>2802.8709429199998</v>
      </c>
      <c r="P30" s="7"/>
      <c r="Q30" s="7"/>
      <c r="R30" s="7"/>
    </row>
    <row r="31" spans="2:18">
      <c r="B31" s="20">
        <f>C31*'Facteurs conversion'!$C$20</f>
        <v>144.84582465</v>
      </c>
      <c r="C31" s="22">
        <v>998.67499999999995</v>
      </c>
      <c r="D31" s="22">
        <v>184.09</v>
      </c>
      <c r="E31" s="22">
        <v>781.34</v>
      </c>
      <c r="F31" s="22">
        <v>2000.4</v>
      </c>
      <c r="G31" s="22">
        <v>2781.7400000000002</v>
      </c>
      <c r="H31" s="21">
        <f>E31*'Facteurs conversion'!$C$15</f>
        <v>335.9156925274437</v>
      </c>
      <c r="I31" s="21">
        <f>F31*'Facteurs conversion'!$C$15</f>
        <v>860.01708773632265</v>
      </c>
      <c r="J31" s="21">
        <f>G31*'Facteurs conversion'!$C$15</f>
        <v>1195.9327802637663</v>
      </c>
      <c r="M31" s="24">
        <v>12398.674999999999</v>
      </c>
      <c r="N31" s="22">
        <v>327.89</v>
      </c>
      <c r="O31" s="22">
        <f>-0.0005*($N$31+O4)^2+3.3698*($N$31+O4)+1722.7</f>
        <v>2773.8677959500001</v>
      </c>
      <c r="P31" s="7"/>
      <c r="Q31" s="7"/>
      <c r="R31" s="7"/>
    </row>
    <row r="32" spans="2:18">
      <c r="B32" s="20">
        <f>C32*'Facteurs conversion'!$C$20</f>
        <v>159.34962464999998</v>
      </c>
      <c r="C32" s="22">
        <v>1098.675</v>
      </c>
      <c r="D32" s="22">
        <v>187.99</v>
      </c>
      <c r="E32" s="22">
        <v>798.65</v>
      </c>
      <c r="F32" s="22">
        <v>1986.2</v>
      </c>
      <c r="G32" s="22">
        <v>2784.85</v>
      </c>
      <c r="H32" s="21">
        <f>E32*'Facteurs conversion'!$C$15</f>
        <v>343.35765202990103</v>
      </c>
      <c r="I32" s="21">
        <f>F32*'Facteurs conversion'!$C$15</f>
        <v>853.91218739346334</v>
      </c>
      <c r="J32" s="21">
        <f>G32*'Facteurs conversion'!$C$15</f>
        <v>1197.2698394233644</v>
      </c>
      <c r="M32" s="24">
        <v>14898.674999999999</v>
      </c>
      <c r="N32" s="22">
        <v>342.24</v>
      </c>
      <c r="O32" s="22">
        <f>-0.0007*($N$32+O4)^2+3.8402*($N$32+O4)+1495.3</f>
        <v>2727.5802956799998</v>
      </c>
      <c r="P32" s="7"/>
      <c r="Q32" s="7"/>
      <c r="R32" s="7"/>
    </row>
    <row r="33" spans="2:24">
      <c r="B33" s="20">
        <f>C33*'Facteurs conversion'!$C$20</f>
        <v>173.85342464999999</v>
      </c>
      <c r="C33" s="22">
        <v>1198.675</v>
      </c>
      <c r="D33" s="22">
        <v>191.64</v>
      </c>
      <c r="E33" s="22">
        <v>814.93</v>
      </c>
      <c r="F33" s="22">
        <v>1972.7</v>
      </c>
      <c r="G33" s="22">
        <v>2787.63</v>
      </c>
      <c r="H33" s="21">
        <f>E33*'Facteurs conversion'!$C$15</f>
        <v>350.35679129622145</v>
      </c>
      <c r="I33" s="21">
        <f>F33*'Facteurs conversion'!$C$15</f>
        <v>848.10823284215337</v>
      </c>
      <c r="J33" s="21">
        <f>G33*'Facteurs conversion'!$C$15</f>
        <v>1198.4650241383749</v>
      </c>
      <c r="M33" s="24">
        <v>17398.674999999999</v>
      </c>
      <c r="N33" s="22">
        <v>354.75</v>
      </c>
      <c r="O33" s="22">
        <f>0.000003*($N$33+O4)^3 -0.0071*($N$33+O4)^2 + 8.8286*($N$33+O4) +278.47</f>
        <v>2650.8314246406253</v>
      </c>
      <c r="P33" s="7"/>
      <c r="Q33" s="7"/>
      <c r="R33" s="7"/>
    </row>
    <row r="34" spans="2:24">
      <c r="B34" s="20">
        <f>C34*'Facteurs conversion'!$C$20</f>
        <v>188.35722465000001</v>
      </c>
      <c r="C34" s="22">
        <v>1298.675</v>
      </c>
      <c r="D34" s="22">
        <v>195.07</v>
      </c>
      <c r="E34" s="22">
        <v>830.3</v>
      </c>
      <c r="F34" s="22">
        <v>1959.7</v>
      </c>
      <c r="G34" s="22">
        <v>2790</v>
      </c>
      <c r="H34" s="21">
        <f>E34*'Facteurs conversion'!$C$15</f>
        <v>356.9647010335276</v>
      </c>
      <c r="I34" s="21">
        <f>F34*'Facteurs conversion'!$C$15</f>
        <v>842.51923957052156</v>
      </c>
      <c r="J34" s="21">
        <f>G34*'Facteurs conversion'!$C$15</f>
        <v>1199.4839406040492</v>
      </c>
      <c r="M34" s="24">
        <v>19898.674999999999</v>
      </c>
      <c r="N34" s="22">
        <v>365.81</v>
      </c>
      <c r="O34" s="22">
        <f>0.000003*($N$34+O4)^3-0.0092*($N$34+O4)^2+10.813*($N$34+O4)-323.93</f>
        <v>2547.3122760128235</v>
      </c>
      <c r="P34" s="7"/>
      <c r="Q34" s="7"/>
      <c r="R34" s="7"/>
    </row>
    <row r="35" spans="2:24">
      <c r="B35" s="20">
        <f>C35*'Facteurs conversion'!$C$20</f>
        <v>202.86102464999999</v>
      </c>
      <c r="C35" s="22">
        <v>1398.675</v>
      </c>
      <c r="D35" s="22">
        <v>198.32</v>
      </c>
      <c r="E35" s="22">
        <v>844.89</v>
      </c>
      <c r="F35" s="22">
        <v>1947.3</v>
      </c>
      <c r="G35" s="22">
        <v>2792.19</v>
      </c>
      <c r="H35" s="21">
        <f>E35*'Facteurs conversion'!$C$15</f>
        <v>363.23727117453586</v>
      </c>
      <c r="I35" s="21">
        <f>F35*'Facteurs conversion'!$C$15</f>
        <v>837.18819983450362</v>
      </c>
      <c r="J35" s="21">
        <f>G35*'Facteurs conversion'!$C$15</f>
        <v>1200.4254710090395</v>
      </c>
      <c r="M35" s="903"/>
      <c r="N35" s="7"/>
      <c r="O35" s="7"/>
      <c r="P35" s="903"/>
      <c r="Q35" s="903"/>
      <c r="R35" s="7"/>
    </row>
    <row r="36" spans="2:24">
      <c r="B36" s="20">
        <f>C36*'Facteurs conversion'!$C$20</f>
        <v>239.12052464999999</v>
      </c>
      <c r="C36" s="22">
        <v>1648.675</v>
      </c>
      <c r="D36" s="22">
        <v>205.76</v>
      </c>
      <c r="E36" s="22">
        <v>878.5</v>
      </c>
      <c r="F36" s="22">
        <v>1917.9</v>
      </c>
      <c r="G36" s="22">
        <v>2796.4</v>
      </c>
      <c r="H36" s="21">
        <f>E36*'Facteurs conversion'!$C$15</f>
        <v>377.68696839450081</v>
      </c>
      <c r="I36" s="21">
        <f>F36*'Facteurs conversion'!$C$15</f>
        <v>824.54847658942867</v>
      </c>
      <c r="J36" s="21">
        <f>G36*'Facteurs conversion'!$C$15</f>
        <v>1202.2354449839295</v>
      </c>
      <c r="M36" s="7"/>
      <c r="N36" s="903"/>
      <c r="O36" s="903"/>
      <c r="P36" s="904"/>
      <c r="Q36" s="904"/>
      <c r="R36" s="904"/>
      <c r="S36" s="904"/>
      <c r="T36" s="904"/>
      <c r="U36" s="904"/>
      <c r="V36" s="904"/>
      <c r="W36" s="25"/>
      <c r="X36" s="25"/>
    </row>
    <row r="37" spans="2:24">
      <c r="B37" s="20">
        <f>C37*'Facteurs conversion'!$C$20</f>
        <v>275.38002465</v>
      </c>
      <c r="C37" s="22">
        <v>1898.675</v>
      </c>
      <c r="D37" s="22">
        <v>212.42</v>
      </c>
      <c r="E37" s="22">
        <v>908.79</v>
      </c>
      <c r="F37" s="22">
        <v>1890.7</v>
      </c>
      <c r="G37" s="22">
        <v>2799.49</v>
      </c>
      <c r="H37" s="21">
        <f>E37*'Facteurs conversion'!$C$15</f>
        <v>390.70932271740281</v>
      </c>
      <c r="I37" s="21">
        <f>F37*'Facteurs conversion'!$C$15</f>
        <v>812.85458297493756</v>
      </c>
      <c r="J37" s="21">
        <f>G37*'Facteurs conversion'!$C$15</f>
        <v>1203.5639056923403</v>
      </c>
      <c r="M37" s="7"/>
      <c r="N37" s="904"/>
      <c r="O37" s="904"/>
      <c r="P37" s="7"/>
      <c r="Q37" s="7"/>
      <c r="R37" s="7"/>
    </row>
    <row r="38" spans="2:24">
      <c r="B38" s="20">
        <f>C38*'Facteurs conversion'!$C$20</f>
        <v>311.63952465000006</v>
      </c>
      <c r="C38" s="22">
        <v>2148.6750000000002</v>
      </c>
      <c r="D38" s="22">
        <v>218.45</v>
      </c>
      <c r="E38" s="22">
        <v>936.49</v>
      </c>
      <c r="F38" s="22">
        <v>1865.2</v>
      </c>
      <c r="G38" s="22">
        <v>2801.69</v>
      </c>
      <c r="H38" s="21">
        <f>E38*'Facteurs conversion'!$C$15</f>
        <v>402.61817761157204</v>
      </c>
      <c r="I38" s="21">
        <f>F38*'Facteurs conversion'!$C$15</f>
        <v>801.89155771135222</v>
      </c>
      <c r="J38" s="21">
        <f>G38*'Facteurs conversion'!$C$15</f>
        <v>1204.5097353229241</v>
      </c>
      <c r="M38" s="7"/>
      <c r="N38" s="7"/>
      <c r="O38" s="7"/>
      <c r="P38" s="7"/>
      <c r="Q38" s="7"/>
      <c r="R38" s="7"/>
      <c r="W38" s="8"/>
    </row>
    <row r="39" spans="2:24">
      <c r="B39" s="20">
        <f>C39*'Facteurs conversion'!$C$20</f>
        <v>347.89902465</v>
      </c>
      <c r="C39" s="22">
        <v>2398.6750000000002</v>
      </c>
      <c r="D39" s="22">
        <v>223.99</v>
      </c>
      <c r="E39" s="22">
        <v>962.11</v>
      </c>
      <c r="F39" s="22">
        <v>1841</v>
      </c>
      <c r="G39" s="22">
        <v>2803.11</v>
      </c>
      <c r="H39" s="21">
        <f>E39*'Facteurs conversion'!$C$15</f>
        <v>413.63279358228021</v>
      </c>
      <c r="I39" s="21">
        <f>F39*'Facteurs conversion'!$C$15</f>
        <v>791.48743177492997</v>
      </c>
      <c r="J39" s="21">
        <f>G39*'Facteurs conversion'!$C$15</f>
        <v>1205.1202253572103</v>
      </c>
      <c r="M39" s="7"/>
      <c r="N39" s="7"/>
      <c r="O39" s="7"/>
      <c r="P39" s="7"/>
      <c r="Q39" s="7"/>
      <c r="R39" s="7"/>
      <c r="W39" s="8"/>
    </row>
    <row r="40" spans="2:24">
      <c r="B40" s="20">
        <f>C40*'Facteurs conversion'!$C$20</f>
        <v>420.41802465000001</v>
      </c>
      <c r="C40" s="22">
        <v>2898.6750000000002</v>
      </c>
      <c r="D40" s="22">
        <v>233.9</v>
      </c>
      <c r="E40" s="22">
        <v>1008.42</v>
      </c>
      <c r="F40" s="22">
        <v>1795.7</v>
      </c>
      <c r="G40" s="22">
        <v>2804.12</v>
      </c>
      <c r="H40" s="21">
        <f>E40*'Facteurs conversion'!$C$15</f>
        <v>433.54250730606998</v>
      </c>
      <c r="I40" s="21">
        <f>F40*'Facteurs conversion'!$C$15</f>
        <v>772.01193983609005</v>
      </c>
      <c r="J40" s="21">
        <f>G40*'Facteurs conversion'!$C$15</f>
        <v>1205.5544471421599</v>
      </c>
      <c r="M40" s="7"/>
      <c r="N40" s="7"/>
      <c r="O40" s="7"/>
      <c r="P40" s="7"/>
      <c r="Q40" s="7"/>
      <c r="R40" s="7"/>
    </row>
    <row r="41" spans="2:24">
      <c r="B41" s="20">
        <f>C41*'Facteurs conversion'!$C$20</f>
        <v>492.93702465000001</v>
      </c>
      <c r="C41" s="22">
        <v>3398.6750000000002</v>
      </c>
      <c r="D41" s="22">
        <v>242.6</v>
      </c>
      <c r="E41" s="22">
        <v>1049.75</v>
      </c>
      <c r="F41" s="22">
        <v>1753.7</v>
      </c>
      <c r="G41" s="22">
        <v>2803.45</v>
      </c>
      <c r="H41" s="21">
        <f>E41*'Facteurs conversion'!$C$15</f>
        <v>451.31120668426547</v>
      </c>
      <c r="I41" s="21">
        <f>F41*'Facteurs conversion'!$C$15</f>
        <v>753.95519234312587</v>
      </c>
      <c r="J41" s="21">
        <f>G41*'Facteurs conversion'!$C$15</f>
        <v>1205.2663990273911</v>
      </c>
      <c r="M41" s="7"/>
      <c r="N41" s="7"/>
      <c r="O41" s="7"/>
      <c r="P41" s="7"/>
      <c r="Q41" s="7"/>
      <c r="R41" s="7"/>
    </row>
    <row r="42" spans="2:24">
      <c r="B42" s="20">
        <f>C42*'Facteurs conversion'!$C$20</f>
        <v>565.45602465000002</v>
      </c>
      <c r="C42" s="22">
        <v>3898.6750000000002</v>
      </c>
      <c r="D42" s="22">
        <v>250.4</v>
      </c>
      <c r="E42" s="22">
        <v>1087.31</v>
      </c>
      <c r="F42" s="22">
        <v>1714.1</v>
      </c>
      <c r="G42" s="22">
        <v>2801.41</v>
      </c>
      <c r="H42" s="21">
        <f>E42*'Facteurs conversion'!$C$15</f>
        <v>467.45909801368771</v>
      </c>
      <c r="I42" s="21">
        <f>F42*'Facteurs conversion'!$C$15</f>
        <v>736.9302589926167</v>
      </c>
      <c r="J42" s="21">
        <f>G42*'Facteurs conversion'!$C$15</f>
        <v>1204.3893570063044</v>
      </c>
      <c r="M42" s="7"/>
      <c r="N42" s="7"/>
      <c r="O42" s="7"/>
      <c r="P42" s="7"/>
      <c r="Q42" s="7"/>
      <c r="R42" s="7"/>
    </row>
    <row r="43" spans="2:24">
      <c r="B43" s="20">
        <f>C43*'Facteurs conversion'!$C$20</f>
        <v>710.49402465000003</v>
      </c>
      <c r="C43" s="22">
        <v>4898.6750000000002</v>
      </c>
      <c r="D43" s="22">
        <v>263.99</v>
      </c>
      <c r="E43" s="22">
        <v>1154.23</v>
      </c>
      <c r="F43" s="22">
        <v>1640.1</v>
      </c>
      <c r="G43" s="22">
        <v>2794.33</v>
      </c>
      <c r="H43" s="21">
        <f>E43*'Facteurs conversion'!$C$15</f>
        <v>496.22951568581067</v>
      </c>
      <c r="I43" s="21">
        <f>F43*'Facteurs conversion'!$C$15</f>
        <v>705.11598960025128</v>
      </c>
      <c r="J43" s="21">
        <f>G43*'Facteurs conversion'!$C$15</f>
        <v>1201.345505286062</v>
      </c>
      <c r="M43" s="7"/>
      <c r="N43" s="7"/>
      <c r="O43" s="7"/>
      <c r="P43" s="7"/>
      <c r="Q43" s="7"/>
      <c r="R43" s="7"/>
    </row>
    <row r="44" spans="2:24">
      <c r="B44" s="20">
        <f>C44*'Facteurs conversion'!$C$20</f>
        <v>855.53202465000004</v>
      </c>
      <c r="C44" s="22">
        <v>5898.6750000000002</v>
      </c>
      <c r="D44" s="22">
        <v>275.64</v>
      </c>
      <c r="E44" s="22">
        <v>1213.3499999999999</v>
      </c>
      <c r="F44" s="22">
        <v>1571</v>
      </c>
      <c r="G44" s="22">
        <v>2784.35</v>
      </c>
      <c r="H44" s="21">
        <f>E44*'Facteurs conversion'!$C$15</f>
        <v>521.64653739495452</v>
      </c>
      <c r="I44" s="21">
        <f>F44*'Facteurs conversion'!$C$15</f>
        <v>675.40834074873169</v>
      </c>
      <c r="J44" s="21">
        <f>G44*'Facteurs conversion'!$C$15</f>
        <v>1197.0548781436862</v>
      </c>
      <c r="M44" s="7"/>
      <c r="N44" s="7"/>
      <c r="O44" s="7"/>
      <c r="P44" s="7"/>
      <c r="Q44" s="7"/>
      <c r="R44" s="7"/>
    </row>
    <row r="45" spans="2:24">
      <c r="B45" s="20">
        <f>C45*'Facteurs conversion'!$C$20</f>
        <v>1000.5700246500001</v>
      </c>
      <c r="C45" s="22">
        <v>6898.6750000000002</v>
      </c>
      <c r="D45" s="22">
        <v>285.88</v>
      </c>
      <c r="E45" s="22">
        <v>1267</v>
      </c>
      <c r="F45" s="22">
        <v>1505.1</v>
      </c>
      <c r="G45" s="22">
        <v>2772.1</v>
      </c>
      <c r="H45" s="21">
        <f>E45*'Facteurs conversion'!$C$15</f>
        <v>544.71188270441951</v>
      </c>
      <c r="I45" s="21">
        <f>F45*'Facteurs conversion'!$C$15</f>
        <v>647.07644408715214</v>
      </c>
      <c r="J45" s="21">
        <f>G45*'Facteurs conversion'!$C$15</f>
        <v>1191.7883267915715</v>
      </c>
      <c r="M45" s="7"/>
      <c r="N45" s="7"/>
      <c r="O45" s="7"/>
      <c r="P45" s="7"/>
      <c r="Q45" s="7"/>
      <c r="R45" s="7"/>
    </row>
    <row r="46" spans="2:24">
      <c r="B46" s="20">
        <f>C46*'Facteurs conversion'!$C$20</f>
        <v>1145.6080246500001</v>
      </c>
      <c r="C46" s="22">
        <v>7898.6750000000002</v>
      </c>
      <c r="D46" s="22">
        <v>295.06</v>
      </c>
      <c r="E46" s="22">
        <v>1316.64</v>
      </c>
      <c r="F46" s="22">
        <v>1441.3</v>
      </c>
      <c r="G46" s="22">
        <v>2757.94</v>
      </c>
      <c r="H46" s="21">
        <f>E46*'Facteurs conversion'!$C$15</f>
        <v>566.05323855086579</v>
      </c>
      <c r="I46" s="21">
        <f>F46*'Facteurs conversion'!$C$15</f>
        <v>619.64738480022083</v>
      </c>
      <c r="J46" s="21">
        <f>G46*'Facteurs conversion'!$C$15</f>
        <v>1185.7006233510865</v>
      </c>
      <c r="M46" s="7"/>
      <c r="N46" s="7"/>
      <c r="O46" s="7"/>
      <c r="P46" s="7"/>
      <c r="Q46" s="7"/>
      <c r="R46" s="7"/>
    </row>
    <row r="47" spans="2:24">
      <c r="B47" s="20">
        <f>C47*'Facteurs conversion'!$C$20</f>
        <v>1290.6460246499998</v>
      </c>
      <c r="C47" s="22">
        <v>8898.6749999999993</v>
      </c>
      <c r="D47" s="22">
        <v>303.39999999999998</v>
      </c>
      <c r="E47" s="22">
        <v>1363.26</v>
      </c>
      <c r="F47" s="22">
        <v>1378.9</v>
      </c>
      <c r="G47" s="22">
        <v>2742.16</v>
      </c>
      <c r="H47" s="21">
        <f>E47*'Facteurs conversion'!$C$15</f>
        <v>586.09622826805594</v>
      </c>
      <c r="I47" s="21">
        <f>F47*'Facteurs conversion'!$C$15</f>
        <v>592.82021709638832</v>
      </c>
      <c r="J47" s="21">
        <f>G47*'Facteurs conversion'!$C$15</f>
        <v>1178.9164453644441</v>
      </c>
      <c r="M47" s="7"/>
      <c r="N47" s="7"/>
      <c r="O47" s="7"/>
      <c r="P47" s="7"/>
      <c r="Q47" s="7"/>
      <c r="R47" s="7"/>
    </row>
    <row r="48" spans="2:24">
      <c r="B48" s="20">
        <f>C48*'Facteurs conversion'!$C$20</f>
        <v>1435.6840246499999</v>
      </c>
      <c r="C48" s="22">
        <v>9898.6749999999993</v>
      </c>
      <c r="D48" s="22">
        <v>311.06</v>
      </c>
      <c r="E48" s="22">
        <v>1407.56</v>
      </c>
      <c r="F48" s="22">
        <v>1317.1</v>
      </c>
      <c r="G48" s="22">
        <v>2724.66</v>
      </c>
      <c r="H48" s="21">
        <f>E48*'Facteurs conversion'!$C$15</f>
        <v>605.14179764753953</v>
      </c>
      <c r="I48" s="21">
        <f>F48*'Facteurs conversion'!$C$15</f>
        <v>566.25100292816956</v>
      </c>
      <c r="J48" s="21">
        <f>G48*'Facteurs conversion'!$C$15</f>
        <v>1171.3928005757091</v>
      </c>
      <c r="M48" s="7"/>
      <c r="N48" s="7"/>
      <c r="O48" s="7"/>
      <c r="P48" s="7"/>
      <c r="Q48" s="7"/>
      <c r="R48" s="7"/>
    </row>
    <row r="49" spans="2:18">
      <c r="B49" s="20">
        <f>C49*'Facteurs conversion'!$C$20</f>
        <v>1580.7220246499999</v>
      </c>
      <c r="C49" s="22">
        <v>10898.674999999999</v>
      </c>
      <c r="D49" s="22">
        <v>318.14999999999998</v>
      </c>
      <c r="E49" s="22">
        <v>1450.1</v>
      </c>
      <c r="F49" s="22">
        <v>1255.5</v>
      </c>
      <c r="G49" s="22">
        <v>2705.6</v>
      </c>
      <c r="H49" s="21">
        <f>E49*'Facteurs conversion'!$C$15</f>
        <v>623.43070332255616</v>
      </c>
      <c r="I49" s="21">
        <f>F49*'Facteurs conversion'!$C$15</f>
        <v>539.76777327182219</v>
      </c>
      <c r="J49" s="21">
        <f>G49*'Facteurs conversion'!$C$15</f>
        <v>1163.1984765943782</v>
      </c>
      <c r="M49" s="7"/>
      <c r="N49" s="7"/>
      <c r="O49" s="7"/>
      <c r="P49" s="7"/>
      <c r="Q49" s="7"/>
      <c r="R49" s="7"/>
    </row>
    <row r="50" spans="2:18">
      <c r="B50" s="20">
        <f>C50*'Facteurs conversion'!$C$20</f>
        <v>1725.7600246499999</v>
      </c>
      <c r="C50" s="22">
        <v>11898.674999999999</v>
      </c>
      <c r="D50" s="22">
        <v>324.75</v>
      </c>
      <c r="E50" s="22">
        <v>1491.3</v>
      </c>
      <c r="F50" s="22">
        <v>1193.5999999999999</v>
      </c>
      <c r="G50" s="22">
        <v>2684.8999999999996</v>
      </c>
      <c r="H50" s="21">
        <f>E50*'Facteurs conversion'!$C$15</f>
        <v>641.14351276803529</v>
      </c>
      <c r="I50" s="21">
        <f>F50*'Facteurs conversion'!$C$15</f>
        <v>513.15556684766773</v>
      </c>
      <c r="J50" s="21">
        <f>G50*'Facteurs conversion'!$C$15</f>
        <v>1154.299079615703</v>
      </c>
      <c r="M50" s="7"/>
      <c r="N50" s="7"/>
      <c r="O50" s="7"/>
      <c r="P50" s="7"/>
      <c r="Q50" s="7"/>
      <c r="R50" s="7"/>
    </row>
    <row r="51" spans="2:18">
      <c r="B51" s="20">
        <f>C51*'Facteurs conversion'!$C$20</f>
        <v>1870.7980246499999</v>
      </c>
      <c r="C51" s="22">
        <v>12898.674999999999</v>
      </c>
      <c r="D51" s="22">
        <v>330.93</v>
      </c>
      <c r="E51" s="22">
        <v>1531.5</v>
      </c>
      <c r="F51" s="22">
        <v>1130.7</v>
      </c>
      <c r="G51" s="22">
        <v>2662.2</v>
      </c>
      <c r="H51" s="21">
        <f>E51*'Facteurs conversion'!$C$15</f>
        <v>658.42639965415822</v>
      </c>
      <c r="I51" s="21">
        <f>F51*'Facteurs conversion'!$C$15</f>
        <v>486.11343786415716</v>
      </c>
      <c r="J51" s="21">
        <f>G51*'Facteurs conversion'!$C$15</f>
        <v>1144.5398375183152</v>
      </c>
      <c r="M51" s="7"/>
      <c r="N51" s="7"/>
      <c r="O51" s="7"/>
      <c r="P51" s="7"/>
      <c r="Q51" s="7"/>
      <c r="R51" s="7"/>
    </row>
    <row r="52" spans="2:18">
      <c r="B52" s="20">
        <f>C52*'Facteurs conversion'!$C$20</f>
        <v>2015.8360246499999</v>
      </c>
      <c r="C52" s="22">
        <v>13898.674999999999</v>
      </c>
      <c r="D52" s="22">
        <v>336.75</v>
      </c>
      <c r="E52" s="22">
        <v>1571.1</v>
      </c>
      <c r="F52" s="22">
        <v>1066.5</v>
      </c>
      <c r="G52" s="22">
        <v>2637.6</v>
      </c>
      <c r="H52" s="21">
        <f>E52*'Facteurs conversion'!$C$15</f>
        <v>675.45133300466728</v>
      </c>
      <c r="I52" s="21">
        <f>F52*'Facteurs conversion'!$C$15</f>
        <v>458.51240955348334</v>
      </c>
      <c r="J52" s="21">
        <f>G52*'Facteurs conversion'!$C$15</f>
        <v>1133.9637425581507</v>
      </c>
      <c r="M52" s="7"/>
      <c r="N52" s="7"/>
      <c r="O52" s="7"/>
      <c r="P52" s="7"/>
      <c r="Q52" s="7"/>
      <c r="R52" s="7"/>
    </row>
    <row r="53" spans="2:18">
      <c r="B53" s="20">
        <f>C53*'Facteurs conversion'!$C$20</f>
        <v>2160.8740246499997</v>
      </c>
      <c r="C53" s="22">
        <v>14898.674999999999</v>
      </c>
      <c r="D53" s="22">
        <v>342.24</v>
      </c>
      <c r="E53" s="22">
        <v>1610.5</v>
      </c>
      <c r="F53" s="22">
        <v>1000</v>
      </c>
      <c r="G53" s="22">
        <v>2610.5</v>
      </c>
      <c r="H53" s="21">
        <f>E53*'Facteurs conversion'!$C$15</f>
        <v>692.39028184330505</v>
      </c>
      <c r="I53" s="21">
        <f>F53*'Facteurs conversion'!$C$15</f>
        <v>429.92255935629004</v>
      </c>
      <c r="J53" s="21">
        <f>G53*'Facteurs conversion'!$C$15</f>
        <v>1122.3128411995951</v>
      </c>
      <c r="M53" s="7"/>
      <c r="N53" s="7"/>
      <c r="O53" s="7"/>
      <c r="P53" s="7"/>
      <c r="Q53" s="7"/>
      <c r="R53" s="7"/>
    </row>
    <row r="54" spans="2:18">
      <c r="B54" s="20">
        <f>C54*'Facteurs conversion'!$C$20</f>
        <v>2305.9120246499997</v>
      </c>
      <c r="C54" s="22">
        <v>15898.674999999999</v>
      </c>
      <c r="D54" s="22">
        <v>347.44</v>
      </c>
      <c r="E54" s="22">
        <v>1650.1</v>
      </c>
      <c r="F54" s="22">
        <v>930.6</v>
      </c>
      <c r="G54" s="22">
        <v>2580.6999999999998</v>
      </c>
      <c r="H54" s="21">
        <f>E54*'Facteurs conversion'!$C$15</f>
        <v>709.41521519381411</v>
      </c>
      <c r="I54" s="21">
        <f>F54*'Facteurs conversion'!$C$15</f>
        <v>400.08593373696351</v>
      </c>
      <c r="J54" s="21">
        <f>G54*'Facteurs conversion'!$C$15</f>
        <v>1109.5011489307776</v>
      </c>
      <c r="M54" s="7"/>
      <c r="N54" s="7"/>
      <c r="O54" s="7"/>
      <c r="P54" s="7"/>
      <c r="Q54" s="7"/>
      <c r="R54" s="7"/>
    </row>
    <row r="55" spans="2:18">
      <c r="B55" s="20">
        <f>C55*'Facteurs conversion'!$C$20</f>
        <v>2450.9500246499997</v>
      </c>
      <c r="C55" s="22">
        <v>16898.674999999999</v>
      </c>
      <c r="D55" s="22">
        <v>352.37</v>
      </c>
      <c r="E55" s="22">
        <v>1690.3</v>
      </c>
      <c r="F55" s="22">
        <v>856.9</v>
      </c>
      <c r="G55" s="22">
        <v>2547.1999999999998</v>
      </c>
      <c r="H55" s="21">
        <f>E55*'Facteurs conversion'!$C$15</f>
        <v>726.69810207993703</v>
      </c>
      <c r="I55" s="21">
        <f>F55*'Facteurs conversion'!$C$15</f>
        <v>368.40064111240491</v>
      </c>
      <c r="J55" s="21">
        <f>G55*'Facteurs conversion'!$C$15</f>
        <v>1095.098743192342</v>
      </c>
      <c r="M55" s="7"/>
      <c r="N55" s="7"/>
      <c r="O55" s="7"/>
      <c r="P55" s="7"/>
      <c r="Q55" s="7"/>
      <c r="R55" s="7"/>
    </row>
    <row r="56" spans="2:18">
      <c r="B56" s="20">
        <f>C56*'Facteurs conversion'!$C$20</f>
        <v>2595.9880246499997</v>
      </c>
      <c r="C56" s="22">
        <v>17898.674999999999</v>
      </c>
      <c r="D56" s="22">
        <v>357.06</v>
      </c>
      <c r="E56" s="22">
        <v>1732</v>
      </c>
      <c r="F56" s="22">
        <v>777.1</v>
      </c>
      <c r="G56" s="22">
        <v>2509.1</v>
      </c>
      <c r="H56" s="21">
        <f>E56*'Facteurs conversion'!$C$15</f>
        <v>744.62587280509433</v>
      </c>
      <c r="I56" s="21">
        <f>F56*'Facteurs conversion'!$C$15</f>
        <v>334.09282087577299</v>
      </c>
      <c r="J56" s="21">
        <f>G56*'Facteurs conversion'!$C$15</f>
        <v>1078.7186936808673</v>
      </c>
      <c r="M56" s="7"/>
      <c r="N56" s="7"/>
      <c r="O56" s="7"/>
      <c r="P56" s="7"/>
      <c r="Q56" s="7"/>
      <c r="R56" s="7"/>
    </row>
    <row r="57" spans="2:18">
      <c r="B57" s="20">
        <f>C57*'Facteurs conversion'!$C$20</f>
        <v>2741.0260246499997</v>
      </c>
      <c r="C57" s="22">
        <v>18898.674999999999</v>
      </c>
      <c r="D57" s="22">
        <v>361.54</v>
      </c>
      <c r="E57" s="22">
        <v>1776.5</v>
      </c>
      <c r="F57" s="22">
        <v>688</v>
      </c>
      <c r="G57" s="22">
        <v>2464.5</v>
      </c>
      <c r="H57" s="21">
        <f>E57*'Facteurs conversion'!$C$15</f>
        <v>763.75742669644922</v>
      </c>
      <c r="I57" s="21">
        <f>F57*'Facteurs conversion'!$C$15</f>
        <v>295.78672083712752</v>
      </c>
      <c r="J57" s="21">
        <f>G57*'Facteurs conversion'!$C$15</f>
        <v>1059.5441475335767</v>
      </c>
      <c r="M57" s="7"/>
      <c r="N57" s="7"/>
      <c r="O57" s="7"/>
      <c r="P57" s="7"/>
      <c r="Q57" s="7"/>
      <c r="R57" s="7"/>
    </row>
    <row r="58" spans="2:18">
      <c r="B58" s="20">
        <f>C58*'Facteurs conversion'!$C$20</f>
        <v>2886.0640246499997</v>
      </c>
      <c r="C58" s="22">
        <v>19898.674999999999</v>
      </c>
      <c r="D58" s="22">
        <v>365.81</v>
      </c>
      <c r="E58" s="22">
        <v>1826.3</v>
      </c>
      <c r="F58" s="22">
        <v>583.4</v>
      </c>
      <c r="G58" s="22">
        <v>2409.6999999999998</v>
      </c>
      <c r="H58" s="21">
        <f>E58*'Facteurs conversion'!$C$15</f>
        <v>785.1675701523925</v>
      </c>
      <c r="I58" s="21">
        <f>F58*'Facteurs conversion'!$C$15</f>
        <v>250.81682112845959</v>
      </c>
      <c r="J58" s="21">
        <f>G58*'Facteurs conversion'!$C$15</f>
        <v>1035.9843912808519</v>
      </c>
      <c r="M58" s="7"/>
      <c r="N58" s="7"/>
      <c r="O58" s="7"/>
      <c r="P58" s="7"/>
      <c r="Q58" s="7"/>
      <c r="R58" s="7"/>
    </row>
    <row r="59" spans="2:18">
      <c r="B59" s="20">
        <f>C59*'Facteurs conversion'!$C$20</f>
        <v>3031.1020246499997</v>
      </c>
      <c r="C59" s="22">
        <v>20898.674999999999</v>
      </c>
      <c r="D59" s="22">
        <v>369.89</v>
      </c>
      <c r="E59" s="22">
        <v>1888.4</v>
      </c>
      <c r="F59" s="22">
        <v>446.2</v>
      </c>
      <c r="G59" s="22">
        <v>2334.6</v>
      </c>
      <c r="H59" s="21">
        <f>E59*'Facteurs conversion'!$C$15</f>
        <v>811.86576108841814</v>
      </c>
      <c r="I59" s="21">
        <f>F59*'Facteurs conversion'!$C$15</f>
        <v>191.83144598477662</v>
      </c>
      <c r="J59" s="21">
        <f>G59*'Facteurs conversion'!$C$15</f>
        <v>1003.6972070731947</v>
      </c>
      <c r="M59" s="7"/>
      <c r="N59" s="7"/>
      <c r="O59" s="7"/>
      <c r="P59" s="7"/>
      <c r="Q59" s="7"/>
      <c r="R59" s="7"/>
    </row>
    <row r="60" spans="2:18">
      <c r="B60" s="20">
        <f>C60*'Facteurs conversion'!$C$20</f>
        <v>3176.1400246499998</v>
      </c>
      <c r="C60" s="22">
        <v>21898.674999999999</v>
      </c>
      <c r="D60" s="22">
        <v>373.8</v>
      </c>
      <c r="E60" s="22">
        <v>2022.2</v>
      </c>
      <c r="F60" s="22">
        <v>143.4</v>
      </c>
      <c r="G60" s="22">
        <v>2165.6</v>
      </c>
      <c r="H60" s="21">
        <f>E60*'Facteurs conversion'!$C$15</f>
        <v>869.38939953028978</v>
      </c>
      <c r="I60" s="21">
        <f>F60*'Facteurs conversion'!$C$15</f>
        <v>61.650895011691993</v>
      </c>
      <c r="J60" s="21">
        <f>G60*'Facteurs conversion'!$C$15</f>
        <v>931.04029454198167</v>
      </c>
      <c r="M60" s="7"/>
      <c r="N60" s="7"/>
      <c r="O60" s="7"/>
      <c r="P60" s="7"/>
      <c r="Q60" s="7"/>
      <c r="R60" s="7"/>
    </row>
    <row r="61" spans="2:18">
      <c r="B61" s="20">
        <f>C61*'Facteurs conversion'!$C$20</f>
        <v>3189.1934446499999</v>
      </c>
      <c r="C61" s="22">
        <v>21988.674999999999</v>
      </c>
      <c r="D61" s="22">
        <v>374.14</v>
      </c>
      <c r="E61" s="22">
        <v>2099.3000000000002</v>
      </c>
      <c r="F61" s="22">
        <v>0</v>
      </c>
      <c r="G61" s="22">
        <v>2099.3000000000002</v>
      </c>
      <c r="H61" s="21">
        <f>E61*'Facteurs conversion'!$C$15</f>
        <v>902.53642885665977</v>
      </c>
      <c r="I61" s="21">
        <f>F61*'Facteurs conversion'!$C$15</f>
        <v>0</v>
      </c>
      <c r="J61" s="21">
        <f>G61*'Facteurs conversion'!$C$15</f>
        <v>902.53642885665977</v>
      </c>
      <c r="M61" s="7"/>
      <c r="N61" s="7"/>
      <c r="O61" s="7"/>
      <c r="P61" s="7"/>
      <c r="Q61" s="7"/>
      <c r="R61" s="7"/>
    </row>
    <row r="62" spans="2:18" s="7" customFormat="1"/>
    <row r="63" spans="2:18" s="7" customFormat="1"/>
    <row r="64" spans="2:18" s="7" customFormat="1"/>
    <row r="65" spans="6:18" s="7" customFormat="1"/>
    <row r="66" spans="6:18" s="7" customFormat="1"/>
    <row r="67" spans="6:18" s="7" customFormat="1"/>
    <row r="68" spans="6:18" s="7" customFormat="1"/>
    <row r="69" spans="6:18" s="7" customFormat="1"/>
    <row r="70" spans="6:18" s="7" customFormat="1">
      <c r="F70" s="509"/>
    </row>
    <row r="71" spans="6:18" s="7" customFormat="1"/>
    <row r="72" spans="6:18" s="7" customFormat="1"/>
    <row r="73" spans="6:18" s="7" customFormat="1"/>
    <row r="74" spans="6:18" s="7" customFormat="1"/>
    <row r="75" spans="6:18" s="7" customFormat="1"/>
    <row r="76" spans="6:18" s="7" customFormat="1"/>
    <row r="77" spans="6:18">
      <c r="M77" s="7"/>
      <c r="N77" s="7"/>
      <c r="O77" s="7"/>
      <c r="P77" s="7"/>
      <c r="Q77" s="7"/>
      <c r="R77" s="7"/>
    </row>
    <row r="78" spans="6:18">
      <c r="M78" s="7"/>
      <c r="N78" s="7"/>
      <c r="O78" s="7"/>
      <c r="P78" s="7"/>
      <c r="Q78" s="7"/>
      <c r="R78" s="7"/>
    </row>
    <row r="79" spans="6:18">
      <c r="M79" s="7"/>
      <c r="N79" s="7"/>
      <c r="O79" s="7"/>
      <c r="P79" s="7"/>
      <c r="Q79" s="7"/>
      <c r="R79" s="7"/>
    </row>
    <row r="80" spans="6:18">
      <c r="M80" s="7"/>
      <c r="N80" s="7"/>
      <c r="O80" s="7"/>
      <c r="P80" s="7"/>
      <c r="Q80" s="7"/>
      <c r="R80" s="7"/>
    </row>
    <row r="81" spans="13:18">
      <c r="M81" s="7"/>
      <c r="N81" s="7"/>
      <c r="O81" s="7"/>
      <c r="P81" s="7"/>
      <c r="Q81" s="7"/>
      <c r="R81" s="7"/>
    </row>
    <row r="82" spans="13:18">
      <c r="M82" s="7"/>
      <c r="N82" s="7"/>
      <c r="O82" s="7"/>
      <c r="P82" s="7"/>
      <c r="Q82" s="7"/>
      <c r="R82" s="7"/>
    </row>
    <row r="83" spans="13:18">
      <c r="M83" s="7"/>
      <c r="N83" s="7"/>
      <c r="O83" s="7"/>
      <c r="P83" s="7"/>
      <c r="Q83" s="7"/>
      <c r="R83" s="7"/>
    </row>
    <row r="84" spans="13:18">
      <c r="M84" s="7"/>
      <c r="N84" s="7"/>
      <c r="O84" s="7"/>
      <c r="P84" s="7"/>
      <c r="Q84" s="7"/>
      <c r="R84" s="7"/>
    </row>
    <row r="85" spans="13:18">
      <c r="M85" s="7"/>
      <c r="N85" s="7"/>
      <c r="O85" s="7"/>
      <c r="P85" s="7"/>
      <c r="Q85" s="7"/>
      <c r="R85" s="7"/>
    </row>
    <row r="86" spans="13:18">
      <c r="M86" s="7"/>
      <c r="N86" s="7"/>
      <c r="O86" s="7"/>
      <c r="P86" s="7"/>
      <c r="Q86" s="7"/>
      <c r="R86" s="7"/>
    </row>
    <row r="87" spans="13:18">
      <c r="M87" s="7"/>
      <c r="N87" s="7"/>
      <c r="O87" s="7"/>
      <c r="P87" s="7"/>
      <c r="Q87" s="7"/>
      <c r="R87" s="7"/>
    </row>
    <row r="88" spans="13:18">
      <c r="M88" s="7"/>
      <c r="N88" s="7"/>
      <c r="O88" s="7"/>
      <c r="P88" s="7"/>
      <c r="Q88" s="7"/>
      <c r="R88" s="7"/>
    </row>
    <row r="89" spans="13:18">
      <c r="M89" s="7"/>
      <c r="N89" s="7"/>
      <c r="O89" s="7"/>
      <c r="P89" s="7"/>
      <c r="Q89" s="7"/>
      <c r="R89" s="7"/>
    </row>
    <row r="90" spans="13:18">
      <c r="M90" s="7"/>
      <c r="N90" s="7"/>
      <c r="O90" s="7"/>
      <c r="P90" s="7"/>
      <c r="Q90" s="7"/>
      <c r="R90" s="7"/>
    </row>
    <row r="91" spans="13:18">
      <c r="M91" s="7"/>
      <c r="N91" s="7"/>
      <c r="O91" s="7"/>
      <c r="P91" s="7"/>
      <c r="Q91" s="7"/>
      <c r="R91" s="7"/>
    </row>
    <row r="92" spans="13:18">
      <c r="M92" s="7"/>
      <c r="N92" s="7"/>
      <c r="O92" s="7"/>
      <c r="P92" s="7"/>
      <c r="Q92" s="7"/>
      <c r="R92" s="7"/>
    </row>
    <row r="93" spans="13:18">
      <c r="M93" s="7"/>
      <c r="N93" s="7"/>
      <c r="O93" s="7"/>
      <c r="P93" s="7"/>
      <c r="Q93" s="7"/>
      <c r="R93" s="7"/>
    </row>
    <row r="94" spans="13:18">
      <c r="M94" s="7"/>
      <c r="N94" s="7"/>
      <c r="O94" s="7"/>
      <c r="P94" s="7"/>
      <c r="Q94" s="7"/>
      <c r="R94" s="7"/>
    </row>
    <row r="95" spans="13:18">
      <c r="M95" s="7"/>
      <c r="N95" s="7"/>
      <c r="O95" s="7"/>
      <c r="P95" s="7"/>
      <c r="Q95" s="7"/>
      <c r="R95" s="7"/>
    </row>
    <row r="96" spans="13:18">
      <c r="M96" s="7"/>
      <c r="N96" s="7"/>
      <c r="O96" s="7"/>
      <c r="P96" s="7"/>
      <c r="Q96" s="7"/>
      <c r="R96" s="7"/>
    </row>
    <row r="97" spans="13:18">
      <c r="M97" s="7"/>
      <c r="N97" s="7"/>
      <c r="O97" s="7"/>
      <c r="P97" s="7"/>
      <c r="Q97" s="7"/>
      <c r="R97" s="7"/>
    </row>
    <row r="103" spans="13:18" ht="16.5" customHeight="1"/>
  </sheetData>
  <mergeCells count="5">
    <mergeCell ref="E3:G3"/>
    <mergeCell ref="M3:N3"/>
    <mergeCell ref="E4:G4"/>
    <mergeCell ref="H3:J3"/>
    <mergeCell ref="H4:J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heetViews>
  <sheetFormatPr baseColWidth="10" defaultColWidth="11.42578125" defaultRowHeight="15"/>
  <cols>
    <col min="1" max="1" width="4.140625" style="7" customWidth="1"/>
    <col min="2" max="2" width="26.5703125" customWidth="1"/>
    <col min="3" max="3" width="24.85546875" customWidth="1"/>
    <col min="4" max="37" width="11.42578125" style="7"/>
  </cols>
  <sheetData>
    <row r="1" spans="2:6" s="7" customFormat="1"/>
    <row r="2" spans="2:6" s="498" customFormat="1" ht="36">
      <c r="B2" s="499" t="s">
        <v>293</v>
      </c>
    </row>
    <row r="3" spans="2:6" s="7" customFormat="1"/>
    <row r="4" spans="2:6">
      <c r="B4" s="149"/>
      <c r="C4" s="9" t="s">
        <v>294</v>
      </c>
    </row>
    <row r="5" spans="2:6">
      <c r="B5" s="18" t="s">
        <v>1430</v>
      </c>
      <c r="C5" s="11">
        <v>0.94781700000000002</v>
      </c>
      <c r="D5" s="7" t="s">
        <v>1011</v>
      </c>
    </row>
    <row r="6" spans="2:6">
      <c r="B6" s="18" t="s">
        <v>1429</v>
      </c>
      <c r="C6" s="11">
        <v>3412.1416331</v>
      </c>
      <c r="D6" s="7" t="s">
        <v>1011</v>
      </c>
    </row>
    <row r="7" spans="2:6" ht="17.25">
      <c r="B7" s="18" t="s">
        <v>1434</v>
      </c>
      <c r="C7" s="11">
        <f>C27*1000</f>
        <v>37.89</v>
      </c>
      <c r="D7" s="7" t="s">
        <v>1423</v>
      </c>
    </row>
    <row r="8" spans="2:6">
      <c r="B8" s="18" t="s">
        <v>1424</v>
      </c>
      <c r="C8" s="11">
        <f>C7</f>
        <v>37.89</v>
      </c>
      <c r="D8" s="7" t="s">
        <v>1431</v>
      </c>
    </row>
    <row r="9" spans="2:6">
      <c r="B9" s="18" t="s">
        <v>1438</v>
      </c>
      <c r="C9" s="11">
        <f>10^6*1/C6</f>
        <v>293.07107017462215</v>
      </c>
      <c r="D9" s="7" t="s">
        <v>5</v>
      </c>
    </row>
    <row r="10" spans="2:6">
      <c r="B10" s="18" t="s">
        <v>1429</v>
      </c>
      <c r="C10" s="20">
        <f>C6/10^6</f>
        <v>3.4121416331E-3</v>
      </c>
      <c r="D10" s="7" t="s">
        <v>1435</v>
      </c>
    </row>
    <row r="11" spans="2:6">
      <c r="B11" s="18" t="s">
        <v>1439</v>
      </c>
      <c r="C11" s="21">
        <v>35914.691943127968</v>
      </c>
      <c r="D11" s="7" t="s">
        <v>1436</v>
      </c>
    </row>
    <row r="12" spans="2:6">
      <c r="B12" s="18" t="s">
        <v>1437</v>
      </c>
      <c r="C12" s="19">
        <v>0.45359237000000002</v>
      </c>
      <c r="D12" s="7" t="s">
        <v>1432</v>
      </c>
      <c r="F12" s="902"/>
    </row>
    <row r="13" spans="2:6">
      <c r="B13" s="18" t="s">
        <v>1440</v>
      </c>
      <c r="C13" s="19">
        <v>0.101942</v>
      </c>
      <c r="D13" s="7" t="s">
        <v>7</v>
      </c>
    </row>
    <row r="14" spans="2:6">
      <c r="B14" s="18" t="s">
        <v>1442</v>
      </c>
      <c r="C14" s="19">
        <f>C12</f>
        <v>0.45359237000000002</v>
      </c>
      <c r="D14" s="7" t="s">
        <v>1432</v>
      </c>
    </row>
    <row r="15" spans="2:6">
      <c r="B15" s="18" t="s">
        <v>1443</v>
      </c>
      <c r="C15" s="19">
        <f>C12*C5</f>
        <v>0.42992255935629003</v>
      </c>
      <c r="D15" s="7" t="s">
        <v>1441</v>
      </c>
    </row>
    <row r="16" spans="2:6">
      <c r="B16" s="18" t="s">
        <v>1442</v>
      </c>
      <c r="C16" s="11">
        <v>28.731753554502372</v>
      </c>
      <c r="D16" s="7" t="s">
        <v>1433</v>
      </c>
    </row>
    <row r="17" spans="2:4">
      <c r="B17" s="7"/>
      <c r="C17" s="7"/>
    </row>
    <row r="18" spans="2:4">
      <c r="B18" s="577" t="s">
        <v>295</v>
      </c>
      <c r="C18" s="7"/>
    </row>
    <row r="19" spans="2:4">
      <c r="B19" s="18" t="s">
        <v>1426</v>
      </c>
      <c r="C19" s="19">
        <v>6.8947599999999998E-2</v>
      </c>
      <c r="D19" s="7" t="s">
        <v>1425</v>
      </c>
    </row>
    <row r="20" spans="2:4">
      <c r="B20" s="18" t="s">
        <v>1427</v>
      </c>
      <c r="C20" s="11">
        <v>0.145038</v>
      </c>
      <c r="D20" s="7" t="s">
        <v>1428</v>
      </c>
    </row>
    <row r="21" spans="2:4">
      <c r="B21" s="7"/>
      <c r="C21" s="7"/>
    </row>
    <row r="22" spans="2:4">
      <c r="B22" s="577" t="s">
        <v>296</v>
      </c>
      <c r="C22" s="7"/>
    </row>
    <row r="23" spans="2:4">
      <c r="B23" s="18" t="s">
        <v>1422</v>
      </c>
      <c r="C23" s="11">
        <v>3.28084</v>
      </c>
      <c r="D23" s="7" t="s">
        <v>1420</v>
      </c>
    </row>
    <row r="24" spans="2:4">
      <c r="B24" s="18" t="s">
        <v>1421</v>
      </c>
      <c r="C24" s="11">
        <v>2.5399999999999999E-2</v>
      </c>
      <c r="D24" s="7" t="s">
        <v>443</v>
      </c>
    </row>
    <row r="25" spans="2:4">
      <c r="B25" s="7"/>
      <c r="C25" s="7"/>
    </row>
    <row r="26" spans="2:4">
      <c r="B26" s="577" t="s">
        <v>297</v>
      </c>
      <c r="C26" s="7"/>
    </row>
    <row r="27" spans="2:4">
      <c r="B27" s="18" t="s">
        <v>1424</v>
      </c>
      <c r="C27" s="11">
        <v>3.789E-2</v>
      </c>
      <c r="D27" s="7" t="s">
        <v>1423</v>
      </c>
    </row>
    <row r="28" spans="2:4" s="7" customFormat="1"/>
    <row r="29" spans="2:4" s="7" customFormat="1">
      <c r="B29" s="7" t="s">
        <v>1495</v>
      </c>
    </row>
    <row r="30" spans="2:4" s="7" customFormat="1" ht="17.25">
      <c r="B30" s="18" t="s">
        <v>1497</v>
      </c>
      <c r="C30" s="792">
        <f>5.670374419*10^-8</f>
        <v>5.6703744189999999E-8</v>
      </c>
      <c r="D30" s="7" t="s">
        <v>1496</v>
      </c>
    </row>
    <row r="31" spans="2:4" s="7" customFormat="1"/>
    <row r="32" spans="2:4"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heetViews>
  <sheetFormatPr baseColWidth="10" defaultRowHeight="15"/>
  <cols>
    <col min="1" max="1" width="4.42578125" style="7" customWidth="1"/>
    <col min="2" max="2" width="25.5703125" customWidth="1"/>
  </cols>
  <sheetData>
    <row r="2" spans="1:9" ht="36">
      <c r="B2" s="895" t="s">
        <v>900</v>
      </c>
    </row>
    <row r="4" spans="1:9">
      <c r="B4" s="690" t="s">
        <v>902</v>
      </c>
      <c r="C4" s="691" t="s">
        <v>901</v>
      </c>
    </row>
    <row r="5" spans="1:9" s="690" customFormat="1" ht="11.25">
      <c r="A5" s="905"/>
    </row>
    <row r="6" spans="1:9">
      <c r="B6" t="s">
        <v>899</v>
      </c>
      <c r="C6" t="s">
        <v>898</v>
      </c>
      <c r="D6" t="s">
        <v>897</v>
      </c>
      <c r="E6" t="s">
        <v>896</v>
      </c>
      <c r="F6" t="s">
        <v>895</v>
      </c>
      <c r="G6" t="s">
        <v>894</v>
      </c>
      <c r="H6" t="s">
        <v>893</v>
      </c>
      <c r="I6" t="s">
        <v>892</v>
      </c>
    </row>
    <row r="7" spans="1:9">
      <c r="B7" t="s">
        <v>891</v>
      </c>
      <c r="C7" t="s">
        <v>890</v>
      </c>
      <c r="D7" t="s">
        <v>889</v>
      </c>
      <c r="E7" t="s">
        <v>888</v>
      </c>
      <c r="F7" t="s">
        <v>887</v>
      </c>
      <c r="G7" t="s">
        <v>886</v>
      </c>
      <c r="H7" t="s">
        <v>885</v>
      </c>
      <c r="I7" t="s">
        <v>884</v>
      </c>
    </row>
    <row r="8" spans="1:9">
      <c r="B8" s="213" t="s">
        <v>883</v>
      </c>
      <c r="C8" t="s">
        <v>882</v>
      </c>
      <c r="D8" t="s">
        <v>881</v>
      </c>
      <c r="E8" t="s">
        <v>880</v>
      </c>
      <c r="F8" t="s">
        <v>879</v>
      </c>
      <c r="G8">
        <v>7025250</v>
      </c>
      <c r="H8">
        <v>71627</v>
      </c>
      <c r="I8" t="s">
        <v>878</v>
      </c>
    </row>
    <row r="9" spans="1:9">
      <c r="B9" t="s">
        <v>877</v>
      </c>
    </row>
    <row r="11" spans="1:9">
      <c r="B11" t="s">
        <v>876</v>
      </c>
    </row>
    <row r="12" spans="1:9">
      <c r="B12" t="s">
        <v>875</v>
      </c>
    </row>
    <row r="13" spans="1:9">
      <c r="B13" t="s">
        <v>874</v>
      </c>
    </row>
    <row r="14" spans="1:9">
      <c r="B14" t="s">
        <v>873</v>
      </c>
    </row>
    <row r="15" spans="1:9">
      <c r="B15" t="s">
        <v>872</v>
      </c>
    </row>
    <row r="17" spans="1:17">
      <c r="B17" t="s">
        <v>871</v>
      </c>
    </row>
    <row r="18" spans="1:17">
      <c r="B18" t="s">
        <v>687</v>
      </c>
      <c r="C18" t="s">
        <v>870</v>
      </c>
      <c r="D18" t="s">
        <v>869</v>
      </c>
      <c r="E18" t="s">
        <v>868</v>
      </c>
      <c r="F18" t="s">
        <v>867</v>
      </c>
      <c r="G18" t="s">
        <v>866</v>
      </c>
      <c r="H18" t="s">
        <v>865</v>
      </c>
      <c r="I18" t="s">
        <v>864</v>
      </c>
      <c r="J18" t="s">
        <v>863</v>
      </c>
      <c r="K18" t="s">
        <v>862</v>
      </c>
      <c r="L18" t="s">
        <v>861</v>
      </c>
      <c r="M18" t="s">
        <v>860</v>
      </c>
      <c r="N18" t="s">
        <v>859</v>
      </c>
      <c r="O18" t="s">
        <v>858</v>
      </c>
      <c r="P18" t="s">
        <v>857</v>
      </c>
    </row>
    <row r="19" spans="1:17">
      <c r="B19" t="s">
        <v>256</v>
      </c>
    </row>
    <row r="20" spans="1:17" s="213" customFormat="1">
      <c r="A20" s="7"/>
      <c r="B20" s="213" t="s">
        <v>856</v>
      </c>
      <c r="C20" s="213">
        <v>-9.6999999999999993</v>
      </c>
      <c r="D20" s="213">
        <v>-7.7</v>
      </c>
      <c r="E20" s="213">
        <v>-2</v>
      </c>
      <c r="F20" s="213">
        <v>6.4</v>
      </c>
      <c r="G20" s="213">
        <v>13.4</v>
      </c>
      <c r="H20" s="213">
        <v>18.600000000000001</v>
      </c>
      <c r="I20" s="213">
        <v>21.2</v>
      </c>
      <c r="J20" s="213">
        <v>20.100000000000001</v>
      </c>
      <c r="K20" s="213">
        <v>15.5</v>
      </c>
      <c r="L20" s="213">
        <v>8.5</v>
      </c>
      <c r="M20" s="213">
        <v>2.1</v>
      </c>
      <c r="N20" s="213">
        <v>-5.4</v>
      </c>
      <c r="O20" s="213">
        <v>6.8</v>
      </c>
      <c r="P20" s="213" t="s">
        <v>670</v>
      </c>
    </row>
    <row r="21" spans="1:17">
      <c r="B21" t="s">
        <v>855</v>
      </c>
      <c r="C21">
        <v>3.3</v>
      </c>
      <c r="D21">
        <v>2.7</v>
      </c>
      <c r="E21">
        <v>2.1</v>
      </c>
      <c r="F21">
        <v>1.6</v>
      </c>
      <c r="G21">
        <v>1.6</v>
      </c>
      <c r="H21">
        <v>1.3</v>
      </c>
      <c r="I21">
        <v>1</v>
      </c>
      <c r="J21">
        <v>1.2</v>
      </c>
      <c r="K21">
        <v>1.5</v>
      </c>
      <c r="L21">
        <v>1.4</v>
      </c>
      <c r="M21">
        <v>1.6</v>
      </c>
      <c r="N21">
        <v>3</v>
      </c>
      <c r="O21">
        <v>0.9</v>
      </c>
      <c r="P21" t="s">
        <v>670</v>
      </c>
    </row>
    <row r="22" spans="1:17">
      <c r="B22" t="s">
        <v>854</v>
      </c>
      <c r="C22">
        <v>-5.3</v>
      </c>
      <c r="D22">
        <v>-3.2</v>
      </c>
      <c r="E22">
        <v>2.5</v>
      </c>
      <c r="F22">
        <v>11.6</v>
      </c>
      <c r="G22">
        <v>18.899999999999999</v>
      </c>
      <c r="H22">
        <v>23.9</v>
      </c>
      <c r="I22">
        <v>26.3</v>
      </c>
      <c r="J22">
        <v>25.3</v>
      </c>
      <c r="K22">
        <v>20.6</v>
      </c>
      <c r="L22">
        <v>13</v>
      </c>
      <c r="M22">
        <v>5.9</v>
      </c>
      <c r="N22">
        <v>-1.4</v>
      </c>
      <c r="O22">
        <v>11.5</v>
      </c>
      <c r="P22" t="s">
        <v>670</v>
      </c>
    </row>
    <row r="23" spans="1:17">
      <c r="B23" t="s">
        <v>853</v>
      </c>
      <c r="C23">
        <v>-14</v>
      </c>
      <c r="D23">
        <v>-12.2</v>
      </c>
      <c r="E23">
        <v>-6.5</v>
      </c>
      <c r="F23">
        <v>1.2</v>
      </c>
      <c r="G23">
        <v>7.9</v>
      </c>
      <c r="H23">
        <v>13.2</v>
      </c>
      <c r="I23">
        <v>16.100000000000001</v>
      </c>
      <c r="J23">
        <v>14.8</v>
      </c>
      <c r="K23">
        <v>10.3</v>
      </c>
      <c r="L23">
        <v>3.9</v>
      </c>
      <c r="M23">
        <v>-1.7</v>
      </c>
      <c r="N23">
        <v>-9.3000000000000007</v>
      </c>
      <c r="O23">
        <v>2</v>
      </c>
      <c r="P23" t="s">
        <v>670</v>
      </c>
    </row>
    <row r="24" spans="1:17">
      <c r="B24" t="s">
        <v>852</v>
      </c>
      <c r="C24">
        <v>13.9</v>
      </c>
      <c r="D24">
        <v>15</v>
      </c>
      <c r="E24">
        <v>25.6</v>
      </c>
      <c r="F24">
        <v>30</v>
      </c>
      <c r="G24">
        <v>34.700000000000003</v>
      </c>
      <c r="H24">
        <v>35</v>
      </c>
      <c r="I24">
        <v>35.6</v>
      </c>
      <c r="J24">
        <v>37.6</v>
      </c>
      <c r="K24">
        <v>33.5</v>
      </c>
      <c r="L24">
        <v>28.3</v>
      </c>
      <c r="M24">
        <v>21.7</v>
      </c>
      <c r="N24">
        <v>18</v>
      </c>
    </row>
    <row r="25" spans="1:17">
      <c r="B25" t="s">
        <v>697</v>
      </c>
      <c r="C25" t="s">
        <v>696</v>
      </c>
      <c r="D25" t="s">
        <v>851</v>
      </c>
      <c r="E25" t="s">
        <v>730</v>
      </c>
      <c r="F25" t="s">
        <v>850</v>
      </c>
      <c r="G25" t="s">
        <v>849</v>
      </c>
      <c r="H25" t="s">
        <v>727</v>
      </c>
      <c r="I25" t="s">
        <v>848</v>
      </c>
      <c r="J25" t="s">
        <v>847</v>
      </c>
      <c r="K25" s="599">
        <v>27395</v>
      </c>
      <c r="L25" s="599">
        <v>36251</v>
      </c>
      <c r="M25" s="599">
        <v>24869</v>
      </c>
      <c r="N25" s="599">
        <v>17685</v>
      </c>
      <c r="O25" s="599">
        <v>37043</v>
      </c>
      <c r="Q25" t="s">
        <v>687</v>
      </c>
    </row>
    <row r="26" spans="1:17">
      <c r="B26" t="s">
        <v>846</v>
      </c>
      <c r="C26">
        <v>-37.799999999999997</v>
      </c>
      <c r="D26">
        <v>-33.9</v>
      </c>
      <c r="E26">
        <v>-29.4</v>
      </c>
      <c r="F26">
        <v>-15</v>
      </c>
      <c r="G26">
        <v>-4.4000000000000004</v>
      </c>
      <c r="H26">
        <v>0</v>
      </c>
      <c r="I26">
        <v>6.1</v>
      </c>
      <c r="J26">
        <v>3.3</v>
      </c>
      <c r="K26">
        <v>-2.2000000000000002</v>
      </c>
      <c r="L26">
        <v>-7.2</v>
      </c>
      <c r="M26">
        <v>-19.399999999999999</v>
      </c>
      <c r="N26">
        <v>-32.4</v>
      </c>
    </row>
    <row r="27" spans="1:17">
      <c r="B27" t="s">
        <v>697</v>
      </c>
      <c r="C27" t="s">
        <v>696</v>
      </c>
      <c r="D27" t="s">
        <v>845</v>
      </c>
      <c r="E27" t="s">
        <v>844</v>
      </c>
      <c r="F27" s="599">
        <v>18354</v>
      </c>
      <c r="G27" s="599">
        <v>19815</v>
      </c>
      <c r="H27" s="599">
        <v>27061</v>
      </c>
      <c r="I27" s="599">
        <v>34820</v>
      </c>
      <c r="J27" s="599">
        <v>30011</v>
      </c>
      <c r="K27" t="s">
        <v>843</v>
      </c>
      <c r="L27" t="s">
        <v>842</v>
      </c>
      <c r="M27" t="s">
        <v>841</v>
      </c>
      <c r="N27" t="s">
        <v>840</v>
      </c>
      <c r="O27" t="s">
        <v>716</v>
      </c>
      <c r="Q27" t="s">
        <v>687</v>
      </c>
    </row>
    <row r="28" spans="1:17">
      <c r="B28" t="s">
        <v>839</v>
      </c>
    </row>
    <row r="29" spans="1:17">
      <c r="B29" t="s">
        <v>838</v>
      </c>
      <c r="C29">
        <v>27.3</v>
      </c>
      <c r="D29">
        <v>20.9</v>
      </c>
      <c r="E29">
        <v>29.7</v>
      </c>
      <c r="F29">
        <v>67.7</v>
      </c>
      <c r="G29">
        <v>81.2</v>
      </c>
      <c r="H29">
        <v>87</v>
      </c>
      <c r="I29">
        <v>89.3</v>
      </c>
      <c r="J29">
        <v>94.1</v>
      </c>
      <c r="K29">
        <v>83.1</v>
      </c>
      <c r="L29">
        <v>89.1</v>
      </c>
      <c r="M29">
        <v>76.7</v>
      </c>
      <c r="N29">
        <v>38.799999999999997</v>
      </c>
      <c r="O29">
        <v>784.9</v>
      </c>
      <c r="P29" t="s">
        <v>670</v>
      </c>
    </row>
    <row r="30" spans="1:17">
      <c r="B30" t="s">
        <v>837</v>
      </c>
      <c r="C30">
        <v>49.5</v>
      </c>
      <c r="D30">
        <v>41.2</v>
      </c>
      <c r="E30">
        <v>36.200000000000003</v>
      </c>
      <c r="F30">
        <v>12.9</v>
      </c>
      <c r="G30">
        <v>0</v>
      </c>
      <c r="H30">
        <v>0</v>
      </c>
      <c r="I30">
        <v>0</v>
      </c>
      <c r="J30">
        <v>0</v>
      </c>
      <c r="K30">
        <v>0</v>
      </c>
      <c r="L30">
        <v>1.8</v>
      </c>
      <c r="M30">
        <v>19</v>
      </c>
      <c r="N30">
        <v>48.9</v>
      </c>
      <c r="O30">
        <v>209.5</v>
      </c>
      <c r="P30" t="s">
        <v>670</v>
      </c>
    </row>
    <row r="31" spans="1:17">
      <c r="B31" t="s">
        <v>836</v>
      </c>
      <c r="C31">
        <v>77.2</v>
      </c>
      <c r="D31">
        <v>62.7</v>
      </c>
      <c r="E31">
        <v>69.099999999999994</v>
      </c>
      <c r="F31">
        <v>82.2</v>
      </c>
      <c r="G31">
        <v>81.2</v>
      </c>
      <c r="H31">
        <v>87</v>
      </c>
      <c r="I31">
        <v>89.3</v>
      </c>
      <c r="J31">
        <v>94.1</v>
      </c>
      <c r="K31">
        <v>83.1</v>
      </c>
      <c r="L31">
        <v>91.3</v>
      </c>
      <c r="M31">
        <v>96.4</v>
      </c>
      <c r="N31">
        <v>86.8</v>
      </c>
      <c r="O31">
        <v>1000.3</v>
      </c>
      <c r="P31" t="s">
        <v>670</v>
      </c>
    </row>
    <row r="32" spans="1:17">
      <c r="B32" t="s">
        <v>835</v>
      </c>
      <c r="C32">
        <v>11</v>
      </c>
      <c r="D32">
        <v>13</v>
      </c>
      <c r="E32">
        <v>9</v>
      </c>
      <c r="F32">
        <v>1</v>
      </c>
      <c r="G32">
        <v>0</v>
      </c>
      <c r="H32">
        <v>0</v>
      </c>
      <c r="I32">
        <v>0</v>
      </c>
      <c r="J32">
        <v>0</v>
      </c>
      <c r="K32">
        <v>0</v>
      </c>
      <c r="L32">
        <v>0</v>
      </c>
      <c r="M32">
        <v>1</v>
      </c>
      <c r="N32">
        <v>7</v>
      </c>
      <c r="O32">
        <v>4</v>
      </c>
      <c r="P32" t="s">
        <v>670</v>
      </c>
    </row>
    <row r="33" spans="2:17">
      <c r="B33" t="s">
        <v>834</v>
      </c>
      <c r="C33">
        <v>11</v>
      </c>
      <c r="D33">
        <v>13</v>
      </c>
      <c r="E33">
        <v>8</v>
      </c>
      <c r="F33">
        <v>0</v>
      </c>
      <c r="G33">
        <v>0</v>
      </c>
      <c r="H33">
        <v>0</v>
      </c>
      <c r="I33">
        <v>0</v>
      </c>
      <c r="J33">
        <v>0</v>
      </c>
      <c r="K33">
        <v>0</v>
      </c>
      <c r="L33">
        <v>0</v>
      </c>
      <c r="M33">
        <v>0</v>
      </c>
      <c r="N33">
        <v>7</v>
      </c>
      <c r="O33">
        <v>3</v>
      </c>
      <c r="P33" t="s">
        <v>670</v>
      </c>
    </row>
    <row r="34" spans="2:17">
      <c r="B34" t="s">
        <v>833</v>
      </c>
      <c r="C34" t="s">
        <v>832</v>
      </c>
      <c r="D34">
        <v>13</v>
      </c>
      <c r="E34">
        <v>11</v>
      </c>
      <c r="F34">
        <v>3</v>
      </c>
      <c r="G34">
        <v>0</v>
      </c>
      <c r="H34">
        <v>0</v>
      </c>
      <c r="I34">
        <v>0</v>
      </c>
      <c r="J34">
        <v>0</v>
      </c>
      <c r="K34">
        <v>0</v>
      </c>
      <c r="L34">
        <v>0</v>
      </c>
      <c r="M34">
        <v>0</v>
      </c>
      <c r="N34">
        <v>2</v>
      </c>
      <c r="O34">
        <v>10</v>
      </c>
      <c r="P34">
        <v>3</v>
      </c>
      <c r="Q34" t="s">
        <v>670</v>
      </c>
    </row>
    <row r="35" spans="2:17">
      <c r="B35" t="s">
        <v>831</v>
      </c>
      <c r="C35">
        <v>46.6</v>
      </c>
      <c r="D35">
        <v>31.5</v>
      </c>
      <c r="E35">
        <v>32.4</v>
      </c>
      <c r="F35">
        <v>48.2</v>
      </c>
      <c r="G35">
        <v>45.6</v>
      </c>
      <c r="H35">
        <v>66.5</v>
      </c>
      <c r="I35">
        <v>63.6</v>
      </c>
      <c r="J35">
        <v>73.8</v>
      </c>
      <c r="K35">
        <v>81.900000000000006</v>
      </c>
      <c r="L35">
        <v>80.5</v>
      </c>
      <c r="M35">
        <v>93.5</v>
      </c>
      <c r="N35">
        <v>51.2</v>
      </c>
    </row>
    <row r="36" spans="2:17">
      <c r="B36" t="s">
        <v>697</v>
      </c>
      <c r="C36" t="s">
        <v>696</v>
      </c>
      <c r="D36" t="s">
        <v>821</v>
      </c>
      <c r="E36" t="s">
        <v>830</v>
      </c>
      <c r="F36" s="599">
        <v>36039</v>
      </c>
      <c r="G36" t="s">
        <v>819</v>
      </c>
      <c r="H36" t="s">
        <v>818</v>
      </c>
      <c r="I36" t="s">
        <v>817</v>
      </c>
      <c r="J36" s="599">
        <v>38473</v>
      </c>
      <c r="K36" t="s">
        <v>816</v>
      </c>
      <c r="L36" t="s">
        <v>815</v>
      </c>
      <c r="M36" s="599">
        <v>34851</v>
      </c>
      <c r="N36" s="599">
        <v>35278</v>
      </c>
      <c r="O36" s="599">
        <v>37926</v>
      </c>
      <c r="Q36" t="s">
        <v>687</v>
      </c>
    </row>
    <row r="37" spans="2:17">
      <c r="B37" t="s">
        <v>829</v>
      </c>
      <c r="C37">
        <v>35.799999999999997</v>
      </c>
      <c r="D37">
        <v>39.4</v>
      </c>
      <c r="E37">
        <v>43.2</v>
      </c>
      <c r="F37">
        <v>33.9</v>
      </c>
      <c r="G37">
        <v>21.8</v>
      </c>
      <c r="H37">
        <v>0</v>
      </c>
      <c r="I37">
        <v>0</v>
      </c>
      <c r="J37">
        <v>0</v>
      </c>
      <c r="K37">
        <v>6.1</v>
      </c>
      <c r="L37">
        <v>21.2</v>
      </c>
      <c r="M37">
        <v>30.5</v>
      </c>
      <c r="N37">
        <v>41.2</v>
      </c>
    </row>
    <row r="38" spans="2:17">
      <c r="B38" t="s">
        <v>697</v>
      </c>
      <c r="C38" t="s">
        <v>696</v>
      </c>
      <c r="D38" t="s">
        <v>828</v>
      </c>
      <c r="E38" t="s">
        <v>827</v>
      </c>
      <c r="F38" s="599">
        <v>26024</v>
      </c>
      <c r="G38" s="599">
        <v>36770</v>
      </c>
      <c r="H38" s="599">
        <v>23285</v>
      </c>
      <c r="I38" s="599">
        <v>15342</v>
      </c>
      <c r="J38" s="599">
        <v>15342</v>
      </c>
      <c r="K38" s="599">
        <v>15342</v>
      </c>
      <c r="L38" t="s">
        <v>826</v>
      </c>
      <c r="M38" t="s">
        <v>825</v>
      </c>
      <c r="N38" t="s">
        <v>824</v>
      </c>
      <c r="O38" t="s">
        <v>823</v>
      </c>
      <c r="Q38" t="s">
        <v>687</v>
      </c>
    </row>
    <row r="39" spans="2:17">
      <c r="B39" t="s">
        <v>822</v>
      </c>
      <c r="C39">
        <v>47</v>
      </c>
      <c r="D39">
        <v>43.4</v>
      </c>
      <c r="E39">
        <v>42.8</v>
      </c>
      <c r="F39">
        <v>48.2</v>
      </c>
      <c r="G39">
        <v>45.6</v>
      </c>
      <c r="H39">
        <v>66.5</v>
      </c>
      <c r="I39">
        <v>63.6</v>
      </c>
      <c r="J39">
        <v>73.8</v>
      </c>
      <c r="K39">
        <v>81.900000000000006</v>
      </c>
      <c r="L39">
        <v>80.5</v>
      </c>
      <c r="M39">
        <v>93.5</v>
      </c>
      <c r="N39">
        <v>51.4</v>
      </c>
    </row>
    <row r="40" spans="2:17">
      <c r="B40" t="s">
        <v>697</v>
      </c>
      <c r="C40" t="s">
        <v>696</v>
      </c>
      <c r="D40" t="s">
        <v>821</v>
      </c>
      <c r="E40" s="599">
        <v>39448</v>
      </c>
      <c r="F40" t="s">
        <v>820</v>
      </c>
      <c r="G40" t="s">
        <v>819</v>
      </c>
      <c r="H40" t="s">
        <v>818</v>
      </c>
      <c r="I40" t="s">
        <v>817</v>
      </c>
      <c r="J40" s="599">
        <v>38473</v>
      </c>
      <c r="K40" t="s">
        <v>816</v>
      </c>
      <c r="L40" t="s">
        <v>815</v>
      </c>
      <c r="M40" s="599">
        <v>34851</v>
      </c>
      <c r="N40" s="599">
        <v>35278</v>
      </c>
      <c r="O40" s="599">
        <v>37926</v>
      </c>
      <c r="Q40" t="s">
        <v>687</v>
      </c>
    </row>
    <row r="41" spans="2:17">
      <c r="B41" t="s">
        <v>814</v>
      </c>
      <c r="C41">
        <v>61</v>
      </c>
      <c r="D41">
        <v>91</v>
      </c>
      <c r="E41">
        <v>102</v>
      </c>
      <c r="F41">
        <v>44</v>
      </c>
      <c r="G41">
        <v>8</v>
      </c>
      <c r="H41">
        <v>0</v>
      </c>
      <c r="I41">
        <v>0</v>
      </c>
      <c r="J41">
        <v>0</v>
      </c>
      <c r="K41">
        <v>0</v>
      </c>
      <c r="L41">
        <v>15</v>
      </c>
      <c r="M41">
        <v>33</v>
      </c>
      <c r="N41">
        <v>64</v>
      </c>
    </row>
    <row r="42" spans="2:17">
      <c r="B42" t="s">
        <v>697</v>
      </c>
      <c r="C42" t="s">
        <v>696</v>
      </c>
      <c r="D42" t="s">
        <v>813</v>
      </c>
      <c r="E42" t="s">
        <v>812</v>
      </c>
      <c r="F42" s="599">
        <v>26268</v>
      </c>
      <c r="G42" s="599">
        <v>36892</v>
      </c>
      <c r="H42" s="599">
        <v>23316</v>
      </c>
      <c r="I42" s="599">
        <v>20090</v>
      </c>
      <c r="J42" s="599">
        <v>20090</v>
      </c>
      <c r="K42" s="599">
        <v>20090</v>
      </c>
      <c r="L42" s="599">
        <v>20090</v>
      </c>
      <c r="M42" t="s">
        <v>811</v>
      </c>
      <c r="N42" t="s">
        <v>810</v>
      </c>
      <c r="O42" t="s">
        <v>809</v>
      </c>
      <c r="Q42" t="s">
        <v>687</v>
      </c>
    </row>
    <row r="43" spans="2:17">
      <c r="B43" t="s">
        <v>808</v>
      </c>
    </row>
    <row r="44" spans="2:17">
      <c r="B44" t="s">
        <v>800</v>
      </c>
      <c r="C44">
        <v>23.2</v>
      </c>
      <c r="D44">
        <v>19.2</v>
      </c>
      <c r="E44">
        <v>9.9</v>
      </c>
      <c r="F44">
        <v>0.52</v>
      </c>
      <c r="G44">
        <v>0</v>
      </c>
      <c r="H44">
        <v>0</v>
      </c>
      <c r="I44">
        <v>0</v>
      </c>
      <c r="J44">
        <v>0</v>
      </c>
      <c r="K44">
        <v>0</v>
      </c>
      <c r="L44">
        <v>0</v>
      </c>
      <c r="M44">
        <v>4</v>
      </c>
      <c r="N44">
        <v>17.2</v>
      </c>
      <c r="O44">
        <v>74</v>
      </c>
      <c r="P44" t="s">
        <v>670</v>
      </c>
    </row>
    <row r="45" spans="2:17">
      <c r="B45" t="s">
        <v>802</v>
      </c>
      <c r="C45">
        <v>7.8</v>
      </c>
      <c r="D45">
        <v>9</v>
      </c>
      <c r="E45">
        <v>21.1</v>
      </c>
      <c r="F45">
        <v>29.5</v>
      </c>
      <c r="G45">
        <v>31</v>
      </c>
      <c r="H45">
        <v>30</v>
      </c>
      <c r="I45">
        <v>31</v>
      </c>
      <c r="J45">
        <v>31</v>
      </c>
      <c r="K45">
        <v>30</v>
      </c>
      <c r="L45">
        <v>31</v>
      </c>
      <c r="M45">
        <v>26</v>
      </c>
      <c r="N45">
        <v>13.8</v>
      </c>
      <c r="O45">
        <v>291.2</v>
      </c>
      <c r="P45" t="s">
        <v>670</v>
      </c>
    </row>
    <row r="46" spans="2:17">
      <c r="B46" t="s">
        <v>807</v>
      </c>
      <c r="C46">
        <v>0.14000000000000001</v>
      </c>
      <c r="D46">
        <v>0.27</v>
      </c>
      <c r="E46">
        <v>3.4</v>
      </c>
      <c r="F46">
        <v>16.899999999999999</v>
      </c>
      <c r="G46">
        <v>30</v>
      </c>
      <c r="H46">
        <v>30</v>
      </c>
      <c r="I46">
        <v>31</v>
      </c>
      <c r="J46">
        <v>31</v>
      </c>
      <c r="K46">
        <v>29.8</v>
      </c>
      <c r="L46">
        <v>21.6</v>
      </c>
      <c r="M46">
        <v>6.5</v>
      </c>
      <c r="N46">
        <v>0.77</v>
      </c>
      <c r="O46">
        <v>201.3</v>
      </c>
      <c r="P46" t="s">
        <v>670</v>
      </c>
    </row>
    <row r="47" spans="2:17">
      <c r="B47" t="s">
        <v>806</v>
      </c>
      <c r="C47">
        <v>0</v>
      </c>
      <c r="D47">
        <v>0</v>
      </c>
      <c r="E47">
        <v>0.1</v>
      </c>
      <c r="F47">
        <v>2.8</v>
      </c>
      <c r="G47">
        <v>11.9</v>
      </c>
      <c r="H47">
        <v>24</v>
      </c>
      <c r="I47">
        <v>30.1</v>
      </c>
      <c r="J47">
        <v>28.8</v>
      </c>
      <c r="K47">
        <v>16.600000000000001</v>
      </c>
      <c r="L47">
        <v>2.8</v>
      </c>
      <c r="M47">
        <v>0</v>
      </c>
      <c r="N47">
        <v>0</v>
      </c>
      <c r="O47">
        <v>117.1</v>
      </c>
      <c r="P47" t="s">
        <v>670</v>
      </c>
    </row>
    <row r="48" spans="2:17">
      <c r="B48" t="s">
        <v>805</v>
      </c>
      <c r="C48">
        <v>0</v>
      </c>
      <c r="D48">
        <v>0</v>
      </c>
      <c r="E48">
        <v>0</v>
      </c>
      <c r="F48">
        <v>0</v>
      </c>
      <c r="G48">
        <v>0.37</v>
      </c>
      <c r="H48">
        <v>2.2000000000000002</v>
      </c>
      <c r="I48">
        <v>3.6</v>
      </c>
      <c r="J48">
        <v>2.5</v>
      </c>
      <c r="K48">
        <v>0.68</v>
      </c>
      <c r="L48">
        <v>0</v>
      </c>
      <c r="M48">
        <v>0</v>
      </c>
      <c r="N48">
        <v>0</v>
      </c>
      <c r="O48">
        <v>9.3000000000000007</v>
      </c>
      <c r="P48" t="s">
        <v>670</v>
      </c>
    </row>
    <row r="49" spans="2:17">
      <c r="B49" t="s">
        <v>804</v>
      </c>
      <c r="C49">
        <v>0</v>
      </c>
      <c r="D49">
        <v>0</v>
      </c>
      <c r="E49">
        <v>0</v>
      </c>
      <c r="F49">
        <v>0</v>
      </c>
      <c r="G49">
        <v>0</v>
      </c>
      <c r="H49">
        <v>0</v>
      </c>
      <c r="I49">
        <v>0</v>
      </c>
      <c r="J49">
        <v>7.0000000000000007E-2</v>
      </c>
      <c r="K49">
        <v>0</v>
      </c>
      <c r="L49">
        <v>0</v>
      </c>
      <c r="M49">
        <v>0</v>
      </c>
      <c r="N49">
        <v>0</v>
      </c>
      <c r="O49">
        <v>7.0000000000000007E-2</v>
      </c>
      <c r="P49" t="s">
        <v>670</v>
      </c>
    </row>
    <row r="50" spans="2:17">
      <c r="B50" t="s">
        <v>803</v>
      </c>
    </row>
    <row r="51" spans="2:17">
      <c r="B51" t="s">
        <v>802</v>
      </c>
      <c r="C51">
        <v>1.1000000000000001</v>
      </c>
      <c r="D51">
        <v>1.5</v>
      </c>
      <c r="E51">
        <v>5</v>
      </c>
      <c r="F51">
        <v>18.7</v>
      </c>
      <c r="G51">
        <v>30.4</v>
      </c>
      <c r="H51">
        <v>30</v>
      </c>
      <c r="I51">
        <v>31</v>
      </c>
      <c r="J51">
        <v>31</v>
      </c>
      <c r="K51">
        <v>29.8</v>
      </c>
      <c r="L51">
        <v>25</v>
      </c>
      <c r="M51">
        <v>11.4</v>
      </c>
      <c r="N51">
        <v>2.6</v>
      </c>
      <c r="O51">
        <v>217.5</v>
      </c>
      <c r="P51" t="s">
        <v>670</v>
      </c>
    </row>
    <row r="52" spans="2:17">
      <c r="B52" t="s">
        <v>801</v>
      </c>
      <c r="C52">
        <v>30.7</v>
      </c>
      <c r="D52">
        <v>27.8</v>
      </c>
      <c r="E52">
        <v>29.5</v>
      </c>
      <c r="F52">
        <v>17.600000000000001</v>
      </c>
      <c r="G52">
        <v>2.1</v>
      </c>
      <c r="H52">
        <v>0.03</v>
      </c>
      <c r="I52">
        <v>0</v>
      </c>
      <c r="J52">
        <v>0</v>
      </c>
      <c r="K52">
        <v>0.79</v>
      </c>
      <c r="L52">
        <v>11.5</v>
      </c>
      <c r="M52">
        <v>23.4</v>
      </c>
      <c r="N52">
        <v>30.3</v>
      </c>
      <c r="O52">
        <v>173.6</v>
      </c>
      <c r="P52" t="s">
        <v>670</v>
      </c>
    </row>
    <row r="53" spans="2:17">
      <c r="B53" t="s">
        <v>800</v>
      </c>
      <c r="C53">
        <v>29.9</v>
      </c>
      <c r="D53">
        <v>26.7</v>
      </c>
      <c r="E53">
        <v>26</v>
      </c>
      <c r="F53">
        <v>11.3</v>
      </c>
      <c r="G53">
        <v>0.56999999999999995</v>
      </c>
      <c r="H53">
        <v>0</v>
      </c>
      <c r="I53">
        <v>0</v>
      </c>
      <c r="J53">
        <v>0</v>
      </c>
      <c r="K53">
        <v>0.18</v>
      </c>
      <c r="L53">
        <v>6</v>
      </c>
      <c r="M53">
        <v>18.600000000000001</v>
      </c>
      <c r="N53">
        <v>28.4</v>
      </c>
      <c r="O53">
        <v>147.69999999999999</v>
      </c>
      <c r="P53" t="s">
        <v>670</v>
      </c>
    </row>
    <row r="54" spans="2:17">
      <c r="B54" t="s">
        <v>799</v>
      </c>
      <c r="C54">
        <v>28.9</v>
      </c>
      <c r="D54">
        <v>25.4</v>
      </c>
      <c r="E54">
        <v>21.9</v>
      </c>
      <c r="F54">
        <v>6.3</v>
      </c>
      <c r="G54">
        <v>0.11</v>
      </c>
      <c r="H54">
        <v>0</v>
      </c>
      <c r="I54">
        <v>0</v>
      </c>
      <c r="J54">
        <v>0</v>
      </c>
      <c r="K54">
        <v>0</v>
      </c>
      <c r="L54">
        <v>2.2999999999999998</v>
      </c>
      <c r="M54">
        <v>13.4</v>
      </c>
      <c r="N54">
        <v>26</v>
      </c>
      <c r="O54">
        <v>124.3</v>
      </c>
      <c r="P54" t="s">
        <v>670</v>
      </c>
    </row>
    <row r="55" spans="2:17">
      <c r="B55" t="s">
        <v>798</v>
      </c>
      <c r="C55">
        <v>21.5</v>
      </c>
      <c r="D55">
        <v>17.399999999999999</v>
      </c>
      <c r="E55">
        <v>8.9</v>
      </c>
      <c r="F55">
        <v>0.28000000000000003</v>
      </c>
      <c r="G55">
        <v>0</v>
      </c>
      <c r="H55">
        <v>0</v>
      </c>
      <c r="I55">
        <v>0</v>
      </c>
      <c r="J55">
        <v>0</v>
      </c>
      <c r="K55">
        <v>0</v>
      </c>
      <c r="L55">
        <v>0</v>
      </c>
      <c r="M55">
        <v>1.4</v>
      </c>
      <c r="N55">
        <v>13.5</v>
      </c>
      <c r="O55">
        <v>62.9</v>
      </c>
      <c r="P55" t="s">
        <v>670</v>
      </c>
    </row>
    <row r="56" spans="2:17">
      <c r="B56" t="s">
        <v>797</v>
      </c>
      <c r="C56">
        <v>7.6</v>
      </c>
      <c r="D56">
        <v>3.6</v>
      </c>
      <c r="E56">
        <v>0.83</v>
      </c>
      <c r="F56">
        <v>0</v>
      </c>
      <c r="G56">
        <v>0</v>
      </c>
      <c r="H56">
        <v>0</v>
      </c>
      <c r="I56">
        <v>0</v>
      </c>
      <c r="J56">
        <v>0</v>
      </c>
      <c r="K56">
        <v>0</v>
      </c>
      <c r="L56">
        <v>0</v>
      </c>
      <c r="M56">
        <v>0</v>
      </c>
      <c r="N56">
        <v>2.2999999999999998</v>
      </c>
      <c r="O56">
        <v>14.3</v>
      </c>
      <c r="P56" t="s">
        <v>670</v>
      </c>
    </row>
    <row r="57" spans="2:17">
      <c r="B57" t="s">
        <v>796</v>
      </c>
      <c r="C57">
        <v>0.17</v>
      </c>
      <c r="D57">
        <v>7.0000000000000007E-2</v>
      </c>
      <c r="E57">
        <v>0</v>
      </c>
      <c r="F57">
        <v>0</v>
      </c>
      <c r="G57">
        <v>0</v>
      </c>
      <c r="H57">
        <v>0</v>
      </c>
      <c r="I57">
        <v>0</v>
      </c>
      <c r="J57">
        <v>0</v>
      </c>
      <c r="K57">
        <v>0</v>
      </c>
      <c r="L57">
        <v>0</v>
      </c>
      <c r="M57">
        <v>0</v>
      </c>
      <c r="N57">
        <v>0.03</v>
      </c>
      <c r="O57">
        <v>0.27</v>
      </c>
      <c r="P57" t="s">
        <v>670</v>
      </c>
    </row>
    <row r="58" spans="2:17">
      <c r="B58" t="s">
        <v>795</v>
      </c>
    </row>
    <row r="59" spans="2:17">
      <c r="B59" t="s">
        <v>790</v>
      </c>
      <c r="C59" t="s">
        <v>789</v>
      </c>
      <c r="D59">
        <v>4.2</v>
      </c>
      <c r="E59">
        <v>4</v>
      </c>
      <c r="F59">
        <v>6.9</v>
      </c>
      <c r="G59">
        <v>11.6</v>
      </c>
      <c r="H59">
        <v>13.6</v>
      </c>
      <c r="I59">
        <v>13.3</v>
      </c>
      <c r="J59">
        <v>12.3</v>
      </c>
      <c r="K59">
        <v>11.6</v>
      </c>
      <c r="L59">
        <v>11.1</v>
      </c>
      <c r="M59">
        <v>13</v>
      </c>
      <c r="N59">
        <v>11.7</v>
      </c>
      <c r="O59">
        <v>5.9</v>
      </c>
      <c r="P59">
        <v>119.1</v>
      </c>
      <c r="Q59" t="s">
        <v>670</v>
      </c>
    </row>
    <row r="60" spans="2:17">
      <c r="B60" t="s">
        <v>788</v>
      </c>
      <c r="C60">
        <v>1.7</v>
      </c>
      <c r="D60">
        <v>1.2</v>
      </c>
      <c r="E60">
        <v>2</v>
      </c>
      <c r="F60">
        <v>4.5</v>
      </c>
      <c r="G60">
        <v>5.0999999999999996</v>
      </c>
      <c r="H60">
        <v>5</v>
      </c>
      <c r="I60">
        <v>5.2</v>
      </c>
      <c r="J60">
        <v>5.4</v>
      </c>
      <c r="K60">
        <v>4.9000000000000004</v>
      </c>
      <c r="L60">
        <v>4.9000000000000004</v>
      </c>
      <c r="M60">
        <v>4.8</v>
      </c>
      <c r="N60">
        <v>2.4</v>
      </c>
      <c r="O60">
        <v>46.9</v>
      </c>
      <c r="P60" t="s">
        <v>670</v>
      </c>
    </row>
    <row r="61" spans="2:17">
      <c r="B61" t="s">
        <v>787</v>
      </c>
      <c r="C61">
        <v>0.97</v>
      </c>
      <c r="D61">
        <v>0.73</v>
      </c>
      <c r="E61">
        <v>0.87</v>
      </c>
      <c r="F61">
        <v>2.2000000000000002</v>
      </c>
      <c r="G61">
        <v>2.8</v>
      </c>
      <c r="H61">
        <v>2.9</v>
      </c>
      <c r="I61">
        <v>2.8</v>
      </c>
      <c r="J61">
        <v>3.4</v>
      </c>
      <c r="K61">
        <v>2.6</v>
      </c>
      <c r="L61">
        <v>2.8</v>
      </c>
      <c r="M61">
        <v>2.2999999999999998</v>
      </c>
      <c r="N61">
        <v>1.4</v>
      </c>
      <c r="O61">
        <v>25.8</v>
      </c>
      <c r="P61" t="s">
        <v>670</v>
      </c>
    </row>
    <row r="62" spans="2:17">
      <c r="B62" t="s">
        <v>786</v>
      </c>
      <c r="C62">
        <v>0.2</v>
      </c>
      <c r="D62">
        <v>0.03</v>
      </c>
      <c r="E62">
        <v>0.03</v>
      </c>
      <c r="F62">
        <v>0.34</v>
      </c>
      <c r="G62">
        <v>0.47</v>
      </c>
      <c r="H62">
        <v>0.73</v>
      </c>
      <c r="I62">
        <v>0.79</v>
      </c>
      <c r="J62">
        <v>0.8</v>
      </c>
      <c r="K62">
        <v>0.83</v>
      </c>
      <c r="L62">
        <v>0.63</v>
      </c>
      <c r="M62">
        <v>0.56999999999999995</v>
      </c>
      <c r="N62">
        <v>0.17</v>
      </c>
      <c r="O62">
        <v>5.6</v>
      </c>
      <c r="P62" t="s">
        <v>670</v>
      </c>
    </row>
    <row r="63" spans="2:17">
      <c r="B63" t="s">
        <v>794</v>
      </c>
    </row>
    <row r="64" spans="2:17">
      <c r="B64" t="s">
        <v>790</v>
      </c>
      <c r="C64" t="s">
        <v>793</v>
      </c>
      <c r="D64">
        <v>15.3</v>
      </c>
      <c r="E64">
        <v>12.1</v>
      </c>
      <c r="F64">
        <v>9.1</v>
      </c>
      <c r="G64">
        <v>3.2</v>
      </c>
      <c r="H64">
        <v>7.0000000000000007E-2</v>
      </c>
      <c r="I64">
        <v>0</v>
      </c>
      <c r="J64">
        <v>0</v>
      </c>
      <c r="K64">
        <v>0</v>
      </c>
      <c r="L64">
        <v>0</v>
      </c>
      <c r="M64">
        <v>0.72</v>
      </c>
      <c r="N64">
        <v>5.4</v>
      </c>
      <c r="O64">
        <v>13</v>
      </c>
      <c r="P64">
        <v>58.9</v>
      </c>
      <c r="Q64" t="s">
        <v>670</v>
      </c>
    </row>
    <row r="65" spans="2:17">
      <c r="B65" t="s">
        <v>783</v>
      </c>
      <c r="C65">
        <v>3.2</v>
      </c>
      <c r="D65">
        <v>2.6</v>
      </c>
      <c r="E65">
        <v>2.2000000000000002</v>
      </c>
      <c r="F65">
        <v>0.9</v>
      </c>
      <c r="G65">
        <v>0</v>
      </c>
      <c r="H65">
        <v>0</v>
      </c>
      <c r="I65">
        <v>0</v>
      </c>
      <c r="J65">
        <v>0</v>
      </c>
      <c r="K65">
        <v>0</v>
      </c>
      <c r="L65">
        <v>0.1</v>
      </c>
      <c r="M65">
        <v>1.3</v>
      </c>
      <c r="N65">
        <v>3.3</v>
      </c>
      <c r="O65">
        <v>13.6</v>
      </c>
      <c r="P65" t="s">
        <v>670</v>
      </c>
    </row>
    <row r="66" spans="2:17">
      <c r="B66" t="s">
        <v>782</v>
      </c>
      <c r="C66">
        <v>1.1000000000000001</v>
      </c>
      <c r="D66">
        <v>1</v>
      </c>
      <c r="E66">
        <v>0.93</v>
      </c>
      <c r="F66">
        <v>0.33</v>
      </c>
      <c r="G66">
        <v>0</v>
      </c>
      <c r="H66">
        <v>0</v>
      </c>
      <c r="I66">
        <v>0</v>
      </c>
      <c r="J66">
        <v>0</v>
      </c>
      <c r="K66">
        <v>0</v>
      </c>
      <c r="L66">
        <v>0.03</v>
      </c>
      <c r="M66">
        <v>0.56999999999999995</v>
      </c>
      <c r="N66">
        <v>1.3</v>
      </c>
      <c r="O66">
        <v>5.4</v>
      </c>
      <c r="P66" t="s">
        <v>670</v>
      </c>
    </row>
    <row r="67" spans="2:17">
      <c r="B67" t="s">
        <v>792</v>
      </c>
      <c r="C67">
        <v>0.03</v>
      </c>
      <c r="D67">
        <v>0.1</v>
      </c>
      <c r="E67">
        <v>0.13</v>
      </c>
      <c r="F67">
        <v>0.1</v>
      </c>
      <c r="G67">
        <v>0</v>
      </c>
      <c r="H67">
        <v>0</v>
      </c>
      <c r="I67">
        <v>0</v>
      </c>
      <c r="J67">
        <v>0</v>
      </c>
      <c r="K67">
        <v>0</v>
      </c>
      <c r="L67">
        <v>0</v>
      </c>
      <c r="M67">
        <v>0</v>
      </c>
      <c r="N67">
        <v>0.17</v>
      </c>
      <c r="O67">
        <v>0.53</v>
      </c>
      <c r="P67" t="s">
        <v>670</v>
      </c>
    </row>
    <row r="68" spans="2:17">
      <c r="B68" t="s">
        <v>791</v>
      </c>
    </row>
    <row r="69" spans="2:17">
      <c r="B69" t="s">
        <v>790</v>
      </c>
      <c r="C69" t="s">
        <v>789</v>
      </c>
      <c r="D69">
        <v>16.7</v>
      </c>
      <c r="E69">
        <v>13.7</v>
      </c>
      <c r="F69">
        <v>13.6</v>
      </c>
      <c r="G69">
        <v>12.9</v>
      </c>
      <c r="H69">
        <v>13.6</v>
      </c>
      <c r="I69">
        <v>13.3</v>
      </c>
      <c r="J69">
        <v>12.3</v>
      </c>
      <c r="K69">
        <v>11.6</v>
      </c>
      <c r="L69">
        <v>11.1</v>
      </c>
      <c r="M69">
        <v>13.3</v>
      </c>
      <c r="N69">
        <v>14.8</v>
      </c>
      <c r="O69">
        <v>16.3</v>
      </c>
      <c r="P69">
        <v>163.30000000000001</v>
      </c>
      <c r="Q69" t="s">
        <v>670</v>
      </c>
    </row>
    <row r="70" spans="2:17">
      <c r="B70" t="s">
        <v>788</v>
      </c>
      <c r="C70">
        <v>4.5999999999999996</v>
      </c>
      <c r="D70">
        <v>3.8</v>
      </c>
      <c r="E70">
        <v>4.5</v>
      </c>
      <c r="F70">
        <v>5.3</v>
      </c>
      <c r="G70">
        <v>5.0999999999999996</v>
      </c>
      <c r="H70">
        <v>5</v>
      </c>
      <c r="I70">
        <v>5.2</v>
      </c>
      <c r="J70">
        <v>5.4</v>
      </c>
      <c r="K70">
        <v>4.9000000000000004</v>
      </c>
      <c r="L70">
        <v>5</v>
      </c>
      <c r="M70">
        <v>5.9</v>
      </c>
      <c r="N70">
        <v>5.3</v>
      </c>
      <c r="O70">
        <v>59.9</v>
      </c>
      <c r="P70" t="s">
        <v>670</v>
      </c>
    </row>
    <row r="71" spans="2:17">
      <c r="B71" t="s">
        <v>787</v>
      </c>
      <c r="C71">
        <v>2.4</v>
      </c>
      <c r="D71">
        <v>2.2000000000000002</v>
      </c>
      <c r="E71">
        <v>2.2000000000000002</v>
      </c>
      <c r="F71">
        <v>2.7</v>
      </c>
      <c r="G71">
        <v>2.8</v>
      </c>
      <c r="H71">
        <v>2.9</v>
      </c>
      <c r="I71">
        <v>2.8</v>
      </c>
      <c r="J71">
        <v>3.4</v>
      </c>
      <c r="K71">
        <v>2.6</v>
      </c>
      <c r="L71">
        <v>2.8</v>
      </c>
      <c r="M71">
        <v>3.1</v>
      </c>
      <c r="N71">
        <v>3</v>
      </c>
      <c r="O71">
        <v>32.9</v>
      </c>
      <c r="P71" t="s">
        <v>670</v>
      </c>
    </row>
    <row r="72" spans="2:17">
      <c r="B72" t="s">
        <v>786</v>
      </c>
      <c r="C72">
        <v>0.43</v>
      </c>
      <c r="D72">
        <v>0.1</v>
      </c>
      <c r="E72">
        <v>0.3</v>
      </c>
      <c r="F72">
        <v>0.52</v>
      </c>
      <c r="G72">
        <v>0.47</v>
      </c>
      <c r="H72">
        <v>0.73</v>
      </c>
      <c r="I72">
        <v>0.77</v>
      </c>
      <c r="J72">
        <v>0.8</v>
      </c>
      <c r="K72">
        <v>0.83</v>
      </c>
      <c r="L72">
        <v>0.73</v>
      </c>
      <c r="M72">
        <v>0.73</v>
      </c>
      <c r="N72">
        <v>0.5</v>
      </c>
      <c r="O72">
        <v>6.9</v>
      </c>
      <c r="P72" t="s">
        <v>670</v>
      </c>
    </row>
    <row r="73" spans="2:17">
      <c r="B73" t="s">
        <v>785</v>
      </c>
    </row>
    <row r="74" spans="2:17">
      <c r="B74" t="s">
        <v>784</v>
      </c>
      <c r="C74">
        <v>28.7</v>
      </c>
      <c r="D74">
        <v>26.4</v>
      </c>
      <c r="E74">
        <v>20</v>
      </c>
      <c r="F74">
        <v>2.6</v>
      </c>
      <c r="G74">
        <v>0</v>
      </c>
      <c r="H74">
        <v>0</v>
      </c>
      <c r="I74">
        <v>0</v>
      </c>
      <c r="J74">
        <v>0</v>
      </c>
      <c r="K74">
        <v>0</v>
      </c>
      <c r="L74">
        <v>0.13</v>
      </c>
      <c r="M74">
        <v>5</v>
      </c>
      <c r="N74">
        <v>21.2</v>
      </c>
      <c r="O74">
        <v>104.1</v>
      </c>
      <c r="P74" t="s">
        <v>670</v>
      </c>
    </row>
    <row r="75" spans="2:17">
      <c r="B75" t="s">
        <v>783</v>
      </c>
      <c r="C75">
        <v>23.6</v>
      </c>
      <c r="D75">
        <v>20.9</v>
      </c>
      <c r="E75">
        <v>15</v>
      </c>
      <c r="F75">
        <v>1.3</v>
      </c>
      <c r="G75">
        <v>0</v>
      </c>
      <c r="H75">
        <v>0</v>
      </c>
      <c r="I75">
        <v>0</v>
      </c>
      <c r="J75">
        <v>0</v>
      </c>
      <c r="K75">
        <v>0</v>
      </c>
      <c r="L75">
        <v>0</v>
      </c>
      <c r="M75">
        <v>2.2000000000000002</v>
      </c>
      <c r="N75">
        <v>16.5</v>
      </c>
      <c r="O75">
        <v>79.599999999999994</v>
      </c>
      <c r="P75" t="s">
        <v>670</v>
      </c>
    </row>
    <row r="76" spans="2:17">
      <c r="B76" t="s">
        <v>782</v>
      </c>
      <c r="C76">
        <v>15.5</v>
      </c>
      <c r="D76">
        <v>14.1</v>
      </c>
      <c r="E76">
        <v>11.2</v>
      </c>
      <c r="F76">
        <v>0.8</v>
      </c>
      <c r="G76">
        <v>0</v>
      </c>
      <c r="H76">
        <v>0</v>
      </c>
      <c r="I76">
        <v>0</v>
      </c>
      <c r="J76">
        <v>0</v>
      </c>
      <c r="K76">
        <v>0</v>
      </c>
      <c r="L76">
        <v>0</v>
      </c>
      <c r="M76">
        <v>0.67</v>
      </c>
      <c r="N76">
        <v>10.3</v>
      </c>
      <c r="O76">
        <v>52.5</v>
      </c>
      <c r="P76" t="s">
        <v>670</v>
      </c>
    </row>
    <row r="77" spans="2:17">
      <c r="B77" t="s">
        <v>781</v>
      </c>
      <c r="C77">
        <v>5.2</v>
      </c>
      <c r="D77">
        <v>7.4</v>
      </c>
      <c r="E77">
        <v>6</v>
      </c>
      <c r="F77">
        <v>0.27</v>
      </c>
      <c r="G77">
        <v>0</v>
      </c>
      <c r="H77">
        <v>0</v>
      </c>
      <c r="I77">
        <v>0</v>
      </c>
      <c r="J77">
        <v>0</v>
      </c>
      <c r="K77">
        <v>0</v>
      </c>
      <c r="L77">
        <v>0</v>
      </c>
      <c r="M77">
        <v>0.1</v>
      </c>
      <c r="N77">
        <v>2.4</v>
      </c>
      <c r="O77">
        <v>21.3</v>
      </c>
      <c r="P77" t="s">
        <v>670</v>
      </c>
    </row>
    <row r="78" spans="2:17">
      <c r="B78" t="s">
        <v>780</v>
      </c>
    </row>
    <row r="79" spans="2:17">
      <c r="B79" t="s">
        <v>779</v>
      </c>
      <c r="C79">
        <v>16</v>
      </c>
      <c r="D79">
        <v>15.5</v>
      </c>
      <c r="E79">
        <v>15.6</v>
      </c>
      <c r="F79">
        <v>15.9</v>
      </c>
      <c r="G79">
        <v>14.6</v>
      </c>
      <c r="H79">
        <v>13.2</v>
      </c>
      <c r="I79">
        <v>12.4</v>
      </c>
      <c r="J79">
        <v>11.8</v>
      </c>
      <c r="K79">
        <v>12.6</v>
      </c>
      <c r="L79">
        <v>14.2</v>
      </c>
      <c r="M79">
        <v>15.3</v>
      </c>
      <c r="N79">
        <v>15.6</v>
      </c>
      <c r="O79">
        <v>14.4</v>
      </c>
      <c r="P79" t="s">
        <v>670</v>
      </c>
    </row>
    <row r="80" spans="2:17">
      <c r="B80" t="s">
        <v>778</v>
      </c>
      <c r="C80" t="s">
        <v>760</v>
      </c>
      <c r="D80" t="s">
        <v>760</v>
      </c>
      <c r="E80" t="s">
        <v>760</v>
      </c>
      <c r="F80" t="s">
        <v>760</v>
      </c>
      <c r="G80" t="s">
        <v>761</v>
      </c>
      <c r="H80" t="s">
        <v>761</v>
      </c>
      <c r="I80" t="s">
        <v>761</v>
      </c>
      <c r="J80" t="s">
        <v>761</v>
      </c>
      <c r="K80" t="s">
        <v>760</v>
      </c>
      <c r="L80" t="s">
        <v>760</v>
      </c>
      <c r="M80" t="s">
        <v>760</v>
      </c>
      <c r="N80" t="s">
        <v>760</v>
      </c>
      <c r="O80" t="s">
        <v>760</v>
      </c>
      <c r="P80" t="s">
        <v>670</v>
      </c>
    </row>
    <row r="81" spans="2:17">
      <c r="B81" t="s">
        <v>777</v>
      </c>
      <c r="C81">
        <v>90</v>
      </c>
      <c r="D81">
        <v>80</v>
      </c>
      <c r="E81">
        <v>74</v>
      </c>
      <c r="F81">
        <v>70</v>
      </c>
      <c r="G81">
        <v>72</v>
      </c>
      <c r="H81">
        <v>66</v>
      </c>
      <c r="I81">
        <v>58</v>
      </c>
      <c r="J81">
        <v>55</v>
      </c>
      <c r="K81">
        <v>65</v>
      </c>
      <c r="L81">
        <v>72</v>
      </c>
      <c r="M81">
        <v>76</v>
      </c>
      <c r="N81">
        <v>72</v>
      </c>
      <c r="O81">
        <v>90</v>
      </c>
    </row>
    <row r="82" spans="2:17">
      <c r="B82" t="s">
        <v>697</v>
      </c>
      <c r="C82" t="s">
        <v>696</v>
      </c>
      <c r="D82" t="s">
        <v>768</v>
      </c>
      <c r="E82" t="s">
        <v>776</v>
      </c>
      <c r="F82" s="599">
        <v>26024</v>
      </c>
      <c r="G82" s="599">
        <v>28185</v>
      </c>
      <c r="H82" s="599">
        <v>23621</v>
      </c>
      <c r="I82" t="s">
        <v>775</v>
      </c>
      <c r="J82" s="599">
        <v>20760</v>
      </c>
      <c r="K82" s="599">
        <v>23894</v>
      </c>
      <c r="L82" t="s">
        <v>774</v>
      </c>
      <c r="M82" s="599">
        <v>29007</v>
      </c>
      <c r="N82" s="599">
        <v>27668</v>
      </c>
      <c r="O82" t="s">
        <v>773</v>
      </c>
      <c r="P82" t="s">
        <v>768</v>
      </c>
      <c r="Q82" t="s">
        <v>687</v>
      </c>
    </row>
    <row r="83" spans="2:17">
      <c r="B83" t="s">
        <v>772</v>
      </c>
      <c r="C83" t="s">
        <v>761</v>
      </c>
      <c r="D83" t="s">
        <v>770</v>
      </c>
      <c r="E83" t="s">
        <v>771</v>
      </c>
      <c r="F83" t="s">
        <v>760</v>
      </c>
      <c r="G83" t="s">
        <v>760</v>
      </c>
      <c r="H83" t="s">
        <v>771</v>
      </c>
      <c r="I83" t="s">
        <v>760</v>
      </c>
      <c r="J83" t="s">
        <v>770</v>
      </c>
      <c r="K83" t="s">
        <v>761</v>
      </c>
      <c r="L83" t="s">
        <v>761</v>
      </c>
      <c r="M83" t="s">
        <v>760</v>
      </c>
      <c r="N83" t="s">
        <v>760</v>
      </c>
      <c r="O83" t="s">
        <v>761</v>
      </c>
    </row>
    <row r="84" spans="2:17">
      <c r="B84" t="s">
        <v>769</v>
      </c>
      <c r="C84">
        <v>117</v>
      </c>
      <c r="D84">
        <v>138</v>
      </c>
      <c r="E84">
        <v>161</v>
      </c>
      <c r="F84">
        <v>106</v>
      </c>
      <c r="G84">
        <v>103</v>
      </c>
      <c r="H84">
        <v>111</v>
      </c>
      <c r="I84">
        <v>126</v>
      </c>
      <c r="J84">
        <v>105</v>
      </c>
      <c r="K84">
        <v>97</v>
      </c>
      <c r="L84">
        <v>117</v>
      </c>
      <c r="M84">
        <v>113</v>
      </c>
      <c r="N84">
        <v>103</v>
      </c>
      <c r="O84">
        <v>161</v>
      </c>
    </row>
    <row r="85" spans="2:17">
      <c r="B85" t="s">
        <v>697</v>
      </c>
      <c r="C85" t="s">
        <v>696</v>
      </c>
      <c r="D85" t="s">
        <v>768</v>
      </c>
      <c r="E85" t="s">
        <v>767</v>
      </c>
      <c r="F85" s="599">
        <v>23498</v>
      </c>
      <c r="G85" t="s">
        <v>766</v>
      </c>
      <c r="H85" t="s">
        <v>765</v>
      </c>
      <c r="I85" t="s">
        <v>764</v>
      </c>
      <c r="J85" s="599">
        <v>27426</v>
      </c>
      <c r="K85" s="599">
        <v>24351</v>
      </c>
      <c r="L85" s="599">
        <v>20607</v>
      </c>
      <c r="M85" s="599">
        <v>29007</v>
      </c>
      <c r="N85" t="s">
        <v>763</v>
      </c>
      <c r="O85" s="599">
        <v>26238</v>
      </c>
      <c r="P85" s="599">
        <v>23498</v>
      </c>
      <c r="Q85" t="s">
        <v>687</v>
      </c>
    </row>
    <row r="86" spans="2:17">
      <c r="B86" t="s">
        <v>762</v>
      </c>
      <c r="C86" t="s">
        <v>761</v>
      </c>
      <c r="D86" t="s">
        <v>760</v>
      </c>
      <c r="E86" t="s">
        <v>759</v>
      </c>
      <c r="F86" t="s">
        <v>760</v>
      </c>
      <c r="G86" t="s">
        <v>760</v>
      </c>
      <c r="H86" t="s">
        <v>759</v>
      </c>
      <c r="I86" t="s">
        <v>760</v>
      </c>
      <c r="J86" t="s">
        <v>759</v>
      </c>
      <c r="K86" t="s">
        <v>760</v>
      </c>
      <c r="L86" t="s">
        <v>761</v>
      </c>
      <c r="M86" t="s">
        <v>759</v>
      </c>
      <c r="N86" t="s">
        <v>760</v>
      </c>
      <c r="O86" t="s">
        <v>759</v>
      </c>
    </row>
    <row r="87" spans="2:17">
      <c r="B87" t="s">
        <v>758</v>
      </c>
    </row>
    <row r="88" spans="2:17">
      <c r="B88" t="s">
        <v>757</v>
      </c>
      <c r="C88">
        <v>0</v>
      </c>
      <c r="D88">
        <v>0</v>
      </c>
      <c r="E88">
        <v>0</v>
      </c>
      <c r="F88">
        <v>0</v>
      </c>
      <c r="G88">
        <v>0.2</v>
      </c>
      <c r="H88">
        <v>3.4</v>
      </c>
      <c r="I88">
        <v>7.9</v>
      </c>
      <c r="J88">
        <v>5</v>
      </c>
      <c r="K88">
        <v>1.1000000000000001</v>
      </c>
      <c r="L88">
        <v>0</v>
      </c>
      <c r="M88">
        <v>0</v>
      </c>
      <c r="N88">
        <v>0</v>
      </c>
      <c r="O88">
        <v>17.600000000000001</v>
      </c>
      <c r="P88" t="s">
        <v>670</v>
      </c>
    </row>
    <row r="89" spans="2:17">
      <c r="B89" t="s">
        <v>756</v>
      </c>
      <c r="C89">
        <v>0</v>
      </c>
      <c r="D89">
        <v>0</v>
      </c>
      <c r="E89">
        <v>0</v>
      </c>
      <c r="F89">
        <v>0.6</v>
      </c>
      <c r="G89">
        <v>10</v>
      </c>
      <c r="H89">
        <v>52.8</v>
      </c>
      <c r="I89">
        <v>104.3</v>
      </c>
      <c r="J89">
        <v>81.2</v>
      </c>
      <c r="K89">
        <v>21.4</v>
      </c>
      <c r="L89">
        <v>0.8</v>
      </c>
      <c r="M89">
        <v>0</v>
      </c>
      <c r="N89">
        <v>0</v>
      </c>
      <c r="O89">
        <v>271.2</v>
      </c>
      <c r="P89" t="s">
        <v>670</v>
      </c>
    </row>
    <row r="90" spans="2:17">
      <c r="B90" t="s">
        <v>755</v>
      </c>
      <c r="C90">
        <v>0</v>
      </c>
      <c r="D90">
        <v>0</v>
      </c>
      <c r="E90">
        <v>0</v>
      </c>
      <c r="F90">
        <v>2.8</v>
      </c>
      <c r="G90">
        <v>30.9</v>
      </c>
      <c r="H90">
        <v>115</v>
      </c>
      <c r="I90">
        <v>191.7</v>
      </c>
      <c r="J90">
        <v>159.4</v>
      </c>
      <c r="K90">
        <v>58.8</v>
      </c>
      <c r="L90">
        <v>4.9000000000000004</v>
      </c>
      <c r="M90">
        <v>0</v>
      </c>
      <c r="N90">
        <v>0</v>
      </c>
      <c r="O90">
        <v>563.5</v>
      </c>
      <c r="P90" t="s">
        <v>670</v>
      </c>
    </row>
    <row r="91" spans="2:17">
      <c r="B91" t="s">
        <v>754</v>
      </c>
      <c r="C91">
        <v>0</v>
      </c>
      <c r="D91">
        <v>0</v>
      </c>
      <c r="E91">
        <v>0.5</v>
      </c>
      <c r="F91">
        <v>19.600000000000001</v>
      </c>
      <c r="G91">
        <v>116.8</v>
      </c>
      <c r="H91">
        <v>255.6</v>
      </c>
      <c r="I91">
        <v>346.3</v>
      </c>
      <c r="J91">
        <v>311.89999999999998</v>
      </c>
      <c r="K91">
        <v>171.5</v>
      </c>
      <c r="L91">
        <v>35.1</v>
      </c>
      <c r="M91">
        <v>2.7</v>
      </c>
      <c r="N91">
        <v>0.1</v>
      </c>
      <c r="O91">
        <v>1260</v>
      </c>
      <c r="P91" t="s">
        <v>670</v>
      </c>
    </row>
    <row r="92" spans="2:17">
      <c r="B92" t="s">
        <v>753</v>
      </c>
      <c r="C92">
        <v>0.5</v>
      </c>
      <c r="D92">
        <v>0.9</v>
      </c>
      <c r="E92">
        <v>7.3</v>
      </c>
      <c r="F92">
        <v>79.5</v>
      </c>
      <c r="G92">
        <v>258.3</v>
      </c>
      <c r="H92">
        <v>405.4</v>
      </c>
      <c r="I92">
        <v>501.3</v>
      </c>
      <c r="J92">
        <v>466.9</v>
      </c>
      <c r="K92">
        <v>317.10000000000002</v>
      </c>
      <c r="L92">
        <v>121.2</v>
      </c>
      <c r="M92">
        <v>24.4</v>
      </c>
      <c r="N92">
        <v>1.8</v>
      </c>
      <c r="O92">
        <v>2184.5</v>
      </c>
      <c r="P92" t="s">
        <v>670</v>
      </c>
    </row>
    <row r="93" spans="2:17">
      <c r="B93" t="s">
        <v>752</v>
      </c>
      <c r="C93">
        <v>6.6</v>
      </c>
      <c r="D93">
        <v>9.3000000000000007</v>
      </c>
      <c r="E93">
        <v>45.9</v>
      </c>
      <c r="F93">
        <v>198.2</v>
      </c>
      <c r="G93">
        <v>412.8</v>
      </c>
      <c r="H93">
        <v>555.4</v>
      </c>
      <c r="I93">
        <v>656.3</v>
      </c>
      <c r="J93">
        <v>621.9</v>
      </c>
      <c r="K93">
        <v>467</v>
      </c>
      <c r="L93">
        <v>263.10000000000002</v>
      </c>
      <c r="M93">
        <v>96</v>
      </c>
      <c r="N93">
        <v>16.7</v>
      </c>
      <c r="O93">
        <v>3349.3</v>
      </c>
      <c r="P93" t="s">
        <v>670</v>
      </c>
    </row>
    <row r="94" spans="2:17">
      <c r="B94" t="s">
        <v>751</v>
      </c>
      <c r="C94">
        <v>310.3</v>
      </c>
      <c r="D94">
        <v>226.7</v>
      </c>
      <c r="E94">
        <v>108.6</v>
      </c>
      <c r="F94">
        <v>5.4</v>
      </c>
      <c r="G94">
        <v>0</v>
      </c>
      <c r="H94">
        <v>0</v>
      </c>
      <c r="I94">
        <v>0</v>
      </c>
      <c r="J94">
        <v>0</v>
      </c>
      <c r="K94">
        <v>0</v>
      </c>
      <c r="L94">
        <v>0.2</v>
      </c>
      <c r="M94">
        <v>32.200000000000003</v>
      </c>
      <c r="N94">
        <v>183.4</v>
      </c>
      <c r="O94">
        <v>866.8</v>
      </c>
      <c r="P94" t="s">
        <v>670</v>
      </c>
    </row>
    <row r="95" spans="2:17">
      <c r="B95" t="s">
        <v>750</v>
      </c>
      <c r="C95">
        <v>459.1</v>
      </c>
      <c r="D95">
        <v>359.4</v>
      </c>
      <c r="E95">
        <v>225</v>
      </c>
      <c r="F95">
        <v>36.799999999999997</v>
      </c>
      <c r="G95">
        <v>0.5</v>
      </c>
      <c r="H95">
        <v>0</v>
      </c>
      <c r="I95">
        <v>0</v>
      </c>
      <c r="J95">
        <v>0</v>
      </c>
      <c r="K95">
        <v>0.1</v>
      </c>
      <c r="L95">
        <v>13.3</v>
      </c>
      <c r="M95">
        <v>110.6</v>
      </c>
      <c r="N95">
        <v>323.39999999999998</v>
      </c>
      <c r="O95">
        <v>1528.3</v>
      </c>
      <c r="P95" t="s">
        <v>670</v>
      </c>
    </row>
    <row r="96" spans="2:17">
      <c r="B96" t="s">
        <v>749</v>
      </c>
      <c r="C96">
        <v>613.70000000000005</v>
      </c>
      <c r="D96">
        <v>499.7</v>
      </c>
      <c r="E96">
        <v>373.2</v>
      </c>
      <c r="F96">
        <v>126.9</v>
      </c>
      <c r="G96">
        <v>14</v>
      </c>
      <c r="H96">
        <v>0.2</v>
      </c>
      <c r="I96">
        <v>0</v>
      </c>
      <c r="J96">
        <v>0</v>
      </c>
      <c r="K96">
        <v>4.5</v>
      </c>
      <c r="L96">
        <v>82.1</v>
      </c>
      <c r="M96">
        <v>239</v>
      </c>
      <c r="N96">
        <v>476.7</v>
      </c>
      <c r="O96">
        <v>2430</v>
      </c>
      <c r="P96" t="s">
        <v>670</v>
      </c>
    </row>
    <row r="97" spans="2:17">
      <c r="B97" t="s">
        <v>748</v>
      </c>
      <c r="C97">
        <v>768.7</v>
      </c>
      <c r="D97">
        <v>640.9</v>
      </c>
      <c r="E97">
        <v>527.70000000000005</v>
      </c>
      <c r="F97">
        <v>260</v>
      </c>
      <c r="G97">
        <v>83.1</v>
      </c>
      <c r="H97">
        <v>9.6</v>
      </c>
      <c r="I97">
        <v>0.4</v>
      </c>
      <c r="J97">
        <v>2.5</v>
      </c>
      <c r="K97">
        <v>41.8</v>
      </c>
      <c r="L97">
        <v>207</v>
      </c>
      <c r="M97">
        <v>386.2</v>
      </c>
      <c r="N97">
        <v>631.70000000000005</v>
      </c>
      <c r="O97">
        <v>3559.6</v>
      </c>
      <c r="P97" t="s">
        <v>670</v>
      </c>
    </row>
    <row r="98" spans="2:17">
      <c r="B98" t="s">
        <v>747</v>
      </c>
      <c r="C98">
        <v>861.7</v>
      </c>
      <c r="D98">
        <v>725.6</v>
      </c>
      <c r="E98">
        <v>620.70000000000005</v>
      </c>
      <c r="F98">
        <v>347.9</v>
      </c>
      <c r="G98">
        <v>155.19999999999999</v>
      </c>
      <c r="H98">
        <v>37.4</v>
      </c>
      <c r="I98">
        <v>6</v>
      </c>
      <c r="J98">
        <v>17.399999999999999</v>
      </c>
      <c r="K98">
        <v>94.4</v>
      </c>
      <c r="L98">
        <v>295.89999999999998</v>
      </c>
      <c r="M98">
        <v>476.2</v>
      </c>
      <c r="N98">
        <v>724.7</v>
      </c>
      <c r="O98">
        <v>4363</v>
      </c>
      <c r="P98" t="s">
        <v>670</v>
      </c>
    </row>
    <row r="99" spans="2:17">
      <c r="B99" t="s">
        <v>746</v>
      </c>
    </row>
    <row r="100" spans="2:17">
      <c r="B100" t="s">
        <v>745</v>
      </c>
      <c r="G100">
        <v>4.2</v>
      </c>
      <c r="H100">
        <v>4.5999999999999996</v>
      </c>
      <c r="I100">
        <v>4.5999999999999996</v>
      </c>
      <c r="J100">
        <v>3.8</v>
      </c>
      <c r="K100">
        <v>2.6</v>
      </c>
      <c r="L100">
        <v>1.7</v>
      </c>
    </row>
    <row r="101" spans="2:17">
      <c r="B101" t="s">
        <v>744</v>
      </c>
    </row>
    <row r="102" spans="2:17">
      <c r="B102" t="s">
        <v>743</v>
      </c>
      <c r="C102">
        <v>101.2</v>
      </c>
      <c r="D102">
        <v>127.8</v>
      </c>
      <c r="E102">
        <v>164.3</v>
      </c>
      <c r="F102">
        <v>178.3</v>
      </c>
      <c r="G102">
        <v>228.9</v>
      </c>
      <c r="H102">
        <v>240.3</v>
      </c>
      <c r="I102">
        <v>271.5</v>
      </c>
      <c r="J102">
        <v>246.3</v>
      </c>
      <c r="K102">
        <v>182.2</v>
      </c>
      <c r="L102">
        <v>143.5</v>
      </c>
      <c r="M102">
        <v>83.6</v>
      </c>
      <c r="N102">
        <v>83.6</v>
      </c>
      <c r="O102">
        <v>2051.3000000000002</v>
      </c>
      <c r="P102" t="s">
        <v>740</v>
      </c>
    </row>
    <row r="103" spans="2:17">
      <c r="B103" t="s">
        <v>742</v>
      </c>
      <c r="C103">
        <v>21.2</v>
      </c>
      <c r="D103">
        <v>21.8</v>
      </c>
      <c r="E103">
        <v>25.6</v>
      </c>
      <c r="F103">
        <v>25.3</v>
      </c>
      <c r="G103">
        <v>28.3</v>
      </c>
      <c r="H103">
        <v>28.2</v>
      </c>
      <c r="I103">
        <v>30</v>
      </c>
      <c r="J103">
        <v>29.6</v>
      </c>
      <c r="K103">
        <v>26.8</v>
      </c>
      <c r="L103">
        <v>26.5</v>
      </c>
      <c r="M103">
        <v>21</v>
      </c>
      <c r="N103">
        <v>20.9</v>
      </c>
      <c r="O103">
        <v>305.2</v>
      </c>
      <c r="P103" t="s">
        <v>740</v>
      </c>
    </row>
    <row r="104" spans="2:17">
      <c r="B104" t="s">
        <v>741</v>
      </c>
      <c r="C104">
        <v>35.700000000000003</v>
      </c>
      <c r="D104">
        <v>43.7</v>
      </c>
      <c r="E104">
        <v>44.6</v>
      </c>
      <c r="F104">
        <v>44</v>
      </c>
      <c r="G104">
        <v>49.6</v>
      </c>
      <c r="H104">
        <v>51.3</v>
      </c>
      <c r="I104">
        <v>57.3</v>
      </c>
      <c r="J104">
        <v>56.3</v>
      </c>
      <c r="K104">
        <v>48.3</v>
      </c>
      <c r="L104">
        <v>42.2</v>
      </c>
      <c r="M104">
        <v>29.2</v>
      </c>
      <c r="N104">
        <v>30.7</v>
      </c>
      <c r="O104">
        <v>44.4</v>
      </c>
      <c r="P104" t="s">
        <v>740</v>
      </c>
    </row>
    <row r="105" spans="2:17">
      <c r="B105" t="s">
        <v>739</v>
      </c>
      <c r="C105">
        <v>9.3000000000000007</v>
      </c>
      <c r="D105">
        <v>10.7</v>
      </c>
      <c r="E105">
        <v>11.8</v>
      </c>
      <c r="F105">
        <v>13.6</v>
      </c>
      <c r="G105">
        <v>14.6</v>
      </c>
      <c r="H105">
        <v>14.9</v>
      </c>
      <c r="I105">
        <v>14.8</v>
      </c>
      <c r="J105">
        <v>14.2</v>
      </c>
      <c r="K105">
        <v>12.7</v>
      </c>
      <c r="L105">
        <v>10.9</v>
      </c>
      <c r="M105">
        <v>9.8000000000000007</v>
      </c>
      <c r="N105">
        <v>8.6</v>
      </c>
    </row>
    <row r="106" spans="2:17">
      <c r="B106" t="s">
        <v>697</v>
      </c>
      <c r="C106" t="s">
        <v>696</v>
      </c>
      <c r="D106" t="s">
        <v>738</v>
      </c>
      <c r="E106" t="s">
        <v>737</v>
      </c>
      <c r="F106" t="s">
        <v>736</v>
      </c>
      <c r="G106" t="s">
        <v>735</v>
      </c>
      <c r="H106" t="s">
        <v>734</v>
      </c>
      <c r="I106" s="599">
        <v>25903</v>
      </c>
      <c r="J106" s="599">
        <v>34639</v>
      </c>
      <c r="K106" s="599">
        <v>31778</v>
      </c>
      <c r="L106" s="599">
        <v>31413</v>
      </c>
      <c r="M106" s="599">
        <v>30590</v>
      </c>
      <c r="N106" s="599">
        <v>31809</v>
      </c>
      <c r="O106" s="599">
        <v>36161</v>
      </c>
      <c r="Q106" t="s">
        <v>687</v>
      </c>
    </row>
    <row r="107" spans="2:17">
      <c r="B107" t="s">
        <v>733</v>
      </c>
    </row>
    <row r="108" spans="2:17">
      <c r="B108" t="s">
        <v>732</v>
      </c>
      <c r="C108">
        <v>13.5</v>
      </c>
      <c r="D108">
        <v>14.7</v>
      </c>
      <c r="E108">
        <v>23.2</v>
      </c>
      <c r="F108">
        <v>33.799999999999997</v>
      </c>
      <c r="G108">
        <v>39.700000000000003</v>
      </c>
      <c r="H108">
        <v>45</v>
      </c>
      <c r="I108">
        <v>45.8</v>
      </c>
      <c r="J108">
        <v>46.8</v>
      </c>
      <c r="K108">
        <v>42.8</v>
      </c>
      <c r="L108">
        <v>33.5</v>
      </c>
      <c r="M108">
        <v>24.6</v>
      </c>
      <c r="N108">
        <v>18.100000000000001</v>
      </c>
    </row>
    <row r="109" spans="2:17">
      <c r="B109" t="s">
        <v>697</v>
      </c>
      <c r="C109" t="s">
        <v>696</v>
      </c>
      <c r="D109" t="s">
        <v>731</v>
      </c>
      <c r="E109" t="s">
        <v>730</v>
      </c>
      <c r="F109" t="s">
        <v>729</v>
      </c>
      <c r="G109" t="s">
        <v>728</v>
      </c>
      <c r="H109" t="s">
        <v>727</v>
      </c>
      <c r="I109" t="s">
        <v>726</v>
      </c>
      <c r="J109" s="599">
        <v>37288</v>
      </c>
      <c r="K109" s="599">
        <v>27395</v>
      </c>
      <c r="L109" s="599">
        <v>19450</v>
      </c>
      <c r="M109" s="599">
        <v>24532</v>
      </c>
      <c r="N109" s="599">
        <v>25965</v>
      </c>
      <c r="O109" s="599">
        <v>30042</v>
      </c>
      <c r="Q109" t="s">
        <v>687</v>
      </c>
    </row>
    <row r="110" spans="2:17">
      <c r="B110" t="s">
        <v>725</v>
      </c>
      <c r="C110">
        <v>0</v>
      </c>
      <c r="D110">
        <v>0</v>
      </c>
      <c r="E110">
        <v>0</v>
      </c>
      <c r="F110">
        <v>0.1</v>
      </c>
      <c r="G110">
        <v>1.8</v>
      </c>
      <c r="H110">
        <v>8.8000000000000007</v>
      </c>
      <c r="I110">
        <v>17</v>
      </c>
      <c r="J110">
        <v>13.7</v>
      </c>
      <c r="K110">
        <v>4.4000000000000004</v>
      </c>
      <c r="L110">
        <v>0.3</v>
      </c>
      <c r="M110">
        <v>0</v>
      </c>
      <c r="N110">
        <v>0</v>
      </c>
      <c r="O110">
        <v>46.1</v>
      </c>
      <c r="P110" t="s">
        <v>670</v>
      </c>
    </row>
    <row r="111" spans="2:17">
      <c r="B111" t="s">
        <v>724</v>
      </c>
      <c r="C111">
        <v>0</v>
      </c>
      <c r="D111">
        <v>0</v>
      </c>
      <c r="E111">
        <v>0</v>
      </c>
      <c r="F111">
        <v>0</v>
      </c>
      <c r="G111">
        <v>0.4</v>
      </c>
      <c r="H111">
        <v>3</v>
      </c>
      <c r="I111">
        <v>6.1</v>
      </c>
      <c r="J111">
        <v>4.7</v>
      </c>
      <c r="K111">
        <v>1</v>
      </c>
      <c r="L111">
        <v>0</v>
      </c>
      <c r="M111">
        <v>0</v>
      </c>
      <c r="N111">
        <v>0</v>
      </c>
      <c r="O111">
        <v>15.1</v>
      </c>
      <c r="P111" t="s">
        <v>670</v>
      </c>
    </row>
    <row r="112" spans="2:17">
      <c r="B112" t="s">
        <v>723</v>
      </c>
      <c r="C112">
        <v>0</v>
      </c>
      <c r="D112">
        <v>0</v>
      </c>
      <c r="E112">
        <v>0</v>
      </c>
      <c r="F112">
        <v>0</v>
      </c>
      <c r="G112">
        <v>0</v>
      </c>
      <c r="H112">
        <v>0.5</v>
      </c>
      <c r="I112">
        <v>1.4</v>
      </c>
      <c r="J112">
        <v>0.6</v>
      </c>
      <c r="K112">
        <v>0</v>
      </c>
      <c r="L112">
        <v>0</v>
      </c>
      <c r="M112">
        <v>0</v>
      </c>
      <c r="N112">
        <v>0</v>
      </c>
      <c r="O112">
        <v>2.5</v>
      </c>
      <c r="P112" t="s">
        <v>670</v>
      </c>
    </row>
    <row r="113" spans="2:17">
      <c r="B113" t="s">
        <v>722</v>
      </c>
    </row>
    <row r="114" spans="2:17">
      <c r="B114" t="s">
        <v>721</v>
      </c>
      <c r="C114">
        <v>-49.1</v>
      </c>
      <c r="D114">
        <v>-46</v>
      </c>
      <c r="E114">
        <v>-42.9</v>
      </c>
      <c r="F114">
        <v>-26.3</v>
      </c>
      <c r="G114">
        <v>-9.9</v>
      </c>
      <c r="H114">
        <v>0</v>
      </c>
      <c r="I114">
        <v>0</v>
      </c>
      <c r="J114">
        <v>0</v>
      </c>
      <c r="K114">
        <v>-4.8</v>
      </c>
      <c r="L114">
        <v>-10.9</v>
      </c>
      <c r="M114">
        <v>-30.7</v>
      </c>
      <c r="N114">
        <v>-46</v>
      </c>
    </row>
    <row r="115" spans="2:17">
      <c r="B115" t="s">
        <v>697</v>
      </c>
      <c r="C115" t="s">
        <v>696</v>
      </c>
      <c r="D115" t="s">
        <v>720</v>
      </c>
      <c r="E115" s="599">
        <v>24807</v>
      </c>
      <c r="F115" s="599">
        <v>37681</v>
      </c>
      <c r="G115" s="599">
        <v>34820</v>
      </c>
      <c r="H115" s="599">
        <v>28491</v>
      </c>
      <c r="I115" s="599">
        <v>19360</v>
      </c>
      <c r="J115" s="599">
        <v>19360</v>
      </c>
      <c r="K115" s="599">
        <v>19360</v>
      </c>
      <c r="L115" t="s">
        <v>719</v>
      </c>
      <c r="M115" t="s">
        <v>718</v>
      </c>
      <c r="N115" t="s">
        <v>717</v>
      </c>
      <c r="O115" t="s">
        <v>716</v>
      </c>
      <c r="Q115" t="s">
        <v>687</v>
      </c>
    </row>
    <row r="116" spans="2:17">
      <c r="B116" t="s">
        <v>715</v>
      </c>
      <c r="C116">
        <v>16.7</v>
      </c>
      <c r="D116">
        <v>12.2</v>
      </c>
      <c r="E116">
        <v>4.8</v>
      </c>
      <c r="F116">
        <v>0.1</v>
      </c>
      <c r="G116">
        <v>0</v>
      </c>
      <c r="H116">
        <v>0</v>
      </c>
      <c r="I116">
        <v>0</v>
      </c>
      <c r="J116">
        <v>0</v>
      </c>
      <c r="K116">
        <v>0</v>
      </c>
      <c r="L116">
        <v>0</v>
      </c>
      <c r="M116">
        <v>0.2</v>
      </c>
      <c r="N116">
        <v>8.3000000000000007</v>
      </c>
      <c r="O116">
        <v>42.2</v>
      </c>
      <c r="P116" t="s">
        <v>670</v>
      </c>
    </row>
    <row r="117" spans="2:17">
      <c r="B117" t="s">
        <v>714</v>
      </c>
      <c r="C117">
        <v>5.3</v>
      </c>
      <c r="D117">
        <v>1.7</v>
      </c>
      <c r="E117">
        <v>0.5</v>
      </c>
      <c r="F117">
        <v>0</v>
      </c>
      <c r="G117">
        <v>0</v>
      </c>
      <c r="H117">
        <v>0</v>
      </c>
      <c r="I117">
        <v>0</v>
      </c>
      <c r="J117">
        <v>0</v>
      </c>
      <c r="K117">
        <v>0</v>
      </c>
      <c r="L117">
        <v>0</v>
      </c>
      <c r="M117">
        <v>0</v>
      </c>
      <c r="N117">
        <v>1.4</v>
      </c>
      <c r="O117">
        <v>8.8000000000000007</v>
      </c>
      <c r="P117" t="s">
        <v>670</v>
      </c>
    </row>
    <row r="118" spans="2:17">
      <c r="B118" t="s">
        <v>713</v>
      </c>
      <c r="C118">
        <v>0.6</v>
      </c>
      <c r="D118">
        <v>0</v>
      </c>
      <c r="E118">
        <v>0</v>
      </c>
      <c r="F118">
        <v>0</v>
      </c>
      <c r="G118">
        <v>0</v>
      </c>
      <c r="H118">
        <v>0</v>
      </c>
      <c r="I118">
        <v>0</v>
      </c>
      <c r="J118">
        <v>0</v>
      </c>
      <c r="K118">
        <v>0</v>
      </c>
      <c r="L118">
        <v>0</v>
      </c>
      <c r="M118">
        <v>0</v>
      </c>
      <c r="N118">
        <v>0.1</v>
      </c>
      <c r="O118">
        <v>0.7</v>
      </c>
      <c r="P118" t="s">
        <v>670</v>
      </c>
    </row>
    <row r="119" spans="2:17">
      <c r="B119" t="s">
        <v>247</v>
      </c>
    </row>
    <row r="120" spans="2:17">
      <c r="B120" t="s">
        <v>712</v>
      </c>
      <c r="C120">
        <v>0.3</v>
      </c>
      <c r="D120">
        <v>0.3</v>
      </c>
      <c r="E120">
        <v>0.4</v>
      </c>
      <c r="F120">
        <v>0.6</v>
      </c>
      <c r="G120">
        <v>1</v>
      </c>
      <c r="H120">
        <v>1.5</v>
      </c>
      <c r="I120">
        <v>1.8</v>
      </c>
      <c r="J120">
        <v>1.7</v>
      </c>
      <c r="K120">
        <v>1.4</v>
      </c>
      <c r="L120">
        <v>0.9</v>
      </c>
      <c r="M120">
        <v>0.6</v>
      </c>
      <c r="N120">
        <v>0.4</v>
      </c>
      <c r="O120">
        <v>0.9</v>
      </c>
      <c r="P120" t="s">
        <v>670</v>
      </c>
    </row>
    <row r="121" spans="2:17">
      <c r="B121" t="s">
        <v>711</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670</v>
      </c>
    </row>
    <row r="122" spans="2:17">
      <c r="B122" t="s">
        <v>710</v>
      </c>
      <c r="C122">
        <v>68.099999999999994</v>
      </c>
      <c r="D122">
        <v>63.4</v>
      </c>
      <c r="E122">
        <v>58.3</v>
      </c>
      <c r="F122">
        <v>51.9</v>
      </c>
      <c r="G122">
        <v>51.4</v>
      </c>
      <c r="H122">
        <v>55.3</v>
      </c>
      <c r="I122">
        <v>56.1</v>
      </c>
      <c r="J122">
        <v>56.8</v>
      </c>
      <c r="K122">
        <v>59.7</v>
      </c>
      <c r="L122">
        <v>62</v>
      </c>
      <c r="M122">
        <v>68</v>
      </c>
      <c r="N122">
        <v>71.400000000000006</v>
      </c>
      <c r="O122">
        <v>60.2</v>
      </c>
      <c r="P122" t="s">
        <v>670</v>
      </c>
    </row>
    <row r="123" spans="2:17">
      <c r="B123" t="s">
        <v>709</v>
      </c>
    </row>
    <row r="124" spans="2:17">
      <c r="B124" t="s">
        <v>708</v>
      </c>
      <c r="C124">
        <v>101.2</v>
      </c>
      <c r="D124">
        <v>101.3</v>
      </c>
      <c r="E124">
        <v>101.2</v>
      </c>
      <c r="F124">
        <v>101</v>
      </c>
      <c r="G124">
        <v>101</v>
      </c>
      <c r="H124">
        <v>100.8</v>
      </c>
      <c r="I124">
        <v>100.9</v>
      </c>
      <c r="J124">
        <v>101.1</v>
      </c>
      <c r="K124">
        <v>101.2</v>
      </c>
      <c r="L124">
        <v>101.3</v>
      </c>
      <c r="M124">
        <v>101.2</v>
      </c>
      <c r="N124">
        <v>101.2</v>
      </c>
      <c r="O124">
        <v>101.1</v>
      </c>
      <c r="P124" t="s">
        <v>670</v>
      </c>
    </row>
    <row r="125" spans="2:17">
      <c r="B125" t="s">
        <v>707</v>
      </c>
      <c r="C125">
        <v>101.7</v>
      </c>
      <c r="D125">
        <v>101.7</v>
      </c>
      <c r="E125">
        <v>101.6</v>
      </c>
      <c r="F125">
        <v>101.4</v>
      </c>
      <c r="G125">
        <v>101.4</v>
      </c>
      <c r="H125">
        <v>101.3</v>
      </c>
      <c r="I125">
        <v>101.3</v>
      </c>
      <c r="J125">
        <v>101.5</v>
      </c>
      <c r="K125">
        <v>101.7</v>
      </c>
      <c r="L125">
        <v>101.7</v>
      </c>
      <c r="M125">
        <v>101.7</v>
      </c>
      <c r="N125">
        <v>101.7</v>
      </c>
      <c r="O125">
        <v>101.6</v>
      </c>
      <c r="P125" t="s">
        <v>670</v>
      </c>
    </row>
    <row r="126" spans="2:17">
      <c r="B126" t="s">
        <v>706</v>
      </c>
    </row>
    <row r="127" spans="2:17">
      <c r="B127" t="s">
        <v>705</v>
      </c>
      <c r="C127">
        <v>94</v>
      </c>
      <c r="D127">
        <v>130.4</v>
      </c>
      <c r="E127">
        <v>187.9</v>
      </c>
      <c r="H127">
        <v>267.2</v>
      </c>
      <c r="J127">
        <v>230.7</v>
      </c>
      <c r="K127">
        <v>165</v>
      </c>
      <c r="L127">
        <v>124.7</v>
      </c>
      <c r="M127">
        <v>89</v>
      </c>
      <c r="N127">
        <v>72.400000000000006</v>
      </c>
    </row>
    <row r="128" spans="2:17">
      <c r="B128" t="s">
        <v>704</v>
      </c>
      <c r="C128">
        <v>11.2</v>
      </c>
      <c r="D128">
        <v>16.8</v>
      </c>
      <c r="E128">
        <v>22.9</v>
      </c>
      <c r="F128">
        <v>27.7</v>
      </c>
      <c r="G128">
        <v>31.1</v>
      </c>
      <c r="H128">
        <v>31.7</v>
      </c>
      <c r="I128">
        <v>30.5</v>
      </c>
      <c r="J128">
        <v>27.3</v>
      </c>
      <c r="K128">
        <v>23.4</v>
      </c>
      <c r="L128">
        <v>17.7</v>
      </c>
      <c r="M128">
        <v>11.9</v>
      </c>
      <c r="N128">
        <v>8.3000000000000007</v>
      </c>
    </row>
    <row r="129" spans="2:17">
      <c r="B129" t="s">
        <v>697</v>
      </c>
      <c r="C129" t="s">
        <v>696</v>
      </c>
      <c r="D129" t="s">
        <v>703</v>
      </c>
      <c r="E129" t="s">
        <v>702</v>
      </c>
      <c r="F129" t="s">
        <v>701</v>
      </c>
      <c r="G129" t="s">
        <v>700</v>
      </c>
      <c r="H129" t="s">
        <v>699</v>
      </c>
      <c r="I129" s="599">
        <v>34608</v>
      </c>
      <c r="J129" s="599">
        <v>33970</v>
      </c>
      <c r="K129" s="599">
        <v>34912</v>
      </c>
      <c r="L129" s="599">
        <v>33635</v>
      </c>
      <c r="M129" s="599">
        <v>34700</v>
      </c>
      <c r="N129" s="599">
        <v>34001</v>
      </c>
      <c r="O129" s="599">
        <v>32509</v>
      </c>
      <c r="Q129" t="s">
        <v>687</v>
      </c>
    </row>
    <row r="130" spans="2:17">
      <c r="B130" t="s">
        <v>698</v>
      </c>
      <c r="C130">
        <v>6</v>
      </c>
      <c r="D130">
        <v>8.6</v>
      </c>
      <c r="E130">
        <v>13</v>
      </c>
      <c r="F130">
        <v>14.5</v>
      </c>
      <c r="G130">
        <v>13.7</v>
      </c>
      <c r="H130">
        <v>14.5</v>
      </c>
      <c r="I130">
        <v>15</v>
      </c>
      <c r="J130">
        <v>12.6</v>
      </c>
      <c r="K130">
        <v>10.7</v>
      </c>
      <c r="L130">
        <v>8.1</v>
      </c>
      <c r="M130">
        <v>5.2</v>
      </c>
      <c r="N130">
        <v>4.3</v>
      </c>
    </row>
    <row r="131" spans="2:17">
      <c r="B131" t="s">
        <v>697</v>
      </c>
      <c r="C131" t="s">
        <v>696</v>
      </c>
      <c r="D131" t="s">
        <v>695</v>
      </c>
      <c r="E131" t="s">
        <v>694</v>
      </c>
      <c r="F131" t="s">
        <v>693</v>
      </c>
      <c r="G131" t="s">
        <v>692</v>
      </c>
      <c r="H131" t="s">
        <v>691</v>
      </c>
      <c r="I131" s="599">
        <v>33725</v>
      </c>
      <c r="J131" s="599">
        <v>34090</v>
      </c>
      <c r="K131" s="599">
        <v>32813</v>
      </c>
      <c r="L131" t="s">
        <v>690</v>
      </c>
      <c r="M131" s="599">
        <v>34090</v>
      </c>
      <c r="N131" t="s">
        <v>689</v>
      </c>
      <c r="O131" t="s">
        <v>688</v>
      </c>
      <c r="Q131" t="s">
        <v>687</v>
      </c>
    </row>
    <row r="132" spans="2:17">
      <c r="B132" t="s">
        <v>686</v>
      </c>
    </row>
    <row r="133" spans="2:17">
      <c r="B133" t="s">
        <v>685</v>
      </c>
      <c r="C133">
        <v>7.6</v>
      </c>
      <c r="D133">
        <v>6.8</v>
      </c>
      <c r="E133">
        <v>9.1</v>
      </c>
      <c r="F133">
        <v>3.3</v>
      </c>
      <c r="G133">
        <v>1.3</v>
      </c>
      <c r="H133">
        <v>0.8</v>
      </c>
      <c r="I133">
        <v>0.2</v>
      </c>
      <c r="J133">
        <v>0.8</v>
      </c>
      <c r="K133">
        <v>1.8</v>
      </c>
      <c r="L133">
        <v>4.9000000000000004</v>
      </c>
      <c r="M133">
        <v>4.3</v>
      </c>
      <c r="N133">
        <v>7.1</v>
      </c>
      <c r="O133">
        <v>47.9</v>
      </c>
      <c r="P133" t="s">
        <v>678</v>
      </c>
    </row>
    <row r="134" spans="2:17">
      <c r="B134" t="s">
        <v>684</v>
      </c>
      <c r="C134">
        <v>145.69999999999999</v>
      </c>
      <c r="D134">
        <v>113.7</v>
      </c>
      <c r="E134">
        <v>90.7</v>
      </c>
      <c r="F134">
        <v>56.8</v>
      </c>
      <c r="G134">
        <v>36.5</v>
      </c>
      <c r="H134">
        <v>39.5</v>
      </c>
      <c r="I134">
        <v>36.5</v>
      </c>
      <c r="J134">
        <v>49.2</v>
      </c>
      <c r="K134">
        <v>42.4</v>
      </c>
      <c r="L134">
        <v>60.1</v>
      </c>
      <c r="M134">
        <v>98.5</v>
      </c>
      <c r="N134">
        <v>136.6</v>
      </c>
      <c r="O134">
        <v>906.3</v>
      </c>
      <c r="P134" t="s">
        <v>678</v>
      </c>
    </row>
    <row r="135" spans="2:17">
      <c r="B135" t="s">
        <v>683</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678</v>
      </c>
    </row>
    <row r="136" spans="2:17">
      <c r="B136" t="s">
        <v>682</v>
      </c>
    </row>
    <row r="137" spans="2:17">
      <c r="B137" t="s">
        <v>681</v>
      </c>
      <c r="C137">
        <v>182.3</v>
      </c>
      <c r="D137">
        <v>194</v>
      </c>
      <c r="E137">
        <v>220</v>
      </c>
      <c r="F137">
        <v>181.7</v>
      </c>
      <c r="G137">
        <v>181.4</v>
      </c>
      <c r="H137">
        <v>180.4</v>
      </c>
      <c r="I137">
        <v>196.9</v>
      </c>
      <c r="J137">
        <v>209.1</v>
      </c>
      <c r="K137">
        <v>219.4</v>
      </c>
      <c r="L137">
        <v>188.3</v>
      </c>
      <c r="M137">
        <v>130.30000000000001</v>
      </c>
      <c r="N137">
        <v>155.19999999999999</v>
      </c>
      <c r="O137">
        <v>2239.1</v>
      </c>
      <c r="P137" t="s">
        <v>678</v>
      </c>
    </row>
    <row r="138" spans="2:17">
      <c r="B138" t="s">
        <v>680</v>
      </c>
      <c r="C138">
        <v>94.4</v>
      </c>
      <c r="D138">
        <v>96.1</v>
      </c>
      <c r="E138">
        <v>103.4</v>
      </c>
      <c r="F138">
        <v>121.1</v>
      </c>
      <c r="G138">
        <v>152.80000000000001</v>
      </c>
      <c r="H138">
        <v>178.7</v>
      </c>
      <c r="I138">
        <v>205.3</v>
      </c>
      <c r="J138">
        <v>204.7</v>
      </c>
      <c r="K138">
        <v>158.19999999999999</v>
      </c>
      <c r="L138">
        <v>125.5</v>
      </c>
      <c r="M138">
        <v>102.7</v>
      </c>
      <c r="N138">
        <v>97</v>
      </c>
      <c r="O138">
        <v>1639.9</v>
      </c>
      <c r="P138" t="s">
        <v>678</v>
      </c>
    </row>
    <row r="139" spans="2:17">
      <c r="B139" t="s">
        <v>679</v>
      </c>
      <c r="C139">
        <v>467.3</v>
      </c>
      <c r="D139">
        <v>386.7</v>
      </c>
      <c r="E139">
        <v>420.6</v>
      </c>
      <c r="F139">
        <v>417.2</v>
      </c>
      <c r="G139">
        <v>409.8</v>
      </c>
      <c r="H139">
        <v>360.9</v>
      </c>
      <c r="I139">
        <v>341.9</v>
      </c>
      <c r="J139">
        <v>330.2</v>
      </c>
      <c r="K139">
        <v>342.5</v>
      </c>
      <c r="L139">
        <v>430.1</v>
      </c>
      <c r="M139">
        <v>487</v>
      </c>
      <c r="N139">
        <v>491.8</v>
      </c>
      <c r="O139">
        <v>4885.8999999999996</v>
      </c>
      <c r="P139" t="s">
        <v>678</v>
      </c>
    </row>
    <row r="141" spans="2:17">
      <c r="B141" t="s">
        <v>677</v>
      </c>
    </row>
    <row r="142" spans="2:17">
      <c r="C142" t="s">
        <v>676</v>
      </c>
      <c r="D142" t="s">
        <v>675</v>
      </c>
    </row>
    <row r="143" spans="2:17">
      <c r="B143" t="s">
        <v>674</v>
      </c>
      <c r="C143" s="598">
        <v>45045</v>
      </c>
      <c r="D143" t="s">
        <v>670</v>
      </c>
    </row>
    <row r="144" spans="2:17">
      <c r="B144" t="s">
        <v>673</v>
      </c>
      <c r="C144" s="598">
        <v>45211</v>
      </c>
      <c r="D144" t="s">
        <v>670</v>
      </c>
    </row>
    <row r="145" spans="2:10">
      <c r="B145" t="s">
        <v>672</v>
      </c>
      <c r="C145" t="s">
        <v>671</v>
      </c>
      <c r="D145" t="s">
        <v>670</v>
      </c>
    </row>
    <row r="146" spans="2:10">
      <c r="B146" t="s">
        <v>669</v>
      </c>
      <c r="C146" s="597">
        <v>0.1</v>
      </c>
      <c r="D146" s="597">
        <v>0.25</v>
      </c>
      <c r="E146" s="597">
        <v>0.33</v>
      </c>
      <c r="F146" s="597">
        <v>0.5</v>
      </c>
      <c r="G146" s="597">
        <v>0.66</v>
      </c>
      <c r="H146" s="597">
        <v>0.75</v>
      </c>
      <c r="I146" s="597">
        <v>0.9</v>
      </c>
    </row>
    <row r="147" spans="2:10">
      <c r="B147" t="s">
        <v>663</v>
      </c>
      <c r="C147" s="598">
        <v>45061</v>
      </c>
      <c r="D147" s="598">
        <v>45054</v>
      </c>
      <c r="E147" s="598">
        <v>45052</v>
      </c>
      <c r="F147" t="s">
        <v>668</v>
      </c>
      <c r="G147" t="s">
        <v>667</v>
      </c>
      <c r="H147" t="s">
        <v>666</v>
      </c>
      <c r="I147" t="s">
        <v>665</v>
      </c>
    </row>
    <row r="148" spans="2:10">
      <c r="B148" t="s">
        <v>664</v>
      </c>
      <c r="C148" s="597">
        <v>0.1</v>
      </c>
      <c r="D148" s="597">
        <v>0.25</v>
      </c>
      <c r="E148" s="597">
        <v>0.33</v>
      </c>
      <c r="F148" s="597">
        <v>0.5</v>
      </c>
      <c r="G148" s="597">
        <v>0.66</v>
      </c>
      <c r="H148" s="597">
        <v>0.75</v>
      </c>
      <c r="I148" s="597">
        <v>0.9</v>
      </c>
    </row>
    <row r="149" spans="2:10">
      <c r="B149" t="s">
        <v>663</v>
      </c>
      <c r="C149" t="s">
        <v>662</v>
      </c>
      <c r="D149" t="s">
        <v>661</v>
      </c>
      <c r="E149" t="s">
        <v>660</v>
      </c>
      <c r="F149" t="s">
        <v>659</v>
      </c>
      <c r="G149" t="s">
        <v>658</v>
      </c>
      <c r="H149" t="s">
        <v>657</v>
      </c>
      <c r="I149" t="s">
        <v>656</v>
      </c>
    </row>
    <row r="150" spans="2:10">
      <c r="B150" t="s">
        <v>655</v>
      </c>
      <c r="C150" t="s">
        <v>654</v>
      </c>
      <c r="D150" s="597">
        <v>0.1</v>
      </c>
      <c r="E150" s="597">
        <v>0.25</v>
      </c>
      <c r="F150" s="597">
        <v>0.33</v>
      </c>
      <c r="G150" s="597">
        <v>0.5</v>
      </c>
      <c r="H150" s="597">
        <v>0.66</v>
      </c>
      <c r="I150" s="597">
        <v>0.75</v>
      </c>
      <c r="J150" s="597">
        <v>0.9</v>
      </c>
    </row>
    <row r="151" spans="2:10">
      <c r="B151" t="s">
        <v>653</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7BA1-177F-41D4-BB13-C7B5A500595F}">
  <dimension ref="B2:Q9056"/>
  <sheetViews>
    <sheetView workbookViewId="0"/>
  </sheetViews>
  <sheetFormatPr baseColWidth="10" defaultRowHeight="15"/>
  <cols>
    <col min="1" max="1" width="4.5703125" customWidth="1"/>
    <col min="2" max="2" width="10.42578125" bestFit="1" customWidth="1"/>
    <col min="3" max="3" width="10.42578125" customWidth="1"/>
    <col min="4" max="4" width="16.85546875" style="242" bestFit="1" customWidth="1"/>
    <col min="5" max="5" width="21.85546875" bestFit="1" customWidth="1"/>
    <col min="14" max="14" width="12.42578125" bestFit="1" customWidth="1"/>
    <col min="15" max="15" width="14.5703125" style="242" bestFit="1" customWidth="1"/>
    <col min="16" max="16" width="15.5703125" bestFit="1" customWidth="1"/>
  </cols>
  <sheetData>
    <row r="2" spans="2:17" ht="21">
      <c r="B2" s="1072" t="s">
        <v>1857</v>
      </c>
      <c r="C2" s="1072"/>
    </row>
    <row r="3" spans="2:17">
      <c r="B3" s="243" t="s">
        <v>1858</v>
      </c>
      <c r="C3" s="243"/>
      <c r="D3" s="1116" t="s">
        <v>1856</v>
      </c>
      <c r="E3" s="243"/>
    </row>
    <row r="4" spans="2:17">
      <c r="B4" s="243"/>
      <c r="C4" s="243"/>
      <c r="D4" s="1116"/>
      <c r="E4" s="243"/>
    </row>
    <row r="5" spans="2:17" ht="28.5" customHeight="1">
      <c r="B5" s="2406" t="s">
        <v>1876</v>
      </c>
      <c r="C5" s="2407"/>
      <c r="D5" s="2407"/>
      <c r="E5" s="2407"/>
      <c r="F5" s="2407"/>
      <c r="G5" s="2407"/>
      <c r="H5" s="2407"/>
      <c r="I5" s="2407"/>
      <c r="J5" s="2408"/>
    </row>
    <row r="6" spans="2:17" ht="28.5" customHeight="1">
      <c r="B6" s="2409"/>
      <c r="C6" s="2410"/>
      <c r="D6" s="2410"/>
      <c r="E6" s="2410"/>
      <c r="F6" s="2410"/>
      <c r="G6" s="2410"/>
      <c r="H6" s="2410"/>
      <c r="I6" s="2410"/>
      <c r="J6" s="2411"/>
    </row>
    <row r="7" spans="2:17">
      <c r="D7" s="691"/>
    </row>
    <row r="8" spans="2:17" ht="16.350000000000001" customHeight="1">
      <c r="B8" s="490" t="s">
        <v>663</v>
      </c>
      <c r="C8" s="490" t="s">
        <v>1859</v>
      </c>
      <c r="D8" s="1117" t="s">
        <v>1834</v>
      </c>
      <c r="E8" s="1117" t="s">
        <v>1835</v>
      </c>
      <c r="N8" s="2412" t="s">
        <v>1875</v>
      </c>
      <c r="O8" s="2413"/>
      <c r="P8" s="1117" t="s">
        <v>1835</v>
      </c>
    </row>
    <row r="9" spans="2:17">
      <c r="B9" s="1115">
        <v>44927</v>
      </c>
      <c r="C9" s="242">
        <f>MONTH(B9)</f>
        <v>1</v>
      </c>
      <c r="D9" s="242">
        <v>44.8</v>
      </c>
      <c r="E9" s="845">
        <f>CONVERT(D9,"F","C")</f>
        <v>7.1111111111111089</v>
      </c>
      <c r="N9" t="s">
        <v>1860</v>
      </c>
      <c r="O9" s="1121">
        <v>1</v>
      </c>
      <c r="P9" s="845">
        <f>AVERAGEIF($C$9:$C$8960,O9,$E$9:$E$8960)</f>
        <v>4.8354241338112312</v>
      </c>
      <c r="Q9" s="1115">
        <v>44941</v>
      </c>
    </row>
    <row r="10" spans="2:17">
      <c r="B10" s="1115">
        <v>44927</v>
      </c>
      <c r="C10" s="242">
        <f t="shared" ref="C10:C73" si="0">MONTH(B10)</f>
        <v>1</v>
      </c>
      <c r="D10" s="242">
        <v>45.1</v>
      </c>
      <c r="E10" s="845">
        <f t="shared" ref="E10:E73" si="1">CONVERT(D10,"F","C")</f>
        <v>7.2777777777777786</v>
      </c>
      <c r="N10" t="s">
        <v>1861</v>
      </c>
      <c r="O10" s="1121">
        <v>2</v>
      </c>
      <c r="P10" s="845">
        <f t="shared" ref="P10:P20" si="2">AVERAGEIF($C$9:$C$8960,O10,$E$9:$E$8960)</f>
        <v>4.0925649942043343</v>
      </c>
      <c r="Q10" s="1115">
        <v>44972</v>
      </c>
    </row>
    <row r="11" spans="2:17">
      <c r="B11" s="1115">
        <v>44927</v>
      </c>
      <c r="C11" s="242">
        <f t="shared" si="0"/>
        <v>1</v>
      </c>
      <c r="D11" s="242">
        <v>44.6</v>
      </c>
      <c r="E11" s="845">
        <f t="shared" si="1"/>
        <v>7.0000000000000009</v>
      </c>
      <c r="N11" t="s">
        <v>1862</v>
      </c>
      <c r="O11" s="1121">
        <v>3</v>
      </c>
      <c r="P11" s="845">
        <f t="shared" si="2"/>
        <v>4.1695788530465903</v>
      </c>
      <c r="Q11" s="1115">
        <v>45000</v>
      </c>
    </row>
    <row r="12" spans="2:17">
      <c r="B12" s="1115">
        <v>44927</v>
      </c>
      <c r="C12" s="242">
        <f t="shared" si="0"/>
        <v>1</v>
      </c>
      <c r="D12" s="242">
        <v>44.6</v>
      </c>
      <c r="E12" s="845">
        <f t="shared" si="1"/>
        <v>7.0000000000000009</v>
      </c>
      <c r="N12" t="s">
        <v>1863</v>
      </c>
      <c r="O12" s="1121">
        <v>4</v>
      </c>
      <c r="P12" s="845">
        <f t="shared" si="2"/>
        <v>7.3585920479302782</v>
      </c>
      <c r="Q12" s="1115">
        <v>45031</v>
      </c>
    </row>
    <row r="13" spans="2:17">
      <c r="B13" s="1115">
        <v>44927</v>
      </c>
      <c r="C13" s="242">
        <f t="shared" si="0"/>
        <v>1</v>
      </c>
      <c r="D13" s="242">
        <v>43.7</v>
      </c>
      <c r="E13" s="845">
        <f t="shared" si="1"/>
        <v>6.5000000000000018</v>
      </c>
      <c r="N13" t="s">
        <v>1864</v>
      </c>
      <c r="O13" s="1121">
        <v>5</v>
      </c>
      <c r="P13" s="845">
        <f t="shared" si="2"/>
        <v>10.853276353276362</v>
      </c>
      <c r="Q13" s="1115">
        <v>45061</v>
      </c>
    </row>
    <row r="14" spans="2:17">
      <c r="B14" s="1115">
        <v>44927</v>
      </c>
      <c r="C14" s="242">
        <f t="shared" si="0"/>
        <v>1</v>
      </c>
      <c r="D14" s="242">
        <v>42.1</v>
      </c>
      <c r="E14" s="845">
        <f t="shared" si="1"/>
        <v>5.6111111111111116</v>
      </c>
      <c r="N14" t="s">
        <v>1865</v>
      </c>
      <c r="O14" s="1121">
        <v>6</v>
      </c>
      <c r="P14" s="845">
        <f t="shared" si="2"/>
        <v>15.13395061728396</v>
      </c>
      <c r="Q14" s="1115">
        <v>45092</v>
      </c>
    </row>
    <row r="15" spans="2:17">
      <c r="B15" s="1115">
        <v>44927</v>
      </c>
      <c r="C15" s="242">
        <f t="shared" si="0"/>
        <v>1</v>
      </c>
      <c r="D15" s="242">
        <v>40.799999999999997</v>
      </c>
      <c r="E15" s="845">
        <f t="shared" si="1"/>
        <v>4.8888888888888875</v>
      </c>
      <c r="N15" t="s">
        <v>1866</v>
      </c>
      <c r="O15" s="1121">
        <v>7</v>
      </c>
      <c r="P15" s="845">
        <f t="shared" si="2"/>
        <v>17.649394347240921</v>
      </c>
      <c r="Q15" s="1115">
        <v>45122</v>
      </c>
    </row>
    <row r="16" spans="2:17">
      <c r="B16" s="1115">
        <v>44927</v>
      </c>
      <c r="C16" s="242">
        <f t="shared" si="0"/>
        <v>1</v>
      </c>
      <c r="D16" s="242">
        <v>40.299999999999997</v>
      </c>
      <c r="E16" s="845">
        <f t="shared" si="1"/>
        <v>4.6111111111111098</v>
      </c>
      <c r="N16" t="s">
        <v>1867</v>
      </c>
      <c r="O16" s="1121">
        <v>8</v>
      </c>
      <c r="P16" s="845">
        <f t="shared" si="2"/>
        <v>16.91450119474311</v>
      </c>
      <c r="Q16" s="1115">
        <v>45153</v>
      </c>
    </row>
    <row r="17" spans="2:17">
      <c r="B17" s="1115">
        <v>44927</v>
      </c>
      <c r="C17" s="242">
        <f t="shared" si="0"/>
        <v>1</v>
      </c>
      <c r="D17" s="242">
        <v>40.799999999999997</v>
      </c>
      <c r="E17" s="845">
        <f t="shared" si="1"/>
        <v>4.8888888888888875</v>
      </c>
      <c r="N17" t="s">
        <v>1868</v>
      </c>
      <c r="O17" s="1121">
        <v>9</v>
      </c>
      <c r="P17" s="845">
        <f t="shared" si="2"/>
        <v>17.841435185185166</v>
      </c>
      <c r="Q17" s="1115">
        <v>45184</v>
      </c>
    </row>
    <row r="18" spans="2:17">
      <c r="B18" s="1115">
        <v>44927</v>
      </c>
      <c r="C18" s="242">
        <f t="shared" si="0"/>
        <v>1</v>
      </c>
      <c r="D18" s="242">
        <v>41.9</v>
      </c>
      <c r="E18" s="845">
        <f t="shared" si="1"/>
        <v>5.4999999999999991</v>
      </c>
      <c r="N18" t="s">
        <v>1869</v>
      </c>
      <c r="O18" s="1121">
        <v>10</v>
      </c>
      <c r="P18" s="845">
        <f t="shared" si="2"/>
        <v>14.65322580645161</v>
      </c>
      <c r="Q18" s="1115">
        <v>45214</v>
      </c>
    </row>
    <row r="19" spans="2:17">
      <c r="B19" s="1115">
        <v>44927</v>
      </c>
      <c r="C19" s="242">
        <f t="shared" si="0"/>
        <v>1</v>
      </c>
      <c r="D19" s="242">
        <v>43.7</v>
      </c>
      <c r="E19" s="845">
        <f t="shared" si="1"/>
        <v>6.5000000000000018</v>
      </c>
      <c r="N19" t="s">
        <v>1870</v>
      </c>
      <c r="O19" s="1121">
        <v>11</v>
      </c>
      <c r="P19" s="845">
        <f t="shared" si="2"/>
        <v>10.16211419753088</v>
      </c>
      <c r="Q19" s="1115">
        <v>45245</v>
      </c>
    </row>
    <row r="20" spans="2:17">
      <c r="B20" s="1115">
        <v>44927</v>
      </c>
      <c r="C20" s="242">
        <f t="shared" si="0"/>
        <v>1</v>
      </c>
      <c r="D20" s="242">
        <v>44.4</v>
      </c>
      <c r="E20" s="845">
        <f t="shared" si="1"/>
        <v>6.8888888888888875</v>
      </c>
      <c r="N20" t="s">
        <v>1871</v>
      </c>
      <c r="O20" s="1121">
        <v>12</v>
      </c>
      <c r="P20" s="845">
        <f t="shared" si="2"/>
        <v>7.0049283154121769</v>
      </c>
      <c r="Q20" s="1115">
        <v>45275</v>
      </c>
    </row>
    <row r="21" spans="2:17">
      <c r="B21" s="1115">
        <v>44927</v>
      </c>
      <c r="C21" s="242">
        <f t="shared" si="0"/>
        <v>1</v>
      </c>
      <c r="D21" s="242" t="s">
        <v>1836</v>
      </c>
      <c r="E21" s="845">
        <f t="shared" si="1"/>
        <v>7.2222222222222223</v>
      </c>
    </row>
    <row r="22" spans="2:17">
      <c r="B22" s="1115">
        <v>44927</v>
      </c>
      <c r="C22" s="242">
        <f t="shared" si="0"/>
        <v>1</v>
      </c>
      <c r="D22" s="242">
        <v>45.1</v>
      </c>
      <c r="E22" s="845">
        <f t="shared" si="1"/>
        <v>7.2777777777777786</v>
      </c>
      <c r="N22" t="s">
        <v>563</v>
      </c>
      <c r="O22" s="242" t="s">
        <v>1873</v>
      </c>
      <c r="P22" s="1122">
        <f>AVERAGE(P19:P20, P9:P13)</f>
        <v>6.9252112707445503</v>
      </c>
      <c r="Q22" t="s">
        <v>16</v>
      </c>
    </row>
    <row r="23" spans="2:17">
      <c r="B23" s="1115">
        <v>44927</v>
      </c>
      <c r="C23" s="242">
        <f t="shared" si="0"/>
        <v>1</v>
      </c>
      <c r="D23" s="242">
        <v>45.3</v>
      </c>
      <c r="E23" s="845">
        <f t="shared" si="1"/>
        <v>7.3888888888888875</v>
      </c>
      <c r="N23" t="s">
        <v>1872</v>
      </c>
      <c r="O23" s="242" t="s">
        <v>1874</v>
      </c>
      <c r="P23" s="1122">
        <f>AVERAGE(P9:P20)</f>
        <v>10.889082170509718</v>
      </c>
      <c r="Q23" t="s">
        <v>16</v>
      </c>
    </row>
    <row r="24" spans="2:17">
      <c r="B24" s="1115">
        <v>44927</v>
      </c>
      <c r="C24" s="242">
        <f t="shared" si="0"/>
        <v>1</v>
      </c>
      <c r="D24" s="242">
        <v>45.1</v>
      </c>
      <c r="E24" s="845">
        <f t="shared" si="1"/>
        <v>7.2777777777777786</v>
      </c>
    </row>
    <row r="25" spans="2:17">
      <c r="B25" s="1115">
        <v>44927</v>
      </c>
      <c r="C25" s="242">
        <f t="shared" si="0"/>
        <v>1</v>
      </c>
      <c r="D25" s="242">
        <v>44.6</v>
      </c>
      <c r="E25" s="845">
        <f t="shared" si="1"/>
        <v>7.0000000000000009</v>
      </c>
    </row>
    <row r="26" spans="2:17">
      <c r="B26" s="1115">
        <v>44927</v>
      </c>
      <c r="C26" s="242">
        <f t="shared" si="0"/>
        <v>1</v>
      </c>
      <c r="D26" s="242">
        <v>43.2</v>
      </c>
      <c r="E26" s="845">
        <f t="shared" si="1"/>
        <v>6.2222222222222232</v>
      </c>
    </row>
    <row r="27" spans="2:17">
      <c r="B27" s="1115">
        <v>44927</v>
      </c>
      <c r="C27" s="242">
        <f t="shared" si="0"/>
        <v>1</v>
      </c>
      <c r="D27" s="242">
        <v>41.9</v>
      </c>
      <c r="E27" s="845">
        <f t="shared" si="1"/>
        <v>5.4999999999999991</v>
      </c>
    </row>
    <row r="28" spans="2:17">
      <c r="B28" s="1115">
        <v>44927</v>
      </c>
      <c r="C28" s="242">
        <f t="shared" si="0"/>
        <v>1</v>
      </c>
      <c r="D28" s="242">
        <v>41.2</v>
      </c>
      <c r="E28" s="845">
        <f t="shared" si="1"/>
        <v>5.1111111111111125</v>
      </c>
    </row>
    <row r="29" spans="2:17">
      <c r="B29" s="1115">
        <v>44927</v>
      </c>
      <c r="C29" s="242">
        <f t="shared" si="0"/>
        <v>1</v>
      </c>
      <c r="D29" s="242">
        <v>40.6</v>
      </c>
      <c r="E29" s="845">
        <f t="shared" si="1"/>
        <v>4.7777777777777786</v>
      </c>
    </row>
    <row r="30" spans="2:17">
      <c r="B30" s="1115">
        <v>44927</v>
      </c>
      <c r="C30" s="242">
        <f t="shared" si="0"/>
        <v>1</v>
      </c>
      <c r="D30" s="242" t="s">
        <v>1837</v>
      </c>
      <c r="E30" s="845">
        <f t="shared" si="1"/>
        <v>5</v>
      </c>
    </row>
    <row r="31" spans="2:17">
      <c r="B31" s="1115">
        <v>44927</v>
      </c>
      <c r="C31" s="242">
        <f t="shared" si="0"/>
        <v>1</v>
      </c>
      <c r="D31" s="242">
        <v>42.3</v>
      </c>
      <c r="E31" s="845">
        <f t="shared" si="1"/>
        <v>5.7222222222222205</v>
      </c>
    </row>
    <row r="32" spans="2:17">
      <c r="B32" s="1115">
        <v>44927</v>
      </c>
      <c r="C32" s="242">
        <f t="shared" si="0"/>
        <v>1</v>
      </c>
      <c r="D32" s="242">
        <v>44.1</v>
      </c>
      <c r="E32" s="845">
        <f t="shared" si="1"/>
        <v>6.7222222222222232</v>
      </c>
    </row>
    <row r="33" spans="2:7">
      <c r="B33" s="1115">
        <v>44928</v>
      </c>
      <c r="C33" s="242">
        <f t="shared" si="0"/>
        <v>1</v>
      </c>
      <c r="D33" s="242">
        <v>44.4</v>
      </c>
      <c r="E33" s="845">
        <f t="shared" si="1"/>
        <v>6.8888888888888875</v>
      </c>
    </row>
    <row r="34" spans="2:7">
      <c r="B34" s="1115">
        <v>44928</v>
      </c>
      <c r="C34" s="242">
        <f t="shared" si="0"/>
        <v>1</v>
      </c>
      <c r="D34" s="242">
        <v>44.6</v>
      </c>
      <c r="E34" s="845">
        <f t="shared" si="1"/>
        <v>7.0000000000000009</v>
      </c>
    </row>
    <row r="35" spans="2:7">
      <c r="B35" s="1115">
        <v>44928</v>
      </c>
      <c r="C35" s="242">
        <f t="shared" si="0"/>
        <v>1</v>
      </c>
      <c r="D35" s="242" t="s">
        <v>1836</v>
      </c>
      <c r="E35" s="845">
        <f t="shared" si="1"/>
        <v>7.2222222222222223</v>
      </c>
      <c r="G35" s="733"/>
    </row>
    <row r="36" spans="2:7">
      <c r="B36" s="1115">
        <v>44928</v>
      </c>
      <c r="C36" s="242">
        <f t="shared" si="0"/>
        <v>1</v>
      </c>
      <c r="D36" s="242">
        <v>44.6</v>
      </c>
      <c r="E36" s="845">
        <f t="shared" si="1"/>
        <v>7.0000000000000009</v>
      </c>
    </row>
    <row r="37" spans="2:7">
      <c r="B37" s="1115">
        <v>44928</v>
      </c>
      <c r="C37" s="242">
        <f t="shared" si="0"/>
        <v>1</v>
      </c>
      <c r="D37" s="242">
        <v>44.4</v>
      </c>
      <c r="E37" s="845">
        <f t="shared" si="1"/>
        <v>6.8888888888888875</v>
      </c>
    </row>
    <row r="38" spans="2:7">
      <c r="B38" s="1115">
        <v>44928</v>
      </c>
      <c r="C38" s="242">
        <f t="shared" si="0"/>
        <v>1</v>
      </c>
      <c r="D38" s="242">
        <v>43.5</v>
      </c>
      <c r="E38" s="845">
        <f t="shared" si="1"/>
        <v>6.3888888888888884</v>
      </c>
    </row>
    <row r="39" spans="2:7">
      <c r="B39" s="1115">
        <v>44928</v>
      </c>
      <c r="C39" s="242">
        <f t="shared" si="0"/>
        <v>1</v>
      </c>
      <c r="D39" s="242">
        <v>42.1</v>
      </c>
      <c r="E39" s="845">
        <f t="shared" si="1"/>
        <v>5.6111111111111116</v>
      </c>
    </row>
    <row r="40" spans="2:7">
      <c r="B40" s="1115">
        <v>44928</v>
      </c>
      <c r="C40" s="242">
        <f t="shared" si="0"/>
        <v>1</v>
      </c>
      <c r="D40" s="242">
        <v>41.2</v>
      </c>
      <c r="E40" s="845">
        <f t="shared" si="1"/>
        <v>5.1111111111111125</v>
      </c>
    </row>
    <row r="41" spans="2:7">
      <c r="B41" s="1115">
        <v>44928</v>
      </c>
      <c r="C41" s="242">
        <f t="shared" si="0"/>
        <v>1</v>
      </c>
      <c r="D41" s="242">
        <v>40.799999999999997</v>
      </c>
      <c r="E41" s="845">
        <f t="shared" si="1"/>
        <v>4.8888888888888875</v>
      </c>
    </row>
    <row r="42" spans="2:7">
      <c r="B42" s="1115">
        <v>44928</v>
      </c>
      <c r="C42" s="242">
        <f t="shared" si="0"/>
        <v>1</v>
      </c>
      <c r="D42" s="242" t="s">
        <v>1837</v>
      </c>
      <c r="E42" s="845">
        <f t="shared" si="1"/>
        <v>5</v>
      </c>
    </row>
    <row r="43" spans="2:7">
      <c r="B43" s="1115">
        <v>44928</v>
      </c>
      <c r="C43" s="242">
        <f t="shared" si="0"/>
        <v>1</v>
      </c>
      <c r="D43" s="242">
        <v>42.6</v>
      </c>
      <c r="E43" s="845">
        <f t="shared" si="1"/>
        <v>5.8888888888888893</v>
      </c>
    </row>
    <row r="44" spans="2:7">
      <c r="B44" s="1115">
        <v>44928</v>
      </c>
      <c r="C44" s="242">
        <f t="shared" si="0"/>
        <v>1</v>
      </c>
      <c r="D44" s="242">
        <v>43.3</v>
      </c>
      <c r="E44" s="845">
        <f t="shared" si="1"/>
        <v>6.2777777777777759</v>
      </c>
    </row>
    <row r="45" spans="2:7">
      <c r="B45" s="1115">
        <v>44928</v>
      </c>
      <c r="C45" s="242">
        <f t="shared" si="0"/>
        <v>1</v>
      </c>
      <c r="D45" s="242">
        <v>43.9</v>
      </c>
      <c r="E45" s="845">
        <f t="shared" si="1"/>
        <v>6.6111111111111098</v>
      </c>
    </row>
    <row r="46" spans="2:7">
      <c r="B46" s="1115">
        <v>44928</v>
      </c>
      <c r="C46" s="242">
        <f t="shared" si="0"/>
        <v>1</v>
      </c>
      <c r="D46" s="242">
        <v>44.2</v>
      </c>
      <c r="E46" s="845">
        <f t="shared" si="1"/>
        <v>6.7777777777777795</v>
      </c>
    </row>
    <row r="47" spans="2:7">
      <c r="B47" s="1115">
        <v>44928</v>
      </c>
      <c r="C47" s="242">
        <f t="shared" si="0"/>
        <v>1</v>
      </c>
      <c r="D47" s="242">
        <v>44.4</v>
      </c>
      <c r="E47" s="845">
        <f t="shared" si="1"/>
        <v>6.8888888888888875</v>
      </c>
    </row>
    <row r="48" spans="2:7">
      <c r="B48" s="1115">
        <v>44928</v>
      </c>
      <c r="C48" s="242">
        <f t="shared" si="0"/>
        <v>1</v>
      </c>
      <c r="D48" s="242">
        <v>44.2</v>
      </c>
      <c r="E48" s="845">
        <f t="shared" si="1"/>
        <v>6.7777777777777795</v>
      </c>
    </row>
    <row r="49" spans="2:5">
      <c r="B49" s="1115">
        <v>44928</v>
      </c>
      <c r="C49" s="242">
        <f t="shared" si="0"/>
        <v>1</v>
      </c>
      <c r="D49" s="242">
        <v>44.4</v>
      </c>
      <c r="E49" s="845">
        <f t="shared" si="1"/>
        <v>6.8888888888888875</v>
      </c>
    </row>
    <row r="50" spans="2:5">
      <c r="B50" s="1115">
        <v>44928</v>
      </c>
      <c r="C50" s="242">
        <f t="shared" si="0"/>
        <v>1</v>
      </c>
      <c r="D50" s="242">
        <v>43.9</v>
      </c>
      <c r="E50" s="845">
        <f t="shared" si="1"/>
        <v>6.6111111111111098</v>
      </c>
    </row>
    <row r="51" spans="2:5">
      <c r="B51" s="1115">
        <v>44928</v>
      </c>
      <c r="C51" s="242">
        <f t="shared" si="0"/>
        <v>1</v>
      </c>
      <c r="D51" s="242">
        <v>42.8</v>
      </c>
      <c r="E51" s="845">
        <f t="shared" si="1"/>
        <v>5.9999999999999982</v>
      </c>
    </row>
    <row r="52" spans="2:5">
      <c r="B52" s="1115">
        <v>44928</v>
      </c>
      <c r="C52" s="242">
        <f t="shared" si="0"/>
        <v>1</v>
      </c>
      <c r="D52" s="242">
        <v>41.9</v>
      </c>
      <c r="E52" s="845">
        <f t="shared" si="1"/>
        <v>5.4999999999999991</v>
      </c>
    </row>
    <row r="53" spans="2:5">
      <c r="B53" s="1115">
        <v>44928</v>
      </c>
      <c r="C53" s="242">
        <f t="shared" si="0"/>
        <v>1</v>
      </c>
      <c r="D53" s="242">
        <v>41.2</v>
      </c>
      <c r="E53" s="845">
        <f t="shared" si="1"/>
        <v>5.1111111111111125</v>
      </c>
    </row>
    <row r="54" spans="2:5">
      <c r="B54" s="1115">
        <v>44928</v>
      </c>
      <c r="C54" s="242">
        <f t="shared" si="0"/>
        <v>1</v>
      </c>
      <c r="D54" s="242">
        <v>40.799999999999997</v>
      </c>
      <c r="E54" s="845">
        <f t="shared" si="1"/>
        <v>4.8888888888888875</v>
      </c>
    </row>
    <row r="55" spans="2:5">
      <c r="B55" s="1115">
        <v>44928</v>
      </c>
      <c r="C55" s="242">
        <f t="shared" si="0"/>
        <v>1</v>
      </c>
      <c r="D55" s="242">
        <v>41.2</v>
      </c>
      <c r="E55" s="845">
        <f t="shared" si="1"/>
        <v>5.1111111111111125</v>
      </c>
    </row>
    <row r="56" spans="2:5">
      <c r="B56" s="1115">
        <v>44928</v>
      </c>
      <c r="C56" s="242">
        <f t="shared" si="0"/>
        <v>1</v>
      </c>
      <c r="D56" s="242">
        <v>42.4</v>
      </c>
      <c r="E56" s="845">
        <f t="shared" si="1"/>
        <v>5.7777777777777768</v>
      </c>
    </row>
    <row r="57" spans="2:5">
      <c r="B57" s="1115">
        <v>44929</v>
      </c>
      <c r="C57" s="242">
        <f t="shared" si="0"/>
        <v>1</v>
      </c>
      <c r="D57" s="242" t="s">
        <v>1838</v>
      </c>
      <c r="E57" s="845">
        <f t="shared" si="1"/>
        <v>6.1111111111111107</v>
      </c>
    </row>
    <row r="58" spans="2:5">
      <c r="B58" s="1115">
        <v>44929</v>
      </c>
      <c r="C58" s="242">
        <f t="shared" si="0"/>
        <v>1</v>
      </c>
      <c r="D58" s="242">
        <v>43.7</v>
      </c>
      <c r="E58" s="845">
        <f t="shared" si="1"/>
        <v>6.5000000000000018</v>
      </c>
    </row>
    <row r="59" spans="2:5">
      <c r="B59" s="1115">
        <v>44929</v>
      </c>
      <c r="C59" s="242">
        <f t="shared" si="0"/>
        <v>1</v>
      </c>
      <c r="D59" s="242">
        <v>44.1</v>
      </c>
      <c r="E59" s="845">
        <f t="shared" si="1"/>
        <v>6.7222222222222232</v>
      </c>
    </row>
    <row r="60" spans="2:5">
      <c r="B60" s="1115">
        <v>44929</v>
      </c>
      <c r="C60" s="242">
        <f t="shared" si="0"/>
        <v>1</v>
      </c>
      <c r="D60" s="242">
        <v>44.4</v>
      </c>
      <c r="E60" s="845">
        <f t="shared" si="1"/>
        <v>6.8888888888888875</v>
      </c>
    </row>
    <row r="61" spans="2:5">
      <c r="B61" s="1115">
        <v>44929</v>
      </c>
      <c r="C61" s="242">
        <f t="shared" si="0"/>
        <v>1</v>
      </c>
      <c r="D61" s="242">
        <v>43.9</v>
      </c>
      <c r="E61" s="845">
        <f t="shared" si="1"/>
        <v>6.6111111111111098</v>
      </c>
    </row>
    <row r="62" spans="2:5">
      <c r="B62" s="1115">
        <v>44929</v>
      </c>
      <c r="C62" s="242">
        <f t="shared" si="0"/>
        <v>1</v>
      </c>
      <c r="D62" s="242">
        <v>43.7</v>
      </c>
      <c r="E62" s="845">
        <f t="shared" si="1"/>
        <v>6.5000000000000018</v>
      </c>
    </row>
    <row r="63" spans="2:5">
      <c r="B63" s="1115">
        <v>44929</v>
      </c>
      <c r="C63" s="242">
        <f t="shared" si="0"/>
        <v>1</v>
      </c>
      <c r="D63" s="242">
        <v>43.2</v>
      </c>
      <c r="E63" s="845">
        <f t="shared" si="1"/>
        <v>6.2222222222222232</v>
      </c>
    </row>
    <row r="64" spans="2:5">
      <c r="B64" s="1115">
        <v>44929</v>
      </c>
      <c r="C64" s="242">
        <f t="shared" si="0"/>
        <v>1</v>
      </c>
      <c r="D64" s="242">
        <v>41.9</v>
      </c>
      <c r="E64" s="845">
        <f t="shared" si="1"/>
        <v>5.4999999999999991</v>
      </c>
    </row>
    <row r="65" spans="2:5">
      <c r="B65" s="1115">
        <v>44929</v>
      </c>
      <c r="C65" s="242">
        <f t="shared" si="0"/>
        <v>1</v>
      </c>
      <c r="D65" s="242">
        <v>41.2</v>
      </c>
      <c r="E65" s="845">
        <f t="shared" si="1"/>
        <v>5.1111111111111125</v>
      </c>
    </row>
    <row r="66" spans="2:5">
      <c r="B66" s="1115">
        <v>44929</v>
      </c>
      <c r="C66" s="242">
        <f t="shared" si="0"/>
        <v>1</v>
      </c>
      <c r="D66" s="242">
        <v>40.799999999999997</v>
      </c>
      <c r="E66" s="845">
        <f t="shared" si="1"/>
        <v>4.8888888888888875</v>
      </c>
    </row>
    <row r="67" spans="2:5">
      <c r="B67" s="1115">
        <v>44929</v>
      </c>
      <c r="C67" s="242">
        <f t="shared" si="0"/>
        <v>1</v>
      </c>
      <c r="D67" s="242" t="s">
        <v>1837</v>
      </c>
      <c r="E67" s="845">
        <f t="shared" si="1"/>
        <v>5</v>
      </c>
    </row>
    <row r="68" spans="2:5">
      <c r="B68" s="1115">
        <v>44929</v>
      </c>
      <c r="C68" s="242">
        <f t="shared" si="0"/>
        <v>1</v>
      </c>
      <c r="D68" s="242">
        <v>42.4</v>
      </c>
      <c r="E68" s="845">
        <f t="shared" si="1"/>
        <v>5.7777777777777768</v>
      </c>
    </row>
    <row r="69" spans="2:5">
      <c r="B69" s="1115">
        <v>44929</v>
      </c>
      <c r="C69" s="242">
        <f t="shared" si="0"/>
        <v>1</v>
      </c>
      <c r="D69" s="242">
        <v>43.2</v>
      </c>
      <c r="E69" s="845">
        <f t="shared" si="1"/>
        <v>6.2222222222222232</v>
      </c>
    </row>
    <row r="70" spans="2:5">
      <c r="B70" s="1115">
        <v>44929</v>
      </c>
      <c r="C70" s="242">
        <f t="shared" si="0"/>
        <v>1</v>
      </c>
      <c r="D70" s="242">
        <v>43.7</v>
      </c>
      <c r="E70" s="845">
        <f t="shared" si="1"/>
        <v>6.5000000000000018</v>
      </c>
    </row>
    <row r="71" spans="2:5">
      <c r="B71" s="1115">
        <v>44929</v>
      </c>
      <c r="C71" s="242">
        <f t="shared" si="0"/>
        <v>1</v>
      </c>
      <c r="D71" s="242">
        <v>44.4</v>
      </c>
      <c r="E71" s="845">
        <f t="shared" si="1"/>
        <v>6.8888888888888875</v>
      </c>
    </row>
    <row r="72" spans="2:5">
      <c r="B72" s="1115">
        <v>44929</v>
      </c>
      <c r="C72" s="242">
        <f t="shared" si="0"/>
        <v>1</v>
      </c>
      <c r="D72" s="242">
        <v>44.8</v>
      </c>
      <c r="E72" s="845">
        <f t="shared" si="1"/>
        <v>7.1111111111111089</v>
      </c>
    </row>
    <row r="73" spans="2:5">
      <c r="B73" s="1115">
        <v>44929</v>
      </c>
      <c r="C73" s="242">
        <f t="shared" si="0"/>
        <v>1</v>
      </c>
      <c r="D73" s="242">
        <v>44.6</v>
      </c>
      <c r="E73" s="845">
        <f t="shared" si="1"/>
        <v>7.0000000000000009</v>
      </c>
    </row>
    <row r="74" spans="2:5">
      <c r="B74" s="1115">
        <v>44929</v>
      </c>
      <c r="C74" s="242">
        <f t="shared" ref="C74:C137" si="3">MONTH(B74)</f>
        <v>1</v>
      </c>
      <c r="D74" s="242">
        <v>44.6</v>
      </c>
      <c r="E74" s="845">
        <f t="shared" ref="E74:E137" si="4">CONVERT(D74,"F","C")</f>
        <v>7.0000000000000009</v>
      </c>
    </row>
    <row r="75" spans="2:5">
      <c r="B75" s="1115">
        <v>44929</v>
      </c>
      <c r="C75" s="242">
        <f t="shared" si="3"/>
        <v>1</v>
      </c>
      <c r="D75" s="242">
        <v>43.9</v>
      </c>
      <c r="E75" s="845">
        <f t="shared" si="4"/>
        <v>6.6111111111111098</v>
      </c>
    </row>
    <row r="76" spans="2:5">
      <c r="B76" s="1115">
        <v>44929</v>
      </c>
      <c r="C76" s="242">
        <f t="shared" si="3"/>
        <v>1</v>
      </c>
      <c r="D76" s="242">
        <v>42.4</v>
      </c>
      <c r="E76" s="845">
        <f t="shared" si="4"/>
        <v>5.7777777777777768</v>
      </c>
    </row>
    <row r="77" spans="2:5">
      <c r="B77" s="1115">
        <v>44929</v>
      </c>
      <c r="C77" s="242">
        <f t="shared" si="3"/>
        <v>1</v>
      </c>
      <c r="D77" s="242">
        <v>41.5</v>
      </c>
      <c r="E77" s="845">
        <f t="shared" si="4"/>
        <v>5.2777777777777777</v>
      </c>
    </row>
    <row r="78" spans="2:5">
      <c r="B78" s="1115">
        <v>44929</v>
      </c>
      <c r="C78" s="242">
        <f t="shared" si="3"/>
        <v>1</v>
      </c>
      <c r="D78" s="242" t="s">
        <v>1837</v>
      </c>
      <c r="E78" s="845">
        <f t="shared" si="4"/>
        <v>5</v>
      </c>
    </row>
    <row r="79" spans="2:5">
      <c r="B79" s="1115">
        <v>44929</v>
      </c>
      <c r="C79" s="242">
        <f t="shared" si="3"/>
        <v>1</v>
      </c>
      <c r="D79" s="242">
        <v>40.6</v>
      </c>
      <c r="E79" s="845">
        <f t="shared" si="4"/>
        <v>4.7777777777777786</v>
      </c>
    </row>
    <row r="80" spans="2:5">
      <c r="B80" s="1115">
        <v>44929</v>
      </c>
      <c r="C80" s="242">
        <f t="shared" si="3"/>
        <v>1</v>
      </c>
      <c r="D80" s="242">
        <v>41.2</v>
      </c>
      <c r="E80" s="845">
        <f t="shared" si="4"/>
        <v>5.1111111111111125</v>
      </c>
    </row>
    <row r="81" spans="2:5">
      <c r="B81" s="1115">
        <v>44930</v>
      </c>
      <c r="C81" s="242">
        <f t="shared" si="3"/>
        <v>1</v>
      </c>
      <c r="D81" s="242">
        <v>42.4</v>
      </c>
      <c r="E81" s="845">
        <f t="shared" si="4"/>
        <v>5.7777777777777768</v>
      </c>
    </row>
    <row r="82" spans="2:5">
      <c r="B82" s="1115">
        <v>44930</v>
      </c>
      <c r="C82" s="242">
        <f t="shared" si="3"/>
        <v>1</v>
      </c>
      <c r="D82" s="242">
        <v>43.3</v>
      </c>
      <c r="E82" s="845">
        <f t="shared" si="4"/>
        <v>6.2777777777777759</v>
      </c>
    </row>
    <row r="83" spans="2:5">
      <c r="B83" s="1115">
        <v>44930</v>
      </c>
      <c r="C83" s="242">
        <f t="shared" si="3"/>
        <v>1</v>
      </c>
      <c r="D83" s="242">
        <v>44.2</v>
      </c>
      <c r="E83" s="845">
        <f t="shared" si="4"/>
        <v>6.7777777777777795</v>
      </c>
    </row>
    <row r="84" spans="2:5">
      <c r="B84" s="1115">
        <v>44930</v>
      </c>
      <c r="C84" s="242">
        <f t="shared" si="3"/>
        <v>1</v>
      </c>
      <c r="D84" s="242">
        <v>44.6</v>
      </c>
      <c r="E84" s="845">
        <f t="shared" si="4"/>
        <v>7.0000000000000009</v>
      </c>
    </row>
    <row r="85" spans="2:5">
      <c r="B85" s="1115">
        <v>44930</v>
      </c>
      <c r="C85" s="242">
        <f t="shared" si="3"/>
        <v>1</v>
      </c>
      <c r="D85" s="242">
        <v>45.1</v>
      </c>
      <c r="E85" s="845">
        <f t="shared" si="4"/>
        <v>7.2777777777777786</v>
      </c>
    </row>
    <row r="86" spans="2:5">
      <c r="B86" s="1115">
        <v>44930</v>
      </c>
      <c r="C86" s="242">
        <f t="shared" si="3"/>
        <v>1</v>
      </c>
      <c r="D86" s="242">
        <v>44.4</v>
      </c>
      <c r="E86" s="845">
        <f t="shared" si="4"/>
        <v>6.8888888888888875</v>
      </c>
    </row>
    <row r="87" spans="2:5">
      <c r="B87" s="1115">
        <v>44930</v>
      </c>
      <c r="C87" s="242">
        <f t="shared" si="3"/>
        <v>1</v>
      </c>
      <c r="D87" s="242">
        <v>44.1</v>
      </c>
      <c r="E87" s="845">
        <f t="shared" si="4"/>
        <v>6.7222222222222232</v>
      </c>
    </row>
    <row r="88" spans="2:5">
      <c r="B88" s="1115">
        <v>44930</v>
      </c>
      <c r="C88" s="242">
        <f t="shared" si="3"/>
        <v>1</v>
      </c>
      <c r="D88" s="242">
        <v>43.2</v>
      </c>
      <c r="E88" s="845">
        <f t="shared" si="4"/>
        <v>6.2222222222222232</v>
      </c>
    </row>
    <row r="89" spans="2:5">
      <c r="B89" s="1115">
        <v>44930</v>
      </c>
      <c r="C89" s="242">
        <f t="shared" si="3"/>
        <v>1</v>
      </c>
      <c r="D89" s="242">
        <v>42.1</v>
      </c>
      <c r="E89" s="845">
        <f t="shared" si="4"/>
        <v>5.6111111111111116</v>
      </c>
    </row>
    <row r="90" spans="2:5">
      <c r="B90" s="1115">
        <v>44930</v>
      </c>
      <c r="C90" s="242">
        <f t="shared" si="3"/>
        <v>1</v>
      </c>
      <c r="D90" s="242">
        <v>41.4</v>
      </c>
      <c r="E90" s="845">
        <f t="shared" si="4"/>
        <v>5.2222222222222214</v>
      </c>
    </row>
    <row r="91" spans="2:5">
      <c r="B91" s="1115">
        <v>44930</v>
      </c>
      <c r="C91" s="242">
        <f t="shared" si="3"/>
        <v>1</v>
      </c>
      <c r="D91" s="242" t="s">
        <v>1837</v>
      </c>
      <c r="E91" s="845">
        <f t="shared" si="4"/>
        <v>5</v>
      </c>
    </row>
    <row r="92" spans="2:5">
      <c r="B92" s="1115">
        <v>44930</v>
      </c>
      <c r="C92" s="242">
        <f t="shared" si="3"/>
        <v>1</v>
      </c>
      <c r="D92" s="242">
        <v>41.7</v>
      </c>
      <c r="E92" s="845">
        <f t="shared" si="4"/>
        <v>5.3888888888888902</v>
      </c>
    </row>
    <row r="93" spans="2:5">
      <c r="B93" s="1115">
        <v>44930</v>
      </c>
      <c r="C93" s="242">
        <f t="shared" si="3"/>
        <v>1</v>
      </c>
      <c r="D93" s="242" t="s">
        <v>1838</v>
      </c>
      <c r="E93" s="845">
        <f t="shared" si="4"/>
        <v>6.1111111111111107</v>
      </c>
    </row>
    <row r="94" spans="2:5">
      <c r="B94" s="1115">
        <v>44930</v>
      </c>
      <c r="C94" s="242">
        <f t="shared" si="3"/>
        <v>1</v>
      </c>
      <c r="D94" s="242">
        <v>43.7</v>
      </c>
      <c r="E94" s="845">
        <f t="shared" si="4"/>
        <v>6.5000000000000018</v>
      </c>
    </row>
    <row r="95" spans="2:5">
      <c r="B95" s="1115">
        <v>44930</v>
      </c>
      <c r="C95" s="242">
        <f t="shared" si="3"/>
        <v>1</v>
      </c>
      <c r="D95" s="242">
        <v>44.2</v>
      </c>
      <c r="E95" s="845">
        <f t="shared" si="4"/>
        <v>6.7777777777777795</v>
      </c>
    </row>
    <row r="96" spans="2:5">
      <c r="B96" s="1115">
        <v>44930</v>
      </c>
      <c r="C96" s="242">
        <f t="shared" si="3"/>
        <v>1</v>
      </c>
      <c r="D96" s="242">
        <v>44.8</v>
      </c>
      <c r="E96" s="845">
        <f t="shared" si="4"/>
        <v>7.1111111111111089</v>
      </c>
    </row>
    <row r="97" spans="2:5">
      <c r="B97" s="1115">
        <v>44930</v>
      </c>
      <c r="C97" s="242">
        <f t="shared" si="3"/>
        <v>1</v>
      </c>
      <c r="D97" s="242">
        <v>44.8</v>
      </c>
      <c r="E97" s="845">
        <f t="shared" si="4"/>
        <v>7.1111111111111089</v>
      </c>
    </row>
    <row r="98" spans="2:5">
      <c r="B98" s="1115">
        <v>44930</v>
      </c>
      <c r="C98" s="242">
        <f t="shared" si="3"/>
        <v>1</v>
      </c>
      <c r="D98" s="242">
        <v>44.8</v>
      </c>
      <c r="E98" s="845">
        <f t="shared" si="4"/>
        <v>7.1111111111111089</v>
      </c>
    </row>
    <row r="99" spans="2:5">
      <c r="B99" s="1115">
        <v>44930</v>
      </c>
      <c r="C99" s="242">
        <f t="shared" si="3"/>
        <v>1</v>
      </c>
      <c r="D99" s="242">
        <v>44.4</v>
      </c>
      <c r="E99" s="845">
        <f t="shared" si="4"/>
        <v>6.8888888888888875</v>
      </c>
    </row>
    <row r="100" spans="2:5">
      <c r="B100" s="1115">
        <v>44930</v>
      </c>
      <c r="C100" s="242">
        <f t="shared" si="3"/>
        <v>1</v>
      </c>
      <c r="D100" s="242">
        <v>43.7</v>
      </c>
      <c r="E100" s="845">
        <f t="shared" si="4"/>
        <v>6.5000000000000018</v>
      </c>
    </row>
    <row r="101" spans="2:5">
      <c r="B101" s="1115">
        <v>44930</v>
      </c>
      <c r="C101" s="242">
        <f t="shared" si="3"/>
        <v>1</v>
      </c>
      <c r="D101" s="242">
        <v>42.6</v>
      </c>
      <c r="E101" s="845">
        <f t="shared" si="4"/>
        <v>5.8888888888888893</v>
      </c>
    </row>
    <row r="102" spans="2:5">
      <c r="B102" s="1115">
        <v>44930</v>
      </c>
      <c r="C102" s="242">
        <f t="shared" si="3"/>
        <v>1</v>
      </c>
      <c r="D102" s="242">
        <v>41.9</v>
      </c>
      <c r="E102" s="845">
        <f t="shared" si="4"/>
        <v>5.4999999999999991</v>
      </c>
    </row>
    <row r="103" spans="2:5">
      <c r="B103" s="1115">
        <v>44930</v>
      </c>
      <c r="C103" s="242">
        <f t="shared" si="3"/>
        <v>1</v>
      </c>
      <c r="D103" s="242">
        <v>41.2</v>
      </c>
      <c r="E103" s="845">
        <f t="shared" si="4"/>
        <v>5.1111111111111125</v>
      </c>
    </row>
    <row r="104" spans="2:5">
      <c r="B104" s="1115">
        <v>44930</v>
      </c>
      <c r="C104" s="242">
        <f t="shared" si="3"/>
        <v>1</v>
      </c>
      <c r="D104" s="242" t="s">
        <v>1837</v>
      </c>
      <c r="E104" s="845">
        <f t="shared" si="4"/>
        <v>5</v>
      </c>
    </row>
    <row r="105" spans="2:5">
      <c r="B105" s="1115">
        <v>44931</v>
      </c>
      <c r="C105" s="242">
        <f t="shared" si="3"/>
        <v>1</v>
      </c>
      <c r="D105" s="242">
        <v>41.4</v>
      </c>
      <c r="E105" s="845">
        <f t="shared" si="4"/>
        <v>5.2222222222222214</v>
      </c>
    </row>
    <row r="106" spans="2:5">
      <c r="B106" s="1115">
        <v>44931</v>
      </c>
      <c r="C106" s="242">
        <f t="shared" si="3"/>
        <v>1</v>
      </c>
      <c r="D106" s="242" t="s">
        <v>1838</v>
      </c>
      <c r="E106" s="845">
        <f t="shared" si="4"/>
        <v>6.1111111111111107</v>
      </c>
    </row>
    <row r="107" spans="2:5">
      <c r="B107" s="1115">
        <v>44931</v>
      </c>
      <c r="C107" s="242">
        <f t="shared" si="3"/>
        <v>1</v>
      </c>
      <c r="D107" s="242">
        <v>43.3</v>
      </c>
      <c r="E107" s="845">
        <f t="shared" si="4"/>
        <v>6.2777777777777759</v>
      </c>
    </row>
    <row r="108" spans="2:5">
      <c r="B108" s="1115">
        <v>44931</v>
      </c>
      <c r="C108" s="242">
        <f t="shared" si="3"/>
        <v>1</v>
      </c>
      <c r="D108" s="242">
        <v>44.1</v>
      </c>
      <c r="E108" s="845">
        <f t="shared" si="4"/>
        <v>6.7222222222222232</v>
      </c>
    </row>
    <row r="109" spans="2:5">
      <c r="B109" s="1115">
        <v>44931</v>
      </c>
      <c r="C109" s="242">
        <f t="shared" si="3"/>
        <v>1</v>
      </c>
      <c r="D109" s="242">
        <v>44.6</v>
      </c>
      <c r="E109" s="845">
        <f t="shared" si="4"/>
        <v>7.0000000000000009</v>
      </c>
    </row>
    <row r="110" spans="2:5">
      <c r="B110" s="1115">
        <v>44931</v>
      </c>
      <c r="C110" s="242">
        <f t="shared" si="3"/>
        <v>1</v>
      </c>
      <c r="D110" s="242">
        <v>44.8</v>
      </c>
      <c r="E110" s="845">
        <f t="shared" si="4"/>
        <v>7.1111111111111089</v>
      </c>
    </row>
    <row r="111" spans="2:5">
      <c r="B111" s="1115">
        <v>44931</v>
      </c>
      <c r="C111" s="242">
        <f t="shared" si="3"/>
        <v>1</v>
      </c>
      <c r="D111" s="242">
        <v>44.4</v>
      </c>
      <c r="E111" s="845">
        <f t="shared" si="4"/>
        <v>6.8888888888888875</v>
      </c>
    </row>
    <row r="112" spans="2:5">
      <c r="B112" s="1115">
        <v>44931</v>
      </c>
      <c r="C112" s="242">
        <f t="shared" si="3"/>
        <v>1</v>
      </c>
      <c r="D112" s="242">
        <v>44.1</v>
      </c>
      <c r="E112" s="845">
        <f t="shared" si="4"/>
        <v>6.7222222222222232</v>
      </c>
    </row>
    <row r="113" spans="2:5">
      <c r="B113" s="1115">
        <v>44931</v>
      </c>
      <c r="C113" s="242">
        <f t="shared" si="3"/>
        <v>1</v>
      </c>
      <c r="D113" s="242">
        <v>43.3</v>
      </c>
      <c r="E113" s="845">
        <f t="shared" si="4"/>
        <v>6.2777777777777759</v>
      </c>
    </row>
    <row r="114" spans="2:5">
      <c r="B114" s="1115">
        <v>44931</v>
      </c>
      <c r="C114" s="242">
        <f t="shared" si="3"/>
        <v>1</v>
      </c>
      <c r="D114" s="242">
        <v>42.4</v>
      </c>
      <c r="E114" s="845">
        <f t="shared" si="4"/>
        <v>5.7777777777777768</v>
      </c>
    </row>
    <row r="115" spans="2:5">
      <c r="B115" s="1115">
        <v>44931</v>
      </c>
      <c r="C115" s="242">
        <f t="shared" si="3"/>
        <v>1</v>
      </c>
      <c r="D115" s="242">
        <v>41.9</v>
      </c>
      <c r="E115" s="845">
        <f t="shared" si="4"/>
        <v>5.4999999999999991</v>
      </c>
    </row>
    <row r="116" spans="2:5">
      <c r="B116" s="1115">
        <v>44931</v>
      </c>
      <c r="C116" s="242">
        <f t="shared" si="3"/>
        <v>1</v>
      </c>
      <c r="D116" s="242">
        <v>41.5</v>
      </c>
      <c r="E116" s="845">
        <f t="shared" si="4"/>
        <v>5.2777777777777777</v>
      </c>
    </row>
    <row r="117" spans="2:5">
      <c r="B117" s="1115">
        <v>44931</v>
      </c>
      <c r="C117" s="242">
        <f t="shared" si="3"/>
        <v>1</v>
      </c>
      <c r="D117" s="242">
        <v>42.4</v>
      </c>
      <c r="E117" s="845">
        <f t="shared" si="4"/>
        <v>5.7777777777777768</v>
      </c>
    </row>
    <row r="118" spans="2:5">
      <c r="B118" s="1115">
        <v>44931</v>
      </c>
      <c r="C118" s="242">
        <f t="shared" si="3"/>
        <v>1</v>
      </c>
      <c r="D118" s="242">
        <v>43.5</v>
      </c>
      <c r="E118" s="845">
        <f t="shared" si="4"/>
        <v>6.3888888888888884</v>
      </c>
    </row>
    <row r="119" spans="2:5">
      <c r="B119" s="1115">
        <v>44931</v>
      </c>
      <c r="C119" s="242">
        <f t="shared" si="3"/>
        <v>1</v>
      </c>
      <c r="D119" s="242">
        <v>43.9</v>
      </c>
      <c r="E119" s="845">
        <f t="shared" si="4"/>
        <v>6.6111111111111098</v>
      </c>
    </row>
    <row r="120" spans="2:5">
      <c r="B120" s="1115">
        <v>44931</v>
      </c>
      <c r="C120" s="242">
        <f t="shared" si="3"/>
        <v>1</v>
      </c>
      <c r="D120" s="242">
        <v>44.2</v>
      </c>
      <c r="E120" s="845">
        <f t="shared" si="4"/>
        <v>6.7777777777777795</v>
      </c>
    </row>
    <row r="121" spans="2:5">
      <c r="B121" s="1115">
        <v>44931</v>
      </c>
      <c r="C121" s="242">
        <f t="shared" si="3"/>
        <v>1</v>
      </c>
      <c r="D121" s="242">
        <v>44.4</v>
      </c>
      <c r="E121" s="845">
        <f t="shared" si="4"/>
        <v>6.8888888888888875</v>
      </c>
    </row>
    <row r="122" spans="2:5">
      <c r="B122" s="1115">
        <v>44931</v>
      </c>
      <c r="C122" s="242">
        <f t="shared" si="3"/>
        <v>1</v>
      </c>
      <c r="D122" s="242">
        <v>44.4</v>
      </c>
      <c r="E122" s="845">
        <f t="shared" si="4"/>
        <v>6.8888888888888875</v>
      </c>
    </row>
    <row r="123" spans="2:5">
      <c r="B123" s="1115">
        <v>44931</v>
      </c>
      <c r="C123" s="242">
        <f t="shared" si="3"/>
        <v>1</v>
      </c>
      <c r="D123" s="242">
        <v>44.2</v>
      </c>
      <c r="E123" s="845">
        <f t="shared" si="4"/>
        <v>6.7777777777777795</v>
      </c>
    </row>
    <row r="124" spans="2:5">
      <c r="B124" s="1115">
        <v>44931</v>
      </c>
      <c r="C124" s="242">
        <f t="shared" si="3"/>
        <v>1</v>
      </c>
      <c r="D124" s="242">
        <v>44.1</v>
      </c>
      <c r="E124" s="845">
        <f t="shared" si="4"/>
        <v>6.7222222222222232</v>
      </c>
    </row>
    <row r="125" spans="2:5">
      <c r="B125" s="1115">
        <v>44931</v>
      </c>
      <c r="C125" s="242">
        <f t="shared" si="3"/>
        <v>1</v>
      </c>
      <c r="D125" s="242">
        <v>43.2</v>
      </c>
      <c r="E125" s="845">
        <f t="shared" si="4"/>
        <v>6.2222222222222232</v>
      </c>
    </row>
    <row r="126" spans="2:5">
      <c r="B126" s="1115">
        <v>44931</v>
      </c>
      <c r="C126" s="242">
        <f t="shared" si="3"/>
        <v>1</v>
      </c>
      <c r="D126" s="242">
        <v>42.4</v>
      </c>
      <c r="E126" s="845">
        <f t="shared" si="4"/>
        <v>5.7777777777777768</v>
      </c>
    </row>
    <row r="127" spans="2:5">
      <c r="B127" s="1115">
        <v>44931</v>
      </c>
      <c r="C127" s="242">
        <f t="shared" si="3"/>
        <v>1</v>
      </c>
      <c r="D127" s="242">
        <v>41.7</v>
      </c>
      <c r="E127" s="845">
        <f t="shared" si="4"/>
        <v>5.3888888888888902</v>
      </c>
    </row>
    <row r="128" spans="2:5">
      <c r="B128" s="1115">
        <v>44931</v>
      </c>
      <c r="C128" s="242">
        <f t="shared" si="3"/>
        <v>1</v>
      </c>
      <c r="D128" s="242">
        <v>41.4</v>
      </c>
      <c r="E128" s="845">
        <f t="shared" si="4"/>
        <v>5.2222222222222214</v>
      </c>
    </row>
    <row r="129" spans="2:5">
      <c r="B129" s="1115">
        <v>44932</v>
      </c>
      <c r="C129" s="242">
        <f t="shared" si="3"/>
        <v>1</v>
      </c>
      <c r="D129" s="242">
        <v>41.2</v>
      </c>
      <c r="E129" s="845">
        <f t="shared" si="4"/>
        <v>5.1111111111111125</v>
      </c>
    </row>
    <row r="130" spans="2:5">
      <c r="B130" s="1115">
        <v>44932</v>
      </c>
      <c r="C130" s="242">
        <f t="shared" si="3"/>
        <v>1</v>
      </c>
      <c r="D130" s="242">
        <v>41.5</v>
      </c>
      <c r="E130" s="845">
        <f t="shared" si="4"/>
        <v>5.2777777777777777</v>
      </c>
    </row>
    <row r="131" spans="2:5">
      <c r="B131" s="1115">
        <v>44932</v>
      </c>
      <c r="C131" s="242">
        <f t="shared" si="3"/>
        <v>1</v>
      </c>
      <c r="D131" s="242">
        <v>43.3</v>
      </c>
      <c r="E131" s="845">
        <f t="shared" si="4"/>
        <v>6.2777777777777759</v>
      </c>
    </row>
    <row r="132" spans="2:5">
      <c r="B132" s="1115">
        <v>44932</v>
      </c>
      <c r="C132" s="242">
        <f t="shared" si="3"/>
        <v>1</v>
      </c>
      <c r="D132" s="242">
        <v>43.3</v>
      </c>
      <c r="E132" s="845">
        <f t="shared" si="4"/>
        <v>6.2777777777777759</v>
      </c>
    </row>
    <row r="133" spans="2:5">
      <c r="B133" s="1115">
        <v>44932</v>
      </c>
      <c r="C133" s="242">
        <f t="shared" si="3"/>
        <v>1</v>
      </c>
      <c r="D133" s="242">
        <v>43.7</v>
      </c>
      <c r="E133" s="845">
        <f t="shared" si="4"/>
        <v>6.5000000000000018</v>
      </c>
    </row>
    <row r="134" spans="2:5">
      <c r="B134" s="1115">
        <v>44932</v>
      </c>
      <c r="C134" s="242">
        <f t="shared" si="3"/>
        <v>1</v>
      </c>
      <c r="D134" s="242">
        <v>43.9</v>
      </c>
      <c r="E134" s="845">
        <f t="shared" si="4"/>
        <v>6.6111111111111098</v>
      </c>
    </row>
    <row r="135" spans="2:5">
      <c r="B135" s="1115">
        <v>44932</v>
      </c>
      <c r="C135" s="242">
        <f t="shared" si="3"/>
        <v>1</v>
      </c>
      <c r="D135" s="242">
        <v>43.7</v>
      </c>
      <c r="E135" s="845">
        <f t="shared" si="4"/>
        <v>6.5000000000000018</v>
      </c>
    </row>
    <row r="136" spans="2:5">
      <c r="B136" s="1115">
        <v>44932</v>
      </c>
      <c r="C136" s="242">
        <f t="shared" si="3"/>
        <v>1</v>
      </c>
      <c r="D136" s="242">
        <v>43.7</v>
      </c>
      <c r="E136" s="845">
        <f t="shared" si="4"/>
        <v>6.5000000000000018</v>
      </c>
    </row>
    <row r="137" spans="2:5">
      <c r="B137" s="1115">
        <v>44932</v>
      </c>
      <c r="C137" s="242">
        <f t="shared" si="3"/>
        <v>1</v>
      </c>
      <c r="D137" s="242">
        <v>43.3</v>
      </c>
      <c r="E137" s="845">
        <f t="shared" si="4"/>
        <v>6.2777777777777759</v>
      </c>
    </row>
    <row r="138" spans="2:5">
      <c r="B138" s="1115">
        <v>44932</v>
      </c>
      <c r="C138" s="242">
        <f t="shared" ref="C138:C201" si="5">MONTH(B138)</f>
        <v>1</v>
      </c>
      <c r="D138" s="242">
        <v>42.4</v>
      </c>
      <c r="E138" s="845">
        <f t="shared" ref="E138:E201" si="6">CONVERT(D138,"F","C")</f>
        <v>5.7777777777777768</v>
      </c>
    </row>
    <row r="139" spans="2:5">
      <c r="B139" s="1115">
        <v>44932</v>
      </c>
      <c r="C139" s="242">
        <f t="shared" si="5"/>
        <v>1</v>
      </c>
      <c r="D139" s="242">
        <v>41.7</v>
      </c>
      <c r="E139" s="845">
        <f t="shared" si="6"/>
        <v>5.3888888888888902</v>
      </c>
    </row>
    <row r="140" spans="2:5">
      <c r="B140" s="1115">
        <v>44932</v>
      </c>
      <c r="C140" s="242">
        <f t="shared" si="5"/>
        <v>1</v>
      </c>
      <c r="D140" s="242">
        <v>41.4</v>
      </c>
      <c r="E140" s="845">
        <f t="shared" si="6"/>
        <v>5.2222222222222214</v>
      </c>
    </row>
    <row r="141" spans="2:5">
      <c r="B141" s="1115">
        <v>44932</v>
      </c>
      <c r="C141" s="242">
        <f t="shared" si="5"/>
        <v>1</v>
      </c>
      <c r="D141" s="242">
        <v>41.4</v>
      </c>
      <c r="E141" s="845">
        <f t="shared" si="6"/>
        <v>5.2222222222222214</v>
      </c>
    </row>
    <row r="142" spans="2:5">
      <c r="B142" s="1115">
        <v>44932</v>
      </c>
      <c r="C142" s="242">
        <f t="shared" si="5"/>
        <v>1</v>
      </c>
      <c r="D142" s="242">
        <v>42.3</v>
      </c>
      <c r="E142" s="845">
        <f t="shared" si="6"/>
        <v>5.7222222222222205</v>
      </c>
    </row>
    <row r="143" spans="2:5">
      <c r="B143" s="1115">
        <v>44932</v>
      </c>
      <c r="C143" s="242">
        <f t="shared" si="5"/>
        <v>1</v>
      </c>
      <c r="D143" s="242">
        <v>42.8</v>
      </c>
      <c r="E143" s="845">
        <f t="shared" si="6"/>
        <v>5.9999999999999982</v>
      </c>
    </row>
    <row r="144" spans="2:5">
      <c r="B144" s="1115">
        <v>44932</v>
      </c>
      <c r="C144" s="242">
        <f t="shared" si="5"/>
        <v>1</v>
      </c>
      <c r="D144" s="242">
        <v>43.3</v>
      </c>
      <c r="E144" s="845">
        <f t="shared" si="6"/>
        <v>6.2777777777777759</v>
      </c>
    </row>
    <row r="145" spans="2:5">
      <c r="B145" s="1115">
        <v>44932</v>
      </c>
      <c r="C145" s="242">
        <f t="shared" si="5"/>
        <v>1</v>
      </c>
      <c r="D145" s="242">
        <v>43.5</v>
      </c>
      <c r="E145" s="845">
        <f t="shared" si="6"/>
        <v>6.3888888888888884</v>
      </c>
    </row>
    <row r="146" spans="2:5">
      <c r="B146" s="1115">
        <v>44932</v>
      </c>
      <c r="C146" s="242">
        <f t="shared" si="5"/>
        <v>1</v>
      </c>
      <c r="D146" s="242">
        <v>43.5</v>
      </c>
      <c r="E146" s="845">
        <f t="shared" si="6"/>
        <v>6.3888888888888884</v>
      </c>
    </row>
    <row r="147" spans="2:5">
      <c r="B147" s="1115">
        <v>44932</v>
      </c>
      <c r="C147" s="242">
        <f t="shared" si="5"/>
        <v>1</v>
      </c>
      <c r="D147" s="242">
        <v>43.7</v>
      </c>
      <c r="E147" s="845">
        <f t="shared" si="6"/>
        <v>6.5000000000000018</v>
      </c>
    </row>
    <row r="148" spans="2:5">
      <c r="B148" s="1115">
        <v>44932</v>
      </c>
      <c r="C148" s="242">
        <f t="shared" si="5"/>
        <v>1</v>
      </c>
      <c r="D148" s="242">
        <v>43.5</v>
      </c>
      <c r="E148" s="845">
        <f t="shared" si="6"/>
        <v>6.3888888888888884</v>
      </c>
    </row>
    <row r="149" spans="2:5">
      <c r="B149" s="1115">
        <v>44932</v>
      </c>
      <c r="C149" s="242">
        <f t="shared" si="5"/>
        <v>1</v>
      </c>
      <c r="D149" s="242">
        <v>43.2</v>
      </c>
      <c r="E149" s="845">
        <f t="shared" si="6"/>
        <v>6.2222222222222232</v>
      </c>
    </row>
    <row r="150" spans="2:5">
      <c r="B150" s="1115">
        <v>44932</v>
      </c>
      <c r="C150" s="242">
        <f t="shared" si="5"/>
        <v>1</v>
      </c>
      <c r="D150" s="242">
        <v>42.3</v>
      </c>
      <c r="E150" s="845">
        <f t="shared" si="6"/>
        <v>5.7222222222222205</v>
      </c>
    </row>
    <row r="151" spans="2:5">
      <c r="B151" s="1115">
        <v>44932</v>
      </c>
      <c r="C151" s="242">
        <f t="shared" si="5"/>
        <v>1</v>
      </c>
      <c r="D151" s="242">
        <v>41.5</v>
      </c>
      <c r="E151" s="845">
        <f t="shared" si="6"/>
        <v>5.2777777777777777</v>
      </c>
    </row>
    <row r="152" spans="2:5">
      <c r="B152" s="1115">
        <v>44932</v>
      </c>
      <c r="C152" s="242">
        <f t="shared" si="5"/>
        <v>1</v>
      </c>
      <c r="D152" s="242" t="s">
        <v>1837</v>
      </c>
      <c r="E152" s="845">
        <f t="shared" si="6"/>
        <v>5</v>
      </c>
    </row>
    <row r="153" spans="2:5">
      <c r="B153" s="1115">
        <v>44933</v>
      </c>
      <c r="C153" s="242">
        <f t="shared" si="5"/>
        <v>1</v>
      </c>
      <c r="D153" s="242">
        <v>40.6</v>
      </c>
      <c r="E153" s="845">
        <f t="shared" si="6"/>
        <v>4.7777777777777786</v>
      </c>
    </row>
    <row r="154" spans="2:5">
      <c r="B154" s="1115">
        <v>44933</v>
      </c>
      <c r="C154" s="242">
        <f t="shared" si="5"/>
        <v>1</v>
      </c>
      <c r="D154" s="242">
        <v>40.6</v>
      </c>
      <c r="E154" s="845">
        <f t="shared" si="6"/>
        <v>4.7777777777777786</v>
      </c>
    </row>
    <row r="155" spans="2:5">
      <c r="B155" s="1115">
        <v>44933</v>
      </c>
      <c r="C155" s="242">
        <f t="shared" si="5"/>
        <v>1</v>
      </c>
      <c r="D155" s="242">
        <v>41.7</v>
      </c>
      <c r="E155" s="845">
        <f t="shared" si="6"/>
        <v>5.3888888888888902</v>
      </c>
    </row>
    <row r="156" spans="2:5">
      <c r="B156" s="1115">
        <v>44933</v>
      </c>
      <c r="C156" s="242">
        <f t="shared" si="5"/>
        <v>1</v>
      </c>
      <c r="D156" s="242">
        <v>42.4</v>
      </c>
      <c r="E156" s="845">
        <f t="shared" si="6"/>
        <v>5.7777777777777768</v>
      </c>
    </row>
    <row r="157" spans="2:5">
      <c r="B157" s="1115">
        <v>44933</v>
      </c>
      <c r="C157" s="242">
        <f t="shared" si="5"/>
        <v>1</v>
      </c>
      <c r="D157" s="242">
        <v>42.6</v>
      </c>
      <c r="E157" s="845">
        <f t="shared" si="6"/>
        <v>5.8888888888888893</v>
      </c>
    </row>
    <row r="158" spans="2:5">
      <c r="B158" s="1115">
        <v>44933</v>
      </c>
      <c r="C158" s="242">
        <f t="shared" si="5"/>
        <v>1</v>
      </c>
      <c r="D158" s="242" t="s">
        <v>1838</v>
      </c>
      <c r="E158" s="845">
        <f t="shared" si="6"/>
        <v>6.1111111111111107</v>
      </c>
    </row>
    <row r="159" spans="2:5">
      <c r="B159" s="1115">
        <v>44933</v>
      </c>
      <c r="C159" s="242">
        <f t="shared" si="5"/>
        <v>1</v>
      </c>
      <c r="D159" s="242">
        <v>43.2</v>
      </c>
      <c r="E159" s="845">
        <f t="shared" si="6"/>
        <v>6.2222222222222232</v>
      </c>
    </row>
    <row r="160" spans="2:5">
      <c r="B160" s="1115">
        <v>44933</v>
      </c>
      <c r="C160" s="242">
        <f t="shared" si="5"/>
        <v>1</v>
      </c>
      <c r="D160" s="242">
        <v>42.8</v>
      </c>
      <c r="E160" s="845">
        <f t="shared" si="6"/>
        <v>5.9999999999999982</v>
      </c>
    </row>
    <row r="161" spans="2:5">
      <c r="B161" s="1115">
        <v>44933</v>
      </c>
      <c r="C161" s="242">
        <f t="shared" si="5"/>
        <v>1</v>
      </c>
      <c r="D161" s="242">
        <v>42.8</v>
      </c>
      <c r="E161" s="845">
        <f t="shared" si="6"/>
        <v>5.9999999999999982</v>
      </c>
    </row>
    <row r="162" spans="2:5">
      <c r="B162" s="1115">
        <v>44933</v>
      </c>
      <c r="C162" s="242">
        <f t="shared" si="5"/>
        <v>1</v>
      </c>
      <c r="D162" s="242">
        <v>42.3</v>
      </c>
      <c r="E162" s="845">
        <f t="shared" si="6"/>
        <v>5.7222222222222205</v>
      </c>
    </row>
    <row r="163" spans="2:5">
      <c r="B163" s="1115">
        <v>44933</v>
      </c>
      <c r="C163" s="242">
        <f t="shared" si="5"/>
        <v>1</v>
      </c>
      <c r="D163" s="242">
        <v>41.5</v>
      </c>
      <c r="E163" s="845">
        <f t="shared" si="6"/>
        <v>5.2777777777777777</v>
      </c>
    </row>
    <row r="164" spans="2:5">
      <c r="B164" s="1115">
        <v>44933</v>
      </c>
      <c r="C164" s="242">
        <f t="shared" si="5"/>
        <v>1</v>
      </c>
      <c r="D164" s="242">
        <v>40.799999999999997</v>
      </c>
      <c r="E164" s="845">
        <f t="shared" si="6"/>
        <v>4.8888888888888875</v>
      </c>
    </row>
    <row r="165" spans="2:5">
      <c r="B165" s="1115">
        <v>44933</v>
      </c>
      <c r="C165" s="242">
        <f t="shared" si="5"/>
        <v>1</v>
      </c>
      <c r="D165" s="242">
        <v>40.6</v>
      </c>
      <c r="E165" s="845">
        <f t="shared" si="6"/>
        <v>4.7777777777777786</v>
      </c>
    </row>
    <row r="166" spans="2:5">
      <c r="B166" s="1115">
        <v>44933</v>
      </c>
      <c r="C166" s="242">
        <f t="shared" si="5"/>
        <v>1</v>
      </c>
      <c r="D166" s="242" t="s">
        <v>1837</v>
      </c>
      <c r="E166" s="845">
        <f t="shared" si="6"/>
        <v>5</v>
      </c>
    </row>
    <row r="167" spans="2:5">
      <c r="B167" s="1115">
        <v>44933</v>
      </c>
      <c r="C167" s="242">
        <f t="shared" si="5"/>
        <v>1</v>
      </c>
      <c r="D167" s="242">
        <v>41.5</v>
      </c>
      <c r="E167" s="845">
        <f t="shared" si="6"/>
        <v>5.2777777777777777</v>
      </c>
    </row>
    <row r="168" spans="2:5">
      <c r="B168" s="1115">
        <v>44933</v>
      </c>
      <c r="C168" s="242">
        <f t="shared" si="5"/>
        <v>1</v>
      </c>
      <c r="D168" s="242">
        <v>42.3</v>
      </c>
      <c r="E168" s="845">
        <f t="shared" si="6"/>
        <v>5.7222222222222205</v>
      </c>
    </row>
    <row r="169" spans="2:5">
      <c r="B169" s="1115">
        <v>44933</v>
      </c>
      <c r="C169" s="242">
        <f t="shared" si="5"/>
        <v>1</v>
      </c>
      <c r="D169" s="242">
        <v>42.6</v>
      </c>
      <c r="E169" s="845">
        <f t="shared" si="6"/>
        <v>5.8888888888888893</v>
      </c>
    </row>
    <row r="170" spans="2:5">
      <c r="B170" s="1115">
        <v>44933</v>
      </c>
      <c r="C170" s="242">
        <f t="shared" si="5"/>
        <v>1</v>
      </c>
      <c r="D170" s="242" t="s">
        <v>1838</v>
      </c>
      <c r="E170" s="845">
        <f t="shared" si="6"/>
        <v>6.1111111111111107</v>
      </c>
    </row>
    <row r="171" spans="2:5">
      <c r="B171" s="1115">
        <v>44933</v>
      </c>
      <c r="C171" s="242">
        <f t="shared" si="5"/>
        <v>1</v>
      </c>
      <c r="D171" s="242" t="s">
        <v>1838</v>
      </c>
      <c r="E171" s="845">
        <f t="shared" si="6"/>
        <v>6.1111111111111107</v>
      </c>
    </row>
    <row r="172" spans="2:5">
      <c r="B172" s="1115">
        <v>44933</v>
      </c>
      <c r="C172" s="242">
        <f t="shared" si="5"/>
        <v>1</v>
      </c>
      <c r="D172" s="242" t="s">
        <v>1838</v>
      </c>
      <c r="E172" s="845">
        <f t="shared" si="6"/>
        <v>6.1111111111111107</v>
      </c>
    </row>
    <row r="173" spans="2:5">
      <c r="B173" s="1115">
        <v>44933</v>
      </c>
      <c r="C173" s="242">
        <f t="shared" si="5"/>
        <v>1</v>
      </c>
      <c r="D173" s="242" t="s">
        <v>1838</v>
      </c>
      <c r="E173" s="845">
        <f t="shared" si="6"/>
        <v>6.1111111111111107</v>
      </c>
    </row>
    <row r="174" spans="2:5">
      <c r="B174" s="1115">
        <v>44933</v>
      </c>
      <c r="C174" s="242">
        <f t="shared" si="5"/>
        <v>1</v>
      </c>
      <c r="D174" s="242">
        <v>42.4</v>
      </c>
      <c r="E174" s="845">
        <f t="shared" si="6"/>
        <v>5.7777777777777768</v>
      </c>
    </row>
    <row r="175" spans="2:5">
      <c r="B175" s="1115">
        <v>44933</v>
      </c>
      <c r="C175" s="242">
        <f t="shared" si="5"/>
        <v>1</v>
      </c>
      <c r="D175" s="242">
        <v>41.7</v>
      </c>
      <c r="E175" s="845">
        <f t="shared" si="6"/>
        <v>5.3888888888888902</v>
      </c>
    </row>
    <row r="176" spans="2:5">
      <c r="B176" s="1115">
        <v>44933</v>
      </c>
      <c r="C176" s="242">
        <f t="shared" si="5"/>
        <v>1</v>
      </c>
      <c r="D176" s="242">
        <v>41.2</v>
      </c>
      <c r="E176" s="845">
        <f t="shared" si="6"/>
        <v>5.1111111111111125</v>
      </c>
    </row>
    <row r="177" spans="2:5">
      <c r="B177" s="1115">
        <v>44934</v>
      </c>
      <c r="C177" s="242">
        <f t="shared" si="5"/>
        <v>1</v>
      </c>
      <c r="D177" s="242">
        <v>40.6</v>
      </c>
      <c r="E177" s="845">
        <f t="shared" si="6"/>
        <v>4.7777777777777786</v>
      </c>
    </row>
    <row r="178" spans="2:5">
      <c r="B178" s="1115">
        <v>44934</v>
      </c>
      <c r="C178" s="242">
        <f t="shared" si="5"/>
        <v>1</v>
      </c>
      <c r="D178" s="242">
        <v>40.5</v>
      </c>
      <c r="E178" s="845">
        <f t="shared" si="6"/>
        <v>4.7222222222222223</v>
      </c>
    </row>
    <row r="179" spans="2:5">
      <c r="B179" s="1115">
        <v>44934</v>
      </c>
      <c r="C179" s="242">
        <f t="shared" si="5"/>
        <v>1</v>
      </c>
      <c r="D179" s="242">
        <v>40.799999999999997</v>
      </c>
      <c r="E179" s="845">
        <f t="shared" si="6"/>
        <v>4.8888888888888875</v>
      </c>
    </row>
    <row r="180" spans="2:5">
      <c r="B180" s="1115">
        <v>44934</v>
      </c>
      <c r="C180" s="242">
        <f t="shared" si="5"/>
        <v>1</v>
      </c>
      <c r="D180" s="242">
        <v>41.9</v>
      </c>
      <c r="E180" s="845">
        <f t="shared" si="6"/>
        <v>5.4999999999999991</v>
      </c>
    </row>
    <row r="181" spans="2:5">
      <c r="B181" s="1115">
        <v>44934</v>
      </c>
      <c r="C181" s="242">
        <f t="shared" si="5"/>
        <v>1</v>
      </c>
      <c r="D181" s="242">
        <v>42.1</v>
      </c>
      <c r="E181" s="845">
        <f t="shared" si="6"/>
        <v>5.6111111111111116</v>
      </c>
    </row>
    <row r="182" spans="2:5">
      <c r="B182" s="1115">
        <v>44934</v>
      </c>
      <c r="C182" s="242">
        <f t="shared" si="5"/>
        <v>1</v>
      </c>
      <c r="D182" s="242">
        <v>42.6</v>
      </c>
      <c r="E182" s="845">
        <f t="shared" si="6"/>
        <v>5.8888888888888893</v>
      </c>
    </row>
    <row r="183" spans="2:5">
      <c r="B183" s="1115">
        <v>44934</v>
      </c>
      <c r="C183" s="242">
        <f t="shared" si="5"/>
        <v>1</v>
      </c>
      <c r="D183" s="242">
        <v>42.6</v>
      </c>
      <c r="E183" s="845">
        <f t="shared" si="6"/>
        <v>5.8888888888888893</v>
      </c>
    </row>
    <row r="184" spans="2:5">
      <c r="B184" s="1115">
        <v>44934</v>
      </c>
      <c r="C184" s="242">
        <f t="shared" si="5"/>
        <v>1</v>
      </c>
      <c r="D184" s="242">
        <v>42.8</v>
      </c>
      <c r="E184" s="845">
        <f t="shared" si="6"/>
        <v>5.9999999999999982</v>
      </c>
    </row>
    <row r="185" spans="2:5">
      <c r="B185" s="1115">
        <v>44934</v>
      </c>
      <c r="C185" s="242">
        <f t="shared" si="5"/>
        <v>1</v>
      </c>
      <c r="D185" s="242">
        <v>42.6</v>
      </c>
      <c r="E185" s="845">
        <f t="shared" si="6"/>
        <v>5.8888888888888893</v>
      </c>
    </row>
    <row r="186" spans="2:5">
      <c r="B186" s="1115">
        <v>44934</v>
      </c>
      <c r="C186" s="242">
        <f t="shared" si="5"/>
        <v>1</v>
      </c>
      <c r="D186" s="242">
        <v>42.3</v>
      </c>
      <c r="E186" s="845">
        <f t="shared" si="6"/>
        <v>5.7222222222222205</v>
      </c>
    </row>
    <row r="187" spans="2:5">
      <c r="B187" s="1115">
        <v>44934</v>
      </c>
      <c r="C187" s="242">
        <f t="shared" si="5"/>
        <v>1</v>
      </c>
      <c r="D187" s="242">
        <v>41.4</v>
      </c>
      <c r="E187" s="845">
        <f t="shared" si="6"/>
        <v>5.2222222222222214</v>
      </c>
    </row>
    <row r="188" spans="2:5">
      <c r="B188" s="1115">
        <v>44934</v>
      </c>
      <c r="C188" s="242">
        <f t="shared" si="5"/>
        <v>1</v>
      </c>
      <c r="D188" s="242">
        <v>40.6</v>
      </c>
      <c r="E188" s="845">
        <f t="shared" si="6"/>
        <v>4.7777777777777786</v>
      </c>
    </row>
    <row r="189" spans="2:5">
      <c r="B189" s="1115">
        <v>44934</v>
      </c>
      <c r="C189" s="242">
        <f t="shared" si="5"/>
        <v>1</v>
      </c>
      <c r="D189" s="242">
        <v>40.1</v>
      </c>
      <c r="E189" s="845">
        <f t="shared" si="6"/>
        <v>4.5000000000000009</v>
      </c>
    </row>
    <row r="190" spans="2:5">
      <c r="B190" s="1115">
        <v>44934</v>
      </c>
      <c r="C190" s="242">
        <f t="shared" si="5"/>
        <v>1</v>
      </c>
      <c r="D190" s="242">
        <v>39.9</v>
      </c>
      <c r="E190" s="845">
        <f t="shared" si="6"/>
        <v>4.3888888888888884</v>
      </c>
    </row>
    <row r="191" spans="2:5">
      <c r="B191" s="1115">
        <v>44934</v>
      </c>
      <c r="C191" s="242">
        <f t="shared" si="5"/>
        <v>1</v>
      </c>
      <c r="D191" s="242">
        <v>40.5</v>
      </c>
      <c r="E191" s="845">
        <f t="shared" si="6"/>
        <v>4.7222222222222223</v>
      </c>
    </row>
    <row r="192" spans="2:5">
      <c r="B192" s="1115">
        <v>44934</v>
      </c>
      <c r="C192" s="242">
        <f t="shared" si="5"/>
        <v>1</v>
      </c>
      <c r="D192" s="242">
        <v>41.4</v>
      </c>
      <c r="E192" s="845">
        <f t="shared" si="6"/>
        <v>5.2222222222222214</v>
      </c>
    </row>
    <row r="193" spans="2:5">
      <c r="B193" s="1115">
        <v>44934</v>
      </c>
      <c r="C193" s="242">
        <f t="shared" si="5"/>
        <v>1</v>
      </c>
      <c r="D193" s="242">
        <v>42.1</v>
      </c>
      <c r="E193" s="845">
        <f t="shared" si="6"/>
        <v>5.6111111111111116</v>
      </c>
    </row>
    <row r="194" spans="2:5">
      <c r="B194" s="1115">
        <v>44934</v>
      </c>
      <c r="C194" s="242">
        <f t="shared" si="5"/>
        <v>1</v>
      </c>
      <c r="D194" s="242">
        <v>42.6</v>
      </c>
      <c r="E194" s="845">
        <f t="shared" si="6"/>
        <v>5.8888888888888893</v>
      </c>
    </row>
    <row r="195" spans="2:5">
      <c r="B195" s="1115">
        <v>44934</v>
      </c>
      <c r="C195" s="242">
        <f t="shared" si="5"/>
        <v>1</v>
      </c>
      <c r="D195" s="242" t="s">
        <v>1838</v>
      </c>
      <c r="E195" s="845">
        <f t="shared" si="6"/>
        <v>6.1111111111111107</v>
      </c>
    </row>
    <row r="196" spans="2:5">
      <c r="B196" s="1115">
        <v>44934</v>
      </c>
      <c r="C196" s="242">
        <f t="shared" si="5"/>
        <v>1</v>
      </c>
      <c r="D196" s="242" t="s">
        <v>1838</v>
      </c>
      <c r="E196" s="845">
        <f t="shared" si="6"/>
        <v>6.1111111111111107</v>
      </c>
    </row>
    <row r="197" spans="2:5">
      <c r="B197" s="1115">
        <v>44934</v>
      </c>
      <c r="C197" s="242">
        <f t="shared" si="5"/>
        <v>1</v>
      </c>
      <c r="D197" s="242">
        <v>42.8</v>
      </c>
      <c r="E197" s="845">
        <f t="shared" si="6"/>
        <v>5.9999999999999982</v>
      </c>
    </row>
    <row r="198" spans="2:5">
      <c r="B198" s="1115">
        <v>44934</v>
      </c>
      <c r="C198" s="242">
        <f t="shared" si="5"/>
        <v>1</v>
      </c>
      <c r="D198" s="242">
        <v>42.6</v>
      </c>
      <c r="E198" s="845">
        <f t="shared" si="6"/>
        <v>5.8888888888888893</v>
      </c>
    </row>
    <row r="199" spans="2:5">
      <c r="B199" s="1115">
        <v>44934</v>
      </c>
      <c r="C199" s="242">
        <f t="shared" si="5"/>
        <v>1</v>
      </c>
      <c r="D199" s="242">
        <v>41.9</v>
      </c>
      <c r="E199" s="845">
        <f t="shared" si="6"/>
        <v>5.4999999999999991</v>
      </c>
    </row>
    <row r="200" spans="2:5">
      <c r="B200" s="1115">
        <v>44934</v>
      </c>
      <c r="C200" s="242">
        <f t="shared" si="5"/>
        <v>1</v>
      </c>
      <c r="D200" s="242" t="s">
        <v>1837</v>
      </c>
      <c r="E200" s="845">
        <f t="shared" si="6"/>
        <v>5</v>
      </c>
    </row>
    <row r="201" spans="2:5">
      <c r="B201" s="1115">
        <v>44935</v>
      </c>
      <c r="C201" s="242">
        <f t="shared" si="5"/>
        <v>1</v>
      </c>
      <c r="D201" s="242">
        <v>40.5</v>
      </c>
      <c r="E201" s="845">
        <f t="shared" si="6"/>
        <v>4.7222222222222223</v>
      </c>
    </row>
    <row r="202" spans="2:5">
      <c r="B202" s="1115">
        <v>44935</v>
      </c>
      <c r="C202" s="242">
        <f t="shared" ref="C202:C265" si="7">MONTH(B202)</f>
        <v>1</v>
      </c>
      <c r="D202" s="242">
        <v>39.9</v>
      </c>
      <c r="E202" s="845">
        <f t="shared" ref="E202:E265" si="8">CONVERT(D202,"F","C")</f>
        <v>4.3888888888888884</v>
      </c>
    </row>
    <row r="203" spans="2:5">
      <c r="B203" s="1115">
        <v>44935</v>
      </c>
      <c r="C203" s="242">
        <f t="shared" si="7"/>
        <v>1</v>
      </c>
      <c r="D203" s="242">
        <v>39.700000000000003</v>
      </c>
      <c r="E203" s="845">
        <f t="shared" si="8"/>
        <v>4.2777777777777795</v>
      </c>
    </row>
    <row r="204" spans="2:5">
      <c r="B204" s="1115">
        <v>44935</v>
      </c>
      <c r="C204" s="242">
        <f t="shared" si="7"/>
        <v>1</v>
      </c>
      <c r="D204" s="242">
        <v>40.299999999999997</v>
      </c>
      <c r="E204" s="845">
        <f t="shared" si="8"/>
        <v>4.6111111111111098</v>
      </c>
    </row>
    <row r="205" spans="2:5">
      <c r="B205" s="1115">
        <v>44935</v>
      </c>
      <c r="C205" s="242">
        <f t="shared" si="7"/>
        <v>1</v>
      </c>
      <c r="D205" s="242">
        <v>41.7</v>
      </c>
      <c r="E205" s="845">
        <f t="shared" si="8"/>
        <v>5.3888888888888902</v>
      </c>
    </row>
    <row r="206" spans="2:5">
      <c r="B206" s="1115">
        <v>44935</v>
      </c>
      <c r="C206" s="242">
        <f t="shared" si="7"/>
        <v>1</v>
      </c>
      <c r="D206" s="242">
        <v>42.1</v>
      </c>
      <c r="E206" s="845">
        <f t="shared" si="8"/>
        <v>5.6111111111111116</v>
      </c>
    </row>
    <row r="207" spans="2:5">
      <c r="B207" s="1115">
        <v>44935</v>
      </c>
      <c r="C207" s="242">
        <f t="shared" si="7"/>
        <v>1</v>
      </c>
      <c r="D207" s="242">
        <v>42.1</v>
      </c>
      <c r="E207" s="845">
        <f t="shared" si="8"/>
        <v>5.6111111111111116</v>
      </c>
    </row>
    <row r="208" spans="2:5">
      <c r="B208" s="1115">
        <v>44935</v>
      </c>
      <c r="C208" s="242">
        <f t="shared" si="7"/>
        <v>1</v>
      </c>
      <c r="D208" s="242">
        <v>42.6</v>
      </c>
      <c r="E208" s="845">
        <f t="shared" si="8"/>
        <v>5.8888888888888893</v>
      </c>
    </row>
    <row r="209" spans="2:5">
      <c r="B209" s="1115">
        <v>44935</v>
      </c>
      <c r="C209" s="242">
        <f t="shared" si="7"/>
        <v>1</v>
      </c>
      <c r="D209" s="242">
        <v>42.1</v>
      </c>
      <c r="E209" s="845">
        <f t="shared" si="8"/>
        <v>5.6111111111111116</v>
      </c>
    </row>
    <row r="210" spans="2:5">
      <c r="B210" s="1115">
        <v>44935</v>
      </c>
      <c r="C210" s="242">
        <f t="shared" si="7"/>
        <v>1</v>
      </c>
      <c r="D210" s="242">
        <v>42.3</v>
      </c>
      <c r="E210" s="845">
        <f t="shared" si="8"/>
        <v>5.7222222222222205</v>
      </c>
    </row>
    <row r="211" spans="2:5">
      <c r="B211" s="1115">
        <v>44935</v>
      </c>
      <c r="C211" s="242">
        <f t="shared" si="7"/>
        <v>1</v>
      </c>
      <c r="D211" s="242">
        <v>41.7</v>
      </c>
      <c r="E211" s="845">
        <f t="shared" si="8"/>
        <v>5.3888888888888902</v>
      </c>
    </row>
    <row r="212" spans="2:5">
      <c r="B212" s="1115">
        <v>44935</v>
      </c>
      <c r="C212" s="242">
        <f t="shared" si="7"/>
        <v>1</v>
      </c>
      <c r="D212" s="242" t="s">
        <v>1837</v>
      </c>
      <c r="E212" s="845">
        <f t="shared" si="8"/>
        <v>5</v>
      </c>
    </row>
    <row r="213" spans="2:5">
      <c r="B213" s="1115">
        <v>44935</v>
      </c>
      <c r="C213" s="242">
        <f t="shared" si="7"/>
        <v>1</v>
      </c>
      <c r="D213" s="242">
        <v>40.1</v>
      </c>
      <c r="E213" s="845">
        <f t="shared" si="8"/>
        <v>4.5000000000000009</v>
      </c>
    </row>
    <row r="214" spans="2:5">
      <c r="B214" s="1115">
        <v>44935</v>
      </c>
      <c r="C214" s="242">
        <f t="shared" si="7"/>
        <v>1</v>
      </c>
      <c r="D214" s="242">
        <v>39.700000000000003</v>
      </c>
      <c r="E214" s="845">
        <f t="shared" si="8"/>
        <v>4.2777777777777795</v>
      </c>
    </row>
    <row r="215" spans="2:5">
      <c r="B215" s="1115">
        <v>44935</v>
      </c>
      <c r="C215" s="242">
        <f t="shared" si="7"/>
        <v>1</v>
      </c>
      <c r="D215" s="242">
        <v>40.1</v>
      </c>
      <c r="E215" s="845">
        <f t="shared" si="8"/>
        <v>4.5000000000000009</v>
      </c>
    </row>
    <row r="216" spans="2:5">
      <c r="B216" s="1115">
        <v>44935</v>
      </c>
      <c r="C216" s="242">
        <f t="shared" si="7"/>
        <v>1</v>
      </c>
      <c r="D216" s="242">
        <v>40.6</v>
      </c>
      <c r="E216" s="845">
        <f t="shared" si="8"/>
        <v>4.7777777777777786</v>
      </c>
    </row>
    <row r="217" spans="2:5">
      <c r="B217" s="1115">
        <v>44935</v>
      </c>
      <c r="C217" s="242">
        <f t="shared" si="7"/>
        <v>1</v>
      </c>
      <c r="D217" s="242">
        <v>41.5</v>
      </c>
      <c r="E217" s="845">
        <f t="shared" si="8"/>
        <v>5.2777777777777777</v>
      </c>
    </row>
    <row r="218" spans="2:5">
      <c r="B218" s="1115">
        <v>44935</v>
      </c>
      <c r="C218" s="242">
        <f t="shared" si="7"/>
        <v>1</v>
      </c>
      <c r="D218" s="242">
        <v>42.1</v>
      </c>
      <c r="E218" s="845">
        <f t="shared" si="8"/>
        <v>5.6111111111111116</v>
      </c>
    </row>
    <row r="219" spans="2:5">
      <c r="B219" s="1115">
        <v>44935</v>
      </c>
      <c r="C219" s="242">
        <f t="shared" si="7"/>
        <v>1</v>
      </c>
      <c r="D219" s="242">
        <v>42.6</v>
      </c>
      <c r="E219" s="845">
        <f t="shared" si="8"/>
        <v>5.8888888888888893</v>
      </c>
    </row>
    <row r="220" spans="2:5">
      <c r="B220" s="1115">
        <v>44935</v>
      </c>
      <c r="C220" s="242">
        <f t="shared" si="7"/>
        <v>1</v>
      </c>
      <c r="D220" s="242" t="s">
        <v>1838</v>
      </c>
      <c r="E220" s="845">
        <f t="shared" si="8"/>
        <v>6.1111111111111107</v>
      </c>
    </row>
    <row r="221" spans="2:5">
      <c r="B221" s="1115">
        <v>44935</v>
      </c>
      <c r="C221" s="242">
        <f t="shared" si="7"/>
        <v>1</v>
      </c>
      <c r="D221" s="242">
        <v>42.8</v>
      </c>
      <c r="E221" s="845">
        <f t="shared" si="8"/>
        <v>5.9999999999999982</v>
      </c>
    </row>
    <row r="222" spans="2:5">
      <c r="B222" s="1115">
        <v>44935</v>
      </c>
      <c r="C222" s="242">
        <f t="shared" si="7"/>
        <v>1</v>
      </c>
      <c r="D222" s="242" t="s">
        <v>1838</v>
      </c>
      <c r="E222" s="845">
        <f t="shared" si="8"/>
        <v>6.1111111111111107</v>
      </c>
    </row>
    <row r="223" spans="2:5">
      <c r="B223" s="1115">
        <v>44935</v>
      </c>
      <c r="C223" s="242">
        <f t="shared" si="7"/>
        <v>1</v>
      </c>
      <c r="D223" s="242">
        <v>42.3</v>
      </c>
      <c r="E223" s="845">
        <f t="shared" si="8"/>
        <v>5.7222222222222205</v>
      </c>
    </row>
    <row r="224" spans="2:5">
      <c r="B224" s="1115">
        <v>44935</v>
      </c>
      <c r="C224" s="242">
        <f t="shared" si="7"/>
        <v>1</v>
      </c>
      <c r="D224" s="242">
        <v>41.2</v>
      </c>
      <c r="E224" s="845">
        <f t="shared" si="8"/>
        <v>5.1111111111111125</v>
      </c>
    </row>
    <row r="225" spans="2:5">
      <c r="B225" s="1115">
        <v>44936</v>
      </c>
      <c r="C225" s="242">
        <f t="shared" si="7"/>
        <v>1</v>
      </c>
      <c r="D225" s="242">
        <v>40.299999999999997</v>
      </c>
      <c r="E225" s="845">
        <f t="shared" si="8"/>
        <v>4.6111111111111098</v>
      </c>
    </row>
    <row r="226" spans="2:5">
      <c r="B226" s="1115">
        <v>44936</v>
      </c>
      <c r="C226" s="242">
        <f t="shared" si="7"/>
        <v>1</v>
      </c>
      <c r="D226" s="242">
        <v>39.700000000000003</v>
      </c>
      <c r="E226" s="845">
        <f t="shared" si="8"/>
        <v>4.2777777777777795</v>
      </c>
    </row>
    <row r="227" spans="2:5">
      <c r="B227" s="1115">
        <v>44936</v>
      </c>
      <c r="C227" s="242">
        <f t="shared" si="7"/>
        <v>1</v>
      </c>
      <c r="D227" s="242">
        <v>39.4</v>
      </c>
      <c r="E227" s="845">
        <f t="shared" si="8"/>
        <v>4.1111111111111098</v>
      </c>
    </row>
    <row r="228" spans="2:5">
      <c r="B228" s="1115">
        <v>44936</v>
      </c>
      <c r="C228" s="242">
        <f t="shared" si="7"/>
        <v>1</v>
      </c>
      <c r="D228" s="242">
        <v>39.700000000000003</v>
      </c>
      <c r="E228" s="845">
        <f t="shared" si="8"/>
        <v>4.2777777777777795</v>
      </c>
    </row>
    <row r="229" spans="2:5">
      <c r="B229" s="1115">
        <v>44936</v>
      </c>
      <c r="C229" s="242">
        <f t="shared" si="7"/>
        <v>1</v>
      </c>
      <c r="D229" s="242">
        <v>40.799999999999997</v>
      </c>
      <c r="E229" s="845">
        <f t="shared" si="8"/>
        <v>4.8888888888888875</v>
      </c>
    </row>
    <row r="230" spans="2:5">
      <c r="B230" s="1115">
        <v>44936</v>
      </c>
      <c r="C230" s="242">
        <f t="shared" si="7"/>
        <v>1</v>
      </c>
      <c r="D230" s="242">
        <v>41.7</v>
      </c>
      <c r="E230" s="845">
        <f t="shared" si="8"/>
        <v>5.3888888888888902</v>
      </c>
    </row>
    <row r="231" spans="2:5">
      <c r="B231" s="1115">
        <v>44936</v>
      </c>
      <c r="C231" s="242">
        <f t="shared" si="7"/>
        <v>1</v>
      </c>
      <c r="D231" s="242">
        <v>42.4</v>
      </c>
      <c r="E231" s="845">
        <f t="shared" si="8"/>
        <v>5.7777777777777768</v>
      </c>
    </row>
    <row r="232" spans="2:5">
      <c r="B232" s="1115">
        <v>44936</v>
      </c>
      <c r="C232" s="242">
        <f t="shared" si="7"/>
        <v>1</v>
      </c>
      <c r="D232" s="242">
        <v>42.4</v>
      </c>
      <c r="E232" s="845">
        <f t="shared" si="8"/>
        <v>5.7777777777777768</v>
      </c>
    </row>
    <row r="233" spans="2:5">
      <c r="B233" s="1115">
        <v>44936</v>
      </c>
      <c r="C233" s="242">
        <f t="shared" si="7"/>
        <v>1</v>
      </c>
      <c r="D233" s="242">
        <v>43.2</v>
      </c>
      <c r="E233" s="845">
        <f t="shared" si="8"/>
        <v>6.2222222222222232</v>
      </c>
    </row>
    <row r="234" spans="2:5">
      <c r="B234" s="1115">
        <v>44936</v>
      </c>
      <c r="C234" s="242">
        <f t="shared" si="7"/>
        <v>1</v>
      </c>
      <c r="D234" s="242">
        <v>42.4</v>
      </c>
      <c r="E234" s="845">
        <f t="shared" si="8"/>
        <v>5.7777777777777768</v>
      </c>
    </row>
    <row r="235" spans="2:5">
      <c r="B235" s="1115">
        <v>44936</v>
      </c>
      <c r="C235" s="242">
        <f t="shared" si="7"/>
        <v>1</v>
      </c>
      <c r="D235" s="242">
        <v>42.4</v>
      </c>
      <c r="E235" s="845">
        <f t="shared" si="8"/>
        <v>5.7777777777777768</v>
      </c>
    </row>
    <row r="236" spans="2:5">
      <c r="B236" s="1115">
        <v>44936</v>
      </c>
      <c r="C236" s="242">
        <f t="shared" si="7"/>
        <v>1</v>
      </c>
      <c r="D236" s="242">
        <v>41.7</v>
      </c>
      <c r="E236" s="845">
        <f t="shared" si="8"/>
        <v>5.3888888888888902</v>
      </c>
    </row>
    <row r="237" spans="2:5">
      <c r="B237" s="1115">
        <v>44936</v>
      </c>
      <c r="C237" s="242">
        <f t="shared" si="7"/>
        <v>1</v>
      </c>
      <c r="D237" s="242">
        <v>40.6</v>
      </c>
      <c r="E237" s="845">
        <f t="shared" si="8"/>
        <v>4.7777777777777786</v>
      </c>
    </row>
    <row r="238" spans="2:5">
      <c r="B238" s="1115">
        <v>44936</v>
      </c>
      <c r="C238" s="242">
        <f t="shared" si="7"/>
        <v>1</v>
      </c>
      <c r="D238" s="242">
        <v>39.9</v>
      </c>
      <c r="E238" s="845">
        <f t="shared" si="8"/>
        <v>4.3888888888888884</v>
      </c>
    </row>
    <row r="239" spans="2:5">
      <c r="B239" s="1115">
        <v>44936</v>
      </c>
      <c r="C239" s="242">
        <f t="shared" si="7"/>
        <v>1</v>
      </c>
      <c r="D239" s="242">
        <v>39.6</v>
      </c>
      <c r="E239" s="845">
        <f t="shared" si="8"/>
        <v>4.2222222222222232</v>
      </c>
    </row>
    <row r="240" spans="2:5">
      <c r="B240" s="1115">
        <v>44936</v>
      </c>
      <c r="C240" s="242">
        <f t="shared" si="7"/>
        <v>1</v>
      </c>
      <c r="D240" s="242">
        <v>40.299999999999997</v>
      </c>
      <c r="E240" s="845">
        <f t="shared" si="8"/>
        <v>4.6111111111111098</v>
      </c>
    </row>
    <row r="241" spans="2:5">
      <c r="B241" s="1115">
        <v>44936</v>
      </c>
      <c r="C241" s="242">
        <f t="shared" si="7"/>
        <v>1</v>
      </c>
      <c r="D241" s="242" t="s">
        <v>1837</v>
      </c>
      <c r="E241" s="845">
        <f t="shared" si="8"/>
        <v>5</v>
      </c>
    </row>
    <row r="242" spans="2:5">
      <c r="B242" s="1115">
        <v>44936</v>
      </c>
      <c r="C242" s="242">
        <f t="shared" si="7"/>
        <v>1</v>
      </c>
      <c r="D242" s="242">
        <v>41.9</v>
      </c>
      <c r="E242" s="845">
        <f t="shared" si="8"/>
        <v>5.4999999999999991</v>
      </c>
    </row>
    <row r="243" spans="2:5">
      <c r="B243" s="1115">
        <v>44936</v>
      </c>
      <c r="C243" s="242">
        <f t="shared" si="7"/>
        <v>1</v>
      </c>
      <c r="D243" s="242">
        <v>42.4</v>
      </c>
      <c r="E243" s="845">
        <f t="shared" si="8"/>
        <v>5.7777777777777768</v>
      </c>
    </row>
    <row r="244" spans="2:5">
      <c r="B244" s="1115">
        <v>44936</v>
      </c>
      <c r="C244" s="242">
        <f t="shared" si="7"/>
        <v>1</v>
      </c>
      <c r="D244" s="242">
        <v>42.8</v>
      </c>
      <c r="E244" s="845">
        <f t="shared" si="8"/>
        <v>5.9999999999999982</v>
      </c>
    </row>
    <row r="245" spans="2:5">
      <c r="B245" s="1115">
        <v>44936</v>
      </c>
      <c r="C245" s="242">
        <f t="shared" si="7"/>
        <v>1</v>
      </c>
      <c r="D245" s="242" t="s">
        <v>1838</v>
      </c>
      <c r="E245" s="845">
        <f t="shared" si="8"/>
        <v>6.1111111111111107</v>
      </c>
    </row>
    <row r="246" spans="2:5">
      <c r="B246" s="1115">
        <v>44936</v>
      </c>
      <c r="C246" s="242">
        <f t="shared" si="7"/>
        <v>1</v>
      </c>
      <c r="D246" s="242">
        <v>42.8</v>
      </c>
      <c r="E246" s="845">
        <f t="shared" si="8"/>
        <v>5.9999999999999982</v>
      </c>
    </row>
    <row r="247" spans="2:5">
      <c r="B247" s="1115">
        <v>44936</v>
      </c>
      <c r="C247" s="242">
        <f t="shared" si="7"/>
        <v>1</v>
      </c>
      <c r="D247" s="242">
        <v>42.4</v>
      </c>
      <c r="E247" s="845">
        <f t="shared" si="8"/>
        <v>5.7777777777777768</v>
      </c>
    </row>
    <row r="248" spans="2:5">
      <c r="B248" s="1115">
        <v>44936</v>
      </c>
      <c r="C248" s="242">
        <f t="shared" si="7"/>
        <v>1</v>
      </c>
      <c r="D248" s="242">
        <v>41.7</v>
      </c>
      <c r="E248" s="845">
        <f t="shared" si="8"/>
        <v>5.3888888888888902</v>
      </c>
    </row>
    <row r="249" spans="2:5">
      <c r="B249" s="1115">
        <v>44937</v>
      </c>
      <c r="C249" s="242">
        <f t="shared" si="7"/>
        <v>1</v>
      </c>
      <c r="D249" s="242">
        <v>40.6</v>
      </c>
      <c r="E249" s="845">
        <f t="shared" si="8"/>
        <v>4.7777777777777786</v>
      </c>
    </row>
    <row r="250" spans="2:5">
      <c r="B250" s="1115">
        <v>44937</v>
      </c>
      <c r="C250" s="242">
        <f t="shared" si="7"/>
        <v>1</v>
      </c>
      <c r="D250" s="242">
        <v>39.700000000000003</v>
      </c>
      <c r="E250" s="845">
        <f t="shared" si="8"/>
        <v>4.2777777777777795</v>
      </c>
    </row>
    <row r="251" spans="2:5">
      <c r="B251" s="1115">
        <v>44937</v>
      </c>
      <c r="C251" s="242">
        <f t="shared" si="7"/>
        <v>1</v>
      </c>
      <c r="D251" s="242">
        <v>39.4</v>
      </c>
      <c r="E251" s="845">
        <f t="shared" si="8"/>
        <v>4.1111111111111098</v>
      </c>
    </row>
    <row r="252" spans="2:5">
      <c r="B252" s="1115">
        <v>44937</v>
      </c>
      <c r="C252" s="242">
        <f t="shared" si="7"/>
        <v>1</v>
      </c>
      <c r="D252" s="242" t="s">
        <v>1839</v>
      </c>
      <c r="E252" s="845">
        <f t="shared" si="8"/>
        <v>3.8888888888888888</v>
      </c>
    </row>
    <row r="253" spans="2:5">
      <c r="B253" s="1115">
        <v>44937</v>
      </c>
      <c r="C253" s="242">
        <f t="shared" si="7"/>
        <v>1</v>
      </c>
      <c r="D253" s="242">
        <v>39.6</v>
      </c>
      <c r="E253" s="845">
        <f t="shared" si="8"/>
        <v>4.2222222222222232</v>
      </c>
    </row>
    <row r="254" spans="2:5">
      <c r="B254" s="1115">
        <v>44937</v>
      </c>
      <c r="C254" s="242">
        <f t="shared" si="7"/>
        <v>1</v>
      </c>
      <c r="D254" s="242">
        <v>41.7</v>
      </c>
      <c r="E254" s="845">
        <f t="shared" si="8"/>
        <v>5.3888888888888902</v>
      </c>
    </row>
    <row r="255" spans="2:5">
      <c r="B255" s="1115">
        <v>44937</v>
      </c>
      <c r="C255" s="242">
        <f t="shared" si="7"/>
        <v>1</v>
      </c>
      <c r="D255" s="242">
        <v>41.9</v>
      </c>
      <c r="E255" s="845">
        <f t="shared" si="8"/>
        <v>5.4999999999999991</v>
      </c>
    </row>
    <row r="256" spans="2:5">
      <c r="B256" s="1115">
        <v>44937</v>
      </c>
      <c r="C256" s="242">
        <f t="shared" si="7"/>
        <v>1</v>
      </c>
      <c r="D256" s="242">
        <v>42.4</v>
      </c>
      <c r="E256" s="845">
        <f t="shared" si="8"/>
        <v>5.7777777777777768</v>
      </c>
    </row>
    <row r="257" spans="2:5">
      <c r="B257" s="1115">
        <v>44937</v>
      </c>
      <c r="C257" s="242">
        <f t="shared" si="7"/>
        <v>1</v>
      </c>
      <c r="D257" s="242">
        <v>42.6</v>
      </c>
      <c r="E257" s="845">
        <f t="shared" si="8"/>
        <v>5.8888888888888893</v>
      </c>
    </row>
    <row r="258" spans="2:5">
      <c r="B258" s="1115">
        <v>44937</v>
      </c>
      <c r="C258" s="242">
        <f t="shared" si="7"/>
        <v>1</v>
      </c>
      <c r="D258" s="242">
        <v>42.8</v>
      </c>
      <c r="E258" s="845">
        <f t="shared" si="8"/>
        <v>5.9999999999999982</v>
      </c>
    </row>
    <row r="259" spans="2:5">
      <c r="B259" s="1115">
        <v>44937</v>
      </c>
      <c r="C259" s="242">
        <f t="shared" si="7"/>
        <v>1</v>
      </c>
      <c r="D259" s="242">
        <v>42.4</v>
      </c>
      <c r="E259" s="845">
        <f t="shared" si="8"/>
        <v>5.7777777777777768</v>
      </c>
    </row>
    <row r="260" spans="2:5">
      <c r="B260" s="1115">
        <v>44937</v>
      </c>
      <c r="C260" s="242">
        <f t="shared" si="7"/>
        <v>1</v>
      </c>
      <c r="D260" s="242">
        <v>41.9</v>
      </c>
      <c r="E260" s="845">
        <f t="shared" si="8"/>
        <v>5.4999999999999991</v>
      </c>
    </row>
    <row r="261" spans="2:5">
      <c r="B261" s="1115">
        <v>44937</v>
      </c>
      <c r="C261" s="242">
        <f t="shared" si="7"/>
        <v>1</v>
      </c>
      <c r="D261" s="242" t="s">
        <v>1837</v>
      </c>
      <c r="E261" s="845">
        <f t="shared" si="8"/>
        <v>5</v>
      </c>
    </row>
    <row r="262" spans="2:5">
      <c r="B262" s="1115">
        <v>44937</v>
      </c>
      <c r="C262" s="242">
        <f t="shared" si="7"/>
        <v>1</v>
      </c>
      <c r="D262" s="242">
        <v>39.9</v>
      </c>
      <c r="E262" s="845">
        <f t="shared" si="8"/>
        <v>4.3888888888888884</v>
      </c>
    </row>
    <row r="263" spans="2:5">
      <c r="B263" s="1115">
        <v>44937</v>
      </c>
      <c r="C263" s="242">
        <f t="shared" si="7"/>
        <v>1</v>
      </c>
      <c r="D263" s="242">
        <v>39.200000000000003</v>
      </c>
      <c r="E263" s="845">
        <f t="shared" si="8"/>
        <v>4.0000000000000018</v>
      </c>
    </row>
    <row r="264" spans="2:5">
      <c r="B264" s="1115">
        <v>44937</v>
      </c>
      <c r="C264" s="242">
        <f t="shared" si="7"/>
        <v>1</v>
      </c>
      <c r="D264" s="242">
        <v>39.200000000000003</v>
      </c>
      <c r="E264" s="845">
        <f t="shared" si="8"/>
        <v>4.0000000000000018</v>
      </c>
    </row>
    <row r="265" spans="2:5">
      <c r="B265" s="1115">
        <v>44937</v>
      </c>
      <c r="C265" s="242">
        <f t="shared" si="7"/>
        <v>1</v>
      </c>
      <c r="D265" s="242">
        <v>39.9</v>
      </c>
      <c r="E265" s="845">
        <f t="shared" si="8"/>
        <v>4.3888888888888884</v>
      </c>
    </row>
    <row r="266" spans="2:5">
      <c r="B266" s="1115">
        <v>44937</v>
      </c>
      <c r="C266" s="242">
        <f t="shared" ref="C266:C329" si="9">MONTH(B266)</f>
        <v>1</v>
      </c>
      <c r="D266" s="242">
        <v>41.2</v>
      </c>
      <c r="E266" s="845">
        <f t="shared" ref="E266:E329" si="10">CONVERT(D266,"F","C")</f>
        <v>5.1111111111111125</v>
      </c>
    </row>
    <row r="267" spans="2:5">
      <c r="B267" s="1115">
        <v>44937</v>
      </c>
      <c r="C267" s="242">
        <f t="shared" si="9"/>
        <v>1</v>
      </c>
      <c r="D267" s="242">
        <v>41.7</v>
      </c>
      <c r="E267" s="845">
        <f t="shared" si="10"/>
        <v>5.3888888888888902</v>
      </c>
    </row>
    <row r="268" spans="2:5">
      <c r="B268" s="1115">
        <v>44937</v>
      </c>
      <c r="C268" s="242">
        <f t="shared" si="9"/>
        <v>1</v>
      </c>
      <c r="D268" s="242">
        <v>41.9</v>
      </c>
      <c r="E268" s="845">
        <f t="shared" si="10"/>
        <v>5.4999999999999991</v>
      </c>
    </row>
    <row r="269" spans="2:5">
      <c r="B269" s="1115">
        <v>44937</v>
      </c>
      <c r="C269" s="242">
        <f t="shared" si="9"/>
        <v>1</v>
      </c>
      <c r="D269" s="242">
        <v>42.1</v>
      </c>
      <c r="E269" s="845">
        <f t="shared" si="10"/>
        <v>5.6111111111111116</v>
      </c>
    </row>
    <row r="270" spans="2:5">
      <c r="B270" s="1115">
        <v>44937</v>
      </c>
      <c r="C270" s="242">
        <f t="shared" si="9"/>
        <v>1</v>
      </c>
      <c r="D270" s="242">
        <v>42.1</v>
      </c>
      <c r="E270" s="845">
        <f t="shared" si="10"/>
        <v>5.6111111111111116</v>
      </c>
    </row>
    <row r="271" spans="2:5">
      <c r="B271" s="1115">
        <v>44937</v>
      </c>
      <c r="C271" s="242">
        <f t="shared" si="9"/>
        <v>1</v>
      </c>
      <c r="D271" s="242">
        <v>41.9</v>
      </c>
      <c r="E271" s="845">
        <f t="shared" si="10"/>
        <v>5.4999999999999991</v>
      </c>
    </row>
    <row r="272" spans="2:5">
      <c r="B272" s="1115">
        <v>44937</v>
      </c>
      <c r="C272" s="242">
        <f t="shared" si="9"/>
        <v>1</v>
      </c>
      <c r="D272" s="242">
        <v>41.7</v>
      </c>
      <c r="E272" s="845">
        <f t="shared" si="10"/>
        <v>5.3888888888888902</v>
      </c>
    </row>
    <row r="273" spans="2:5">
      <c r="B273" s="1115">
        <v>44938</v>
      </c>
      <c r="C273" s="242">
        <f t="shared" si="9"/>
        <v>1</v>
      </c>
      <c r="D273" s="242" t="s">
        <v>1837</v>
      </c>
      <c r="E273" s="845">
        <f t="shared" si="10"/>
        <v>5</v>
      </c>
    </row>
    <row r="274" spans="2:5">
      <c r="B274" s="1115">
        <v>44938</v>
      </c>
      <c r="C274" s="242">
        <f t="shared" si="9"/>
        <v>1</v>
      </c>
      <c r="D274" s="242">
        <v>39.9</v>
      </c>
      <c r="E274" s="845">
        <f t="shared" si="10"/>
        <v>4.3888888888888884</v>
      </c>
    </row>
    <row r="275" spans="2:5">
      <c r="B275" s="1115">
        <v>44938</v>
      </c>
      <c r="C275" s="242">
        <f t="shared" si="9"/>
        <v>1</v>
      </c>
      <c r="D275" s="242">
        <v>39.200000000000003</v>
      </c>
      <c r="E275" s="845">
        <f t="shared" si="10"/>
        <v>4.0000000000000018</v>
      </c>
    </row>
    <row r="276" spans="2:5">
      <c r="B276" s="1115">
        <v>44938</v>
      </c>
      <c r="C276" s="242">
        <f t="shared" si="9"/>
        <v>1</v>
      </c>
      <c r="D276" s="242">
        <v>38.799999999999997</v>
      </c>
      <c r="E276" s="845">
        <f t="shared" si="10"/>
        <v>3.7777777777777759</v>
      </c>
    </row>
    <row r="277" spans="2:5">
      <c r="B277" s="1115">
        <v>44938</v>
      </c>
      <c r="C277" s="242">
        <f t="shared" si="9"/>
        <v>1</v>
      </c>
      <c r="D277" s="242">
        <v>38.799999999999997</v>
      </c>
      <c r="E277" s="845">
        <f t="shared" si="10"/>
        <v>3.7777777777777759</v>
      </c>
    </row>
    <row r="278" spans="2:5">
      <c r="B278" s="1115">
        <v>44938</v>
      </c>
      <c r="C278" s="242">
        <f t="shared" si="9"/>
        <v>1</v>
      </c>
      <c r="D278" s="242">
        <v>39.6</v>
      </c>
      <c r="E278" s="845">
        <f t="shared" si="10"/>
        <v>4.2222222222222232</v>
      </c>
    </row>
    <row r="279" spans="2:5">
      <c r="B279" s="1115">
        <v>44938</v>
      </c>
      <c r="C279" s="242">
        <f t="shared" si="9"/>
        <v>1</v>
      </c>
      <c r="D279" s="242">
        <v>40.5</v>
      </c>
      <c r="E279" s="845">
        <f t="shared" si="10"/>
        <v>4.7222222222222223</v>
      </c>
    </row>
    <row r="280" spans="2:5">
      <c r="B280" s="1115">
        <v>44938</v>
      </c>
      <c r="C280" s="242">
        <f t="shared" si="9"/>
        <v>1</v>
      </c>
      <c r="D280" s="242" t="s">
        <v>1837</v>
      </c>
      <c r="E280" s="845">
        <f t="shared" si="10"/>
        <v>5</v>
      </c>
    </row>
    <row r="281" spans="2:5">
      <c r="B281" s="1115">
        <v>44938</v>
      </c>
      <c r="C281" s="242">
        <f t="shared" si="9"/>
        <v>1</v>
      </c>
      <c r="D281" s="242">
        <v>41.4</v>
      </c>
      <c r="E281" s="845">
        <f t="shared" si="10"/>
        <v>5.2222222222222214</v>
      </c>
    </row>
    <row r="282" spans="2:5">
      <c r="B282" s="1115">
        <v>44938</v>
      </c>
      <c r="C282" s="242">
        <f t="shared" si="9"/>
        <v>1</v>
      </c>
      <c r="D282" s="242">
        <v>41.5</v>
      </c>
      <c r="E282" s="845">
        <f t="shared" si="10"/>
        <v>5.2777777777777777</v>
      </c>
    </row>
    <row r="283" spans="2:5">
      <c r="B283" s="1115">
        <v>44938</v>
      </c>
      <c r="C283" s="242">
        <f t="shared" si="9"/>
        <v>1</v>
      </c>
      <c r="D283" s="242">
        <v>41.4</v>
      </c>
      <c r="E283" s="845">
        <f t="shared" si="10"/>
        <v>5.2222222222222214</v>
      </c>
    </row>
    <row r="284" spans="2:5">
      <c r="B284" s="1115">
        <v>44938</v>
      </c>
      <c r="C284" s="242">
        <f t="shared" si="9"/>
        <v>1</v>
      </c>
      <c r="D284" s="242">
        <v>41.4</v>
      </c>
      <c r="E284" s="845">
        <f t="shared" si="10"/>
        <v>5.2222222222222214</v>
      </c>
    </row>
    <row r="285" spans="2:5">
      <c r="B285" s="1115">
        <v>44938</v>
      </c>
      <c r="C285" s="242">
        <f t="shared" si="9"/>
        <v>1</v>
      </c>
      <c r="D285" s="242">
        <v>40.799999999999997</v>
      </c>
      <c r="E285" s="845">
        <f t="shared" si="10"/>
        <v>4.8888888888888875</v>
      </c>
    </row>
    <row r="286" spans="2:5">
      <c r="B286" s="1115">
        <v>44938</v>
      </c>
      <c r="C286" s="242">
        <f t="shared" si="9"/>
        <v>1</v>
      </c>
      <c r="D286" s="242">
        <v>39.9</v>
      </c>
      <c r="E286" s="845">
        <f t="shared" si="10"/>
        <v>4.3888888888888884</v>
      </c>
    </row>
    <row r="287" spans="2:5">
      <c r="B287" s="1115">
        <v>44938</v>
      </c>
      <c r="C287" s="242">
        <f t="shared" si="9"/>
        <v>1</v>
      </c>
      <c r="D287" s="242">
        <v>39.200000000000003</v>
      </c>
      <c r="E287" s="845">
        <f t="shared" si="10"/>
        <v>4.0000000000000018</v>
      </c>
    </row>
    <row r="288" spans="2:5">
      <c r="B288" s="1115">
        <v>44938</v>
      </c>
      <c r="C288" s="242">
        <f t="shared" si="9"/>
        <v>1</v>
      </c>
      <c r="D288" s="242">
        <v>38.799999999999997</v>
      </c>
      <c r="E288" s="845">
        <f t="shared" si="10"/>
        <v>3.7777777777777759</v>
      </c>
    </row>
    <row r="289" spans="2:5">
      <c r="B289" s="1115">
        <v>44938</v>
      </c>
      <c r="C289" s="242">
        <f t="shared" si="9"/>
        <v>1</v>
      </c>
      <c r="D289" s="242">
        <v>39.200000000000003</v>
      </c>
      <c r="E289" s="845">
        <f t="shared" si="10"/>
        <v>4.0000000000000018</v>
      </c>
    </row>
    <row r="290" spans="2:5">
      <c r="B290" s="1115">
        <v>44938</v>
      </c>
      <c r="C290" s="242">
        <f t="shared" si="9"/>
        <v>1</v>
      </c>
      <c r="D290" s="242">
        <v>39.9</v>
      </c>
      <c r="E290" s="845">
        <f t="shared" si="10"/>
        <v>4.3888888888888884</v>
      </c>
    </row>
    <row r="291" spans="2:5">
      <c r="B291" s="1115">
        <v>44938</v>
      </c>
      <c r="C291" s="242">
        <f t="shared" si="9"/>
        <v>1</v>
      </c>
      <c r="D291" s="242">
        <v>40.6</v>
      </c>
      <c r="E291" s="845">
        <f t="shared" si="10"/>
        <v>4.7777777777777786</v>
      </c>
    </row>
    <row r="292" spans="2:5">
      <c r="B292" s="1115">
        <v>44938</v>
      </c>
      <c r="C292" s="242">
        <f t="shared" si="9"/>
        <v>1</v>
      </c>
      <c r="D292" s="242">
        <v>40.799999999999997</v>
      </c>
      <c r="E292" s="845">
        <f t="shared" si="10"/>
        <v>4.8888888888888875</v>
      </c>
    </row>
    <row r="293" spans="2:5">
      <c r="B293" s="1115">
        <v>44938</v>
      </c>
      <c r="C293" s="242">
        <f t="shared" si="9"/>
        <v>1</v>
      </c>
      <c r="D293" s="242">
        <v>41.2</v>
      </c>
      <c r="E293" s="845">
        <f t="shared" si="10"/>
        <v>5.1111111111111125</v>
      </c>
    </row>
    <row r="294" spans="2:5">
      <c r="B294" s="1115">
        <v>44938</v>
      </c>
      <c r="C294" s="242">
        <f t="shared" si="9"/>
        <v>1</v>
      </c>
      <c r="D294" s="242">
        <v>41.4</v>
      </c>
      <c r="E294" s="845">
        <f t="shared" si="10"/>
        <v>5.2222222222222214</v>
      </c>
    </row>
    <row r="295" spans="2:5">
      <c r="B295" s="1115">
        <v>44938</v>
      </c>
      <c r="C295" s="242">
        <f t="shared" si="9"/>
        <v>1</v>
      </c>
      <c r="D295" s="242">
        <v>41.2</v>
      </c>
      <c r="E295" s="845">
        <f t="shared" si="10"/>
        <v>5.1111111111111125</v>
      </c>
    </row>
    <row r="296" spans="2:5">
      <c r="B296" s="1115">
        <v>44938</v>
      </c>
      <c r="C296" s="242">
        <f t="shared" si="9"/>
        <v>1</v>
      </c>
      <c r="D296" s="242">
        <v>41.2</v>
      </c>
      <c r="E296" s="845">
        <f t="shared" si="10"/>
        <v>5.1111111111111125</v>
      </c>
    </row>
    <row r="297" spans="2:5">
      <c r="B297" s="1115">
        <v>44939</v>
      </c>
      <c r="C297" s="242">
        <f t="shared" si="9"/>
        <v>1</v>
      </c>
      <c r="D297" s="242">
        <v>40.799999999999997</v>
      </c>
      <c r="E297" s="845">
        <f t="shared" si="10"/>
        <v>4.8888888888888875</v>
      </c>
    </row>
    <row r="298" spans="2:5">
      <c r="B298" s="1115">
        <v>44939</v>
      </c>
      <c r="C298" s="242">
        <f t="shared" si="9"/>
        <v>1</v>
      </c>
      <c r="D298" s="242">
        <v>40.1</v>
      </c>
      <c r="E298" s="845">
        <f t="shared" si="10"/>
        <v>4.5000000000000009</v>
      </c>
    </row>
    <row r="299" spans="2:5">
      <c r="B299" s="1115">
        <v>44939</v>
      </c>
      <c r="C299" s="242">
        <f t="shared" si="9"/>
        <v>1</v>
      </c>
      <c r="D299" s="242">
        <v>39.200000000000003</v>
      </c>
      <c r="E299" s="845">
        <f t="shared" si="10"/>
        <v>4.0000000000000018</v>
      </c>
    </row>
    <row r="300" spans="2:5">
      <c r="B300" s="1115">
        <v>44939</v>
      </c>
      <c r="C300" s="242">
        <f t="shared" si="9"/>
        <v>1</v>
      </c>
      <c r="D300" s="242">
        <v>38.799999999999997</v>
      </c>
      <c r="E300" s="845">
        <f t="shared" si="10"/>
        <v>3.7777777777777759</v>
      </c>
    </row>
    <row r="301" spans="2:5">
      <c r="B301" s="1115">
        <v>44939</v>
      </c>
      <c r="C301" s="242">
        <f t="shared" si="9"/>
        <v>1</v>
      </c>
      <c r="D301" s="242">
        <v>38.700000000000003</v>
      </c>
      <c r="E301" s="845">
        <f t="shared" si="10"/>
        <v>3.7222222222222237</v>
      </c>
    </row>
    <row r="302" spans="2:5">
      <c r="B302" s="1115">
        <v>44939</v>
      </c>
      <c r="C302" s="242">
        <f t="shared" si="9"/>
        <v>1</v>
      </c>
      <c r="D302" s="242" t="s">
        <v>1839</v>
      </c>
      <c r="E302" s="845">
        <f t="shared" si="10"/>
        <v>3.8888888888888888</v>
      </c>
    </row>
    <row r="303" spans="2:5">
      <c r="B303" s="1115">
        <v>44939</v>
      </c>
      <c r="C303" s="242">
        <f t="shared" si="9"/>
        <v>1</v>
      </c>
      <c r="D303" s="242">
        <v>40.1</v>
      </c>
      <c r="E303" s="845">
        <f t="shared" si="10"/>
        <v>4.5000000000000009</v>
      </c>
    </row>
    <row r="304" spans="2:5">
      <c r="B304" s="1115">
        <v>44939</v>
      </c>
      <c r="C304" s="242">
        <f t="shared" si="9"/>
        <v>1</v>
      </c>
      <c r="D304" s="242">
        <v>40.5</v>
      </c>
      <c r="E304" s="845">
        <f t="shared" si="10"/>
        <v>4.7222222222222223</v>
      </c>
    </row>
    <row r="305" spans="2:5">
      <c r="B305" s="1115">
        <v>44939</v>
      </c>
      <c r="C305" s="242">
        <f t="shared" si="9"/>
        <v>1</v>
      </c>
      <c r="D305" s="242">
        <v>40.799999999999997</v>
      </c>
      <c r="E305" s="845">
        <f t="shared" si="10"/>
        <v>4.8888888888888875</v>
      </c>
    </row>
    <row r="306" spans="2:5">
      <c r="B306" s="1115">
        <v>44939</v>
      </c>
      <c r="C306" s="242">
        <f t="shared" si="9"/>
        <v>1</v>
      </c>
      <c r="D306" s="242">
        <v>41.2</v>
      </c>
      <c r="E306" s="845">
        <f t="shared" si="10"/>
        <v>5.1111111111111125</v>
      </c>
    </row>
    <row r="307" spans="2:5">
      <c r="B307" s="1115">
        <v>44939</v>
      </c>
      <c r="C307" s="242">
        <f t="shared" si="9"/>
        <v>1</v>
      </c>
      <c r="D307" s="242">
        <v>41.2</v>
      </c>
      <c r="E307" s="845">
        <f t="shared" si="10"/>
        <v>5.1111111111111125</v>
      </c>
    </row>
    <row r="308" spans="2:5">
      <c r="B308" s="1115">
        <v>44939</v>
      </c>
      <c r="C308" s="242">
        <f t="shared" si="9"/>
        <v>1</v>
      </c>
      <c r="D308" s="242">
        <v>41.2</v>
      </c>
      <c r="E308" s="845">
        <f t="shared" si="10"/>
        <v>5.1111111111111125</v>
      </c>
    </row>
    <row r="309" spans="2:5">
      <c r="B309" s="1115">
        <v>44939</v>
      </c>
      <c r="C309" s="242">
        <f t="shared" si="9"/>
        <v>1</v>
      </c>
      <c r="D309" s="242" t="s">
        <v>1837</v>
      </c>
      <c r="E309" s="845">
        <f t="shared" si="10"/>
        <v>5</v>
      </c>
    </row>
    <row r="310" spans="2:5">
      <c r="B310" s="1115">
        <v>44939</v>
      </c>
      <c r="C310" s="242">
        <f t="shared" si="9"/>
        <v>1</v>
      </c>
      <c r="D310" s="242">
        <v>40.6</v>
      </c>
      <c r="E310" s="845">
        <f t="shared" si="10"/>
        <v>4.7777777777777786</v>
      </c>
    </row>
    <row r="311" spans="2:5">
      <c r="B311" s="1115">
        <v>44939</v>
      </c>
      <c r="C311" s="242">
        <f t="shared" si="9"/>
        <v>1</v>
      </c>
      <c r="D311" s="242">
        <v>39.9</v>
      </c>
      <c r="E311" s="845">
        <f t="shared" si="10"/>
        <v>4.3888888888888884</v>
      </c>
    </row>
    <row r="312" spans="2:5">
      <c r="B312" s="1115">
        <v>44939</v>
      </c>
      <c r="C312" s="242">
        <f t="shared" si="9"/>
        <v>1</v>
      </c>
      <c r="D312" s="242">
        <v>39.4</v>
      </c>
      <c r="E312" s="845">
        <f t="shared" si="10"/>
        <v>4.1111111111111098</v>
      </c>
    </row>
    <row r="313" spans="2:5">
      <c r="B313" s="1115">
        <v>44939</v>
      </c>
      <c r="C313" s="242">
        <f t="shared" si="9"/>
        <v>1</v>
      </c>
      <c r="D313" s="242">
        <v>39.200000000000003</v>
      </c>
      <c r="E313" s="845">
        <f t="shared" si="10"/>
        <v>4.0000000000000018</v>
      </c>
    </row>
    <row r="314" spans="2:5">
      <c r="B314" s="1115">
        <v>44939</v>
      </c>
      <c r="C314" s="242">
        <f t="shared" si="9"/>
        <v>1</v>
      </c>
      <c r="D314" s="242">
        <v>39.200000000000003</v>
      </c>
      <c r="E314" s="845">
        <f t="shared" si="10"/>
        <v>4.0000000000000018</v>
      </c>
    </row>
    <row r="315" spans="2:5">
      <c r="B315" s="1115">
        <v>44939</v>
      </c>
      <c r="C315" s="242">
        <f t="shared" si="9"/>
        <v>1</v>
      </c>
      <c r="D315" s="242">
        <v>39.9</v>
      </c>
      <c r="E315" s="845">
        <f t="shared" si="10"/>
        <v>4.3888888888888884</v>
      </c>
    </row>
    <row r="316" spans="2:5">
      <c r="B316" s="1115">
        <v>44939</v>
      </c>
      <c r="C316" s="242">
        <f t="shared" si="9"/>
        <v>1</v>
      </c>
      <c r="D316" s="242">
        <v>40.5</v>
      </c>
      <c r="E316" s="845">
        <f t="shared" si="10"/>
        <v>4.7222222222222223</v>
      </c>
    </row>
    <row r="317" spans="2:5">
      <c r="B317" s="1115">
        <v>44939</v>
      </c>
      <c r="C317" s="242">
        <f t="shared" si="9"/>
        <v>1</v>
      </c>
      <c r="D317" s="242" t="s">
        <v>1837</v>
      </c>
      <c r="E317" s="845">
        <f t="shared" si="10"/>
        <v>5</v>
      </c>
    </row>
    <row r="318" spans="2:5">
      <c r="B318" s="1115">
        <v>44939</v>
      </c>
      <c r="C318" s="242">
        <f t="shared" si="9"/>
        <v>1</v>
      </c>
      <c r="D318" s="242">
        <v>41.2</v>
      </c>
      <c r="E318" s="845">
        <f t="shared" si="10"/>
        <v>5.1111111111111125</v>
      </c>
    </row>
    <row r="319" spans="2:5">
      <c r="B319" s="1115">
        <v>44939</v>
      </c>
      <c r="C319" s="242">
        <f t="shared" si="9"/>
        <v>1</v>
      </c>
      <c r="D319" s="242">
        <v>41.5</v>
      </c>
      <c r="E319" s="845">
        <f t="shared" si="10"/>
        <v>5.2777777777777777</v>
      </c>
    </row>
    <row r="320" spans="2:5">
      <c r="B320" s="1115">
        <v>44939</v>
      </c>
      <c r="C320" s="242">
        <f t="shared" si="9"/>
        <v>1</v>
      </c>
      <c r="D320" s="242">
        <v>41.4</v>
      </c>
      <c r="E320" s="845">
        <f t="shared" si="10"/>
        <v>5.2222222222222214</v>
      </c>
    </row>
    <row r="321" spans="2:5">
      <c r="B321" s="1115">
        <v>44940</v>
      </c>
      <c r="C321" s="242">
        <f t="shared" si="9"/>
        <v>1</v>
      </c>
      <c r="D321" s="242">
        <v>41.2</v>
      </c>
      <c r="E321" s="845">
        <f t="shared" si="10"/>
        <v>5.1111111111111125</v>
      </c>
    </row>
    <row r="322" spans="2:5">
      <c r="B322" s="1115">
        <v>44940</v>
      </c>
      <c r="C322" s="242">
        <f t="shared" si="9"/>
        <v>1</v>
      </c>
      <c r="D322" s="242">
        <v>40.6</v>
      </c>
      <c r="E322" s="845">
        <f t="shared" si="10"/>
        <v>4.7777777777777786</v>
      </c>
    </row>
    <row r="323" spans="2:5">
      <c r="B323" s="1115">
        <v>44940</v>
      </c>
      <c r="C323" s="242">
        <f t="shared" si="9"/>
        <v>1</v>
      </c>
      <c r="D323" s="242">
        <v>39.9</v>
      </c>
      <c r="E323" s="845">
        <f t="shared" si="10"/>
        <v>4.3888888888888884</v>
      </c>
    </row>
    <row r="324" spans="2:5">
      <c r="B324" s="1115">
        <v>44940</v>
      </c>
      <c r="C324" s="242">
        <f t="shared" si="9"/>
        <v>1</v>
      </c>
      <c r="D324" s="242">
        <v>39.200000000000003</v>
      </c>
      <c r="E324" s="845">
        <f t="shared" si="10"/>
        <v>4.0000000000000018</v>
      </c>
    </row>
    <row r="325" spans="2:5">
      <c r="B325" s="1115">
        <v>44940</v>
      </c>
      <c r="C325" s="242">
        <f t="shared" si="9"/>
        <v>1</v>
      </c>
      <c r="D325" s="242">
        <v>38.799999999999997</v>
      </c>
      <c r="E325" s="845">
        <f t="shared" si="10"/>
        <v>3.7777777777777759</v>
      </c>
    </row>
    <row r="326" spans="2:5">
      <c r="B326" s="1115">
        <v>44940</v>
      </c>
      <c r="C326" s="242">
        <f t="shared" si="9"/>
        <v>1</v>
      </c>
      <c r="D326" s="242">
        <v>38.799999999999997</v>
      </c>
      <c r="E326" s="845">
        <f t="shared" si="10"/>
        <v>3.7777777777777759</v>
      </c>
    </row>
    <row r="327" spans="2:5">
      <c r="B327" s="1115">
        <v>44940</v>
      </c>
      <c r="C327" s="242">
        <f t="shared" si="9"/>
        <v>1</v>
      </c>
      <c r="D327" s="242">
        <v>39.200000000000003</v>
      </c>
      <c r="E327" s="845">
        <f t="shared" si="10"/>
        <v>4.0000000000000018</v>
      </c>
    </row>
    <row r="328" spans="2:5">
      <c r="B328" s="1115">
        <v>44940</v>
      </c>
      <c r="C328" s="242">
        <f t="shared" si="9"/>
        <v>1</v>
      </c>
      <c r="D328" s="242">
        <v>40.799999999999997</v>
      </c>
      <c r="E328" s="845">
        <f t="shared" si="10"/>
        <v>4.8888888888888875</v>
      </c>
    </row>
    <row r="329" spans="2:5">
      <c r="B329" s="1115">
        <v>44940</v>
      </c>
      <c r="C329" s="242">
        <f t="shared" si="9"/>
        <v>1</v>
      </c>
      <c r="D329" s="242">
        <v>41.5</v>
      </c>
      <c r="E329" s="845">
        <f t="shared" si="10"/>
        <v>5.2777777777777777</v>
      </c>
    </row>
    <row r="330" spans="2:5">
      <c r="B330" s="1115">
        <v>44940</v>
      </c>
      <c r="C330" s="242">
        <f t="shared" ref="C330:C393" si="11">MONTH(B330)</f>
        <v>1</v>
      </c>
      <c r="D330" s="242">
        <v>41.9</v>
      </c>
      <c r="E330" s="845">
        <f t="shared" ref="E330:E393" si="12">CONVERT(D330,"F","C")</f>
        <v>5.4999999999999991</v>
      </c>
    </row>
    <row r="331" spans="2:5">
      <c r="B331" s="1115">
        <v>44940</v>
      </c>
      <c r="C331" s="242">
        <f t="shared" si="11"/>
        <v>1</v>
      </c>
      <c r="D331" s="242">
        <v>41.9</v>
      </c>
      <c r="E331" s="845">
        <f t="shared" si="12"/>
        <v>5.4999999999999991</v>
      </c>
    </row>
    <row r="332" spans="2:5">
      <c r="B332" s="1115">
        <v>44940</v>
      </c>
      <c r="C332" s="242">
        <f t="shared" si="11"/>
        <v>1</v>
      </c>
      <c r="D332" s="242">
        <v>41.9</v>
      </c>
      <c r="E332" s="845">
        <f t="shared" si="12"/>
        <v>5.4999999999999991</v>
      </c>
    </row>
    <row r="333" spans="2:5">
      <c r="B333" s="1115">
        <v>44940</v>
      </c>
      <c r="C333" s="242">
        <f t="shared" si="11"/>
        <v>1</v>
      </c>
      <c r="D333" s="242">
        <v>41.7</v>
      </c>
      <c r="E333" s="845">
        <f t="shared" si="12"/>
        <v>5.3888888888888902</v>
      </c>
    </row>
    <row r="334" spans="2:5">
      <c r="B334" s="1115">
        <v>44940</v>
      </c>
      <c r="C334" s="242">
        <f t="shared" si="11"/>
        <v>1</v>
      </c>
      <c r="D334" s="242">
        <v>41.2</v>
      </c>
      <c r="E334" s="845">
        <f t="shared" si="12"/>
        <v>5.1111111111111125</v>
      </c>
    </row>
    <row r="335" spans="2:5">
      <c r="B335" s="1115">
        <v>44940</v>
      </c>
      <c r="C335" s="242">
        <f t="shared" si="11"/>
        <v>1</v>
      </c>
      <c r="D335" s="242">
        <v>40.299999999999997</v>
      </c>
      <c r="E335" s="845">
        <f t="shared" si="12"/>
        <v>4.6111111111111098</v>
      </c>
    </row>
    <row r="336" spans="2:5">
      <c r="B336" s="1115">
        <v>44940</v>
      </c>
      <c r="C336" s="242">
        <f t="shared" si="11"/>
        <v>1</v>
      </c>
      <c r="D336" s="242">
        <v>39.4</v>
      </c>
      <c r="E336" s="845">
        <f t="shared" si="12"/>
        <v>4.1111111111111098</v>
      </c>
    </row>
    <row r="337" spans="2:5">
      <c r="B337" s="1115">
        <v>44940</v>
      </c>
      <c r="C337" s="242">
        <f t="shared" si="11"/>
        <v>1</v>
      </c>
      <c r="D337" s="242">
        <v>38.799999999999997</v>
      </c>
      <c r="E337" s="845">
        <f t="shared" si="12"/>
        <v>3.7777777777777759</v>
      </c>
    </row>
    <row r="338" spans="2:5">
      <c r="B338" s="1115">
        <v>44940</v>
      </c>
      <c r="C338" s="242">
        <f t="shared" si="11"/>
        <v>1</v>
      </c>
      <c r="D338" s="242">
        <v>38.700000000000003</v>
      </c>
      <c r="E338" s="845">
        <f t="shared" si="12"/>
        <v>3.7222222222222237</v>
      </c>
    </row>
    <row r="339" spans="2:5">
      <c r="B339" s="1115">
        <v>44940</v>
      </c>
      <c r="C339" s="242">
        <f t="shared" si="11"/>
        <v>1</v>
      </c>
      <c r="D339" s="242" t="s">
        <v>1839</v>
      </c>
      <c r="E339" s="845">
        <f t="shared" si="12"/>
        <v>3.8888888888888888</v>
      </c>
    </row>
    <row r="340" spans="2:5">
      <c r="B340" s="1115">
        <v>44940</v>
      </c>
      <c r="C340" s="242">
        <f t="shared" si="11"/>
        <v>1</v>
      </c>
      <c r="D340" s="242">
        <v>40.799999999999997</v>
      </c>
      <c r="E340" s="845">
        <f t="shared" si="12"/>
        <v>4.8888888888888875</v>
      </c>
    </row>
    <row r="341" spans="2:5">
      <c r="B341" s="1115">
        <v>44940</v>
      </c>
      <c r="C341" s="242">
        <f t="shared" si="11"/>
        <v>1</v>
      </c>
      <c r="D341" s="242">
        <v>41.4</v>
      </c>
      <c r="E341" s="845">
        <f t="shared" si="12"/>
        <v>5.2222222222222214</v>
      </c>
    </row>
    <row r="342" spans="2:5">
      <c r="B342" s="1115">
        <v>44940</v>
      </c>
      <c r="C342" s="242">
        <f t="shared" si="11"/>
        <v>1</v>
      </c>
      <c r="D342" s="242">
        <v>41.7</v>
      </c>
      <c r="E342" s="845">
        <f t="shared" si="12"/>
        <v>5.3888888888888902</v>
      </c>
    </row>
    <row r="343" spans="2:5">
      <c r="B343" s="1115">
        <v>44940</v>
      </c>
      <c r="C343" s="242">
        <f t="shared" si="11"/>
        <v>1</v>
      </c>
      <c r="D343" s="242">
        <v>42.1</v>
      </c>
      <c r="E343" s="845">
        <f t="shared" si="12"/>
        <v>5.6111111111111116</v>
      </c>
    </row>
    <row r="344" spans="2:5">
      <c r="B344" s="1115">
        <v>44940</v>
      </c>
      <c r="C344" s="242">
        <f t="shared" si="11"/>
        <v>1</v>
      </c>
      <c r="D344" s="242">
        <v>42.1</v>
      </c>
      <c r="E344" s="845">
        <f t="shared" si="12"/>
        <v>5.6111111111111116</v>
      </c>
    </row>
    <row r="345" spans="2:5">
      <c r="B345" s="1115">
        <v>44941</v>
      </c>
      <c r="C345" s="242">
        <f t="shared" si="11"/>
        <v>1</v>
      </c>
      <c r="D345" s="242">
        <v>41.7</v>
      </c>
      <c r="E345" s="845">
        <f t="shared" si="12"/>
        <v>5.3888888888888902</v>
      </c>
    </row>
    <row r="346" spans="2:5">
      <c r="B346" s="1115">
        <v>44941</v>
      </c>
      <c r="C346" s="242">
        <f t="shared" si="11"/>
        <v>1</v>
      </c>
      <c r="D346" s="242">
        <v>41.5</v>
      </c>
      <c r="E346" s="845">
        <f t="shared" si="12"/>
        <v>5.2777777777777777</v>
      </c>
    </row>
    <row r="347" spans="2:5">
      <c r="B347" s="1115">
        <v>44941</v>
      </c>
      <c r="C347" s="242">
        <f t="shared" si="11"/>
        <v>1</v>
      </c>
      <c r="D347" s="242">
        <v>40.6</v>
      </c>
      <c r="E347" s="845">
        <f t="shared" si="12"/>
        <v>4.7777777777777786</v>
      </c>
    </row>
    <row r="348" spans="2:5">
      <c r="B348" s="1115">
        <v>44941</v>
      </c>
      <c r="C348" s="242">
        <f t="shared" si="11"/>
        <v>1</v>
      </c>
      <c r="D348" s="242">
        <v>39.6</v>
      </c>
      <c r="E348" s="845">
        <f t="shared" si="12"/>
        <v>4.2222222222222232</v>
      </c>
    </row>
    <row r="349" spans="2:5">
      <c r="B349" s="1115">
        <v>44941</v>
      </c>
      <c r="C349" s="242">
        <f t="shared" si="11"/>
        <v>1</v>
      </c>
      <c r="D349" s="242">
        <v>38.799999999999997</v>
      </c>
      <c r="E349" s="845">
        <f t="shared" si="12"/>
        <v>3.7777777777777759</v>
      </c>
    </row>
    <row r="350" spans="2:5">
      <c r="B350" s="1115">
        <v>44941</v>
      </c>
      <c r="C350" s="242">
        <f t="shared" si="11"/>
        <v>1</v>
      </c>
      <c r="D350" s="242">
        <v>38.5</v>
      </c>
      <c r="E350" s="845">
        <f t="shared" si="12"/>
        <v>3.6111111111111112</v>
      </c>
    </row>
    <row r="351" spans="2:5">
      <c r="B351" s="1115">
        <v>44941</v>
      </c>
      <c r="C351" s="242">
        <f t="shared" si="11"/>
        <v>1</v>
      </c>
      <c r="D351" s="242">
        <v>38.5</v>
      </c>
      <c r="E351" s="845">
        <f t="shared" si="12"/>
        <v>3.6111111111111112</v>
      </c>
    </row>
    <row r="352" spans="2:5">
      <c r="B352" s="1115">
        <v>44941</v>
      </c>
      <c r="C352" s="242">
        <f t="shared" si="11"/>
        <v>1</v>
      </c>
      <c r="D352" s="242">
        <v>39.6</v>
      </c>
      <c r="E352" s="845">
        <f t="shared" si="12"/>
        <v>4.2222222222222232</v>
      </c>
    </row>
    <row r="353" spans="2:5">
      <c r="B353" s="1115">
        <v>44941</v>
      </c>
      <c r="C353" s="242">
        <f t="shared" si="11"/>
        <v>1</v>
      </c>
      <c r="D353" s="242">
        <v>41.2</v>
      </c>
      <c r="E353" s="845">
        <f t="shared" si="12"/>
        <v>5.1111111111111125</v>
      </c>
    </row>
    <row r="354" spans="2:5">
      <c r="B354" s="1115">
        <v>44941</v>
      </c>
      <c r="C354" s="242">
        <f t="shared" si="11"/>
        <v>1</v>
      </c>
      <c r="D354" s="242" t="s">
        <v>1837</v>
      </c>
      <c r="E354" s="845">
        <f t="shared" si="12"/>
        <v>5</v>
      </c>
    </row>
    <row r="355" spans="2:5">
      <c r="B355" s="1115">
        <v>44941</v>
      </c>
      <c r="C355" s="242">
        <f t="shared" si="11"/>
        <v>1</v>
      </c>
      <c r="D355" s="242">
        <v>41.4</v>
      </c>
      <c r="E355" s="845">
        <f t="shared" si="12"/>
        <v>5.2222222222222214</v>
      </c>
    </row>
    <row r="356" spans="2:5">
      <c r="B356" s="1115">
        <v>44941</v>
      </c>
      <c r="C356" s="242">
        <f t="shared" si="11"/>
        <v>1</v>
      </c>
      <c r="D356" s="242">
        <v>41.5</v>
      </c>
      <c r="E356" s="845">
        <f t="shared" si="12"/>
        <v>5.2777777777777777</v>
      </c>
    </row>
    <row r="357" spans="2:5">
      <c r="B357" s="1115">
        <v>44941</v>
      </c>
      <c r="C357" s="242">
        <f t="shared" si="11"/>
        <v>1</v>
      </c>
      <c r="D357" s="242">
        <v>41.2</v>
      </c>
      <c r="E357" s="845">
        <f t="shared" si="12"/>
        <v>5.1111111111111125</v>
      </c>
    </row>
    <row r="358" spans="2:5">
      <c r="B358" s="1115">
        <v>44941</v>
      </c>
      <c r="C358" s="242">
        <f t="shared" si="11"/>
        <v>1</v>
      </c>
      <c r="D358" s="242">
        <v>41.2</v>
      </c>
      <c r="E358" s="845">
        <f t="shared" si="12"/>
        <v>5.1111111111111125</v>
      </c>
    </row>
    <row r="359" spans="2:5">
      <c r="B359" s="1115">
        <v>44941</v>
      </c>
      <c r="C359" s="242">
        <f t="shared" si="11"/>
        <v>1</v>
      </c>
      <c r="D359" s="242">
        <v>40.799999999999997</v>
      </c>
      <c r="E359" s="845">
        <f t="shared" si="12"/>
        <v>4.8888888888888875</v>
      </c>
    </row>
    <row r="360" spans="2:5">
      <c r="B360" s="1115">
        <v>44941</v>
      </c>
      <c r="C360" s="242">
        <f t="shared" si="11"/>
        <v>1</v>
      </c>
      <c r="D360" s="242">
        <v>39.9</v>
      </c>
      <c r="E360" s="845">
        <f t="shared" si="12"/>
        <v>4.3888888888888884</v>
      </c>
    </row>
    <row r="361" spans="2:5">
      <c r="B361" s="1115">
        <v>44941</v>
      </c>
      <c r="C361" s="242">
        <f t="shared" si="11"/>
        <v>1</v>
      </c>
      <c r="D361" s="242">
        <v>39.200000000000003</v>
      </c>
      <c r="E361" s="845">
        <f t="shared" si="12"/>
        <v>4.0000000000000018</v>
      </c>
    </row>
    <row r="362" spans="2:5">
      <c r="B362" s="1115">
        <v>44941</v>
      </c>
      <c r="C362" s="242">
        <f t="shared" si="11"/>
        <v>1</v>
      </c>
      <c r="D362" s="242">
        <v>38.799999999999997</v>
      </c>
      <c r="E362" s="845">
        <f t="shared" si="12"/>
        <v>3.7777777777777759</v>
      </c>
    </row>
    <row r="363" spans="2:5">
      <c r="B363" s="1115">
        <v>44941</v>
      </c>
      <c r="C363" s="242">
        <f t="shared" si="11"/>
        <v>1</v>
      </c>
      <c r="D363" s="242">
        <v>38.700000000000003</v>
      </c>
      <c r="E363" s="845">
        <f t="shared" si="12"/>
        <v>3.7222222222222237</v>
      </c>
    </row>
    <row r="364" spans="2:5">
      <c r="B364" s="1115">
        <v>44941</v>
      </c>
      <c r="C364" s="242">
        <f t="shared" si="11"/>
        <v>1</v>
      </c>
      <c r="D364" s="242">
        <v>39.4</v>
      </c>
      <c r="E364" s="845">
        <f t="shared" si="12"/>
        <v>4.1111111111111098</v>
      </c>
    </row>
    <row r="365" spans="2:5">
      <c r="B365" s="1115">
        <v>44941</v>
      </c>
      <c r="C365" s="242">
        <f t="shared" si="11"/>
        <v>1</v>
      </c>
      <c r="D365" s="242">
        <v>39.9</v>
      </c>
      <c r="E365" s="845">
        <f t="shared" si="12"/>
        <v>4.3888888888888884</v>
      </c>
    </row>
    <row r="366" spans="2:5">
      <c r="B366" s="1115">
        <v>44941</v>
      </c>
      <c r="C366" s="242">
        <f t="shared" si="11"/>
        <v>1</v>
      </c>
      <c r="D366" s="242">
        <v>40.6</v>
      </c>
      <c r="E366" s="845">
        <f t="shared" si="12"/>
        <v>4.7777777777777786</v>
      </c>
    </row>
    <row r="367" spans="2:5">
      <c r="B367" s="1115">
        <v>44941</v>
      </c>
      <c r="C367" s="242">
        <f t="shared" si="11"/>
        <v>1</v>
      </c>
      <c r="D367" s="242">
        <v>40.6</v>
      </c>
      <c r="E367" s="845">
        <f t="shared" si="12"/>
        <v>4.7777777777777786</v>
      </c>
    </row>
    <row r="368" spans="2:5">
      <c r="B368" s="1115">
        <v>44941</v>
      </c>
      <c r="C368" s="242">
        <f t="shared" si="11"/>
        <v>1</v>
      </c>
      <c r="D368" s="242">
        <v>40.6</v>
      </c>
      <c r="E368" s="845">
        <f t="shared" si="12"/>
        <v>4.7777777777777786</v>
      </c>
    </row>
    <row r="369" spans="2:5">
      <c r="B369" s="1115">
        <v>44942</v>
      </c>
      <c r="C369" s="242">
        <f t="shared" si="11"/>
        <v>1</v>
      </c>
      <c r="D369" s="242">
        <v>40.799999999999997</v>
      </c>
      <c r="E369" s="845">
        <f t="shared" si="12"/>
        <v>4.8888888888888875</v>
      </c>
    </row>
    <row r="370" spans="2:5">
      <c r="B370" s="1115">
        <v>44942</v>
      </c>
      <c r="C370" s="242">
        <f t="shared" si="11"/>
        <v>1</v>
      </c>
      <c r="D370" s="242">
        <v>40.5</v>
      </c>
      <c r="E370" s="845">
        <f t="shared" si="12"/>
        <v>4.7222222222222223</v>
      </c>
    </row>
    <row r="371" spans="2:5">
      <c r="B371" s="1115">
        <v>44942</v>
      </c>
      <c r="C371" s="242">
        <f t="shared" si="11"/>
        <v>1</v>
      </c>
      <c r="D371" s="242">
        <v>40.5</v>
      </c>
      <c r="E371" s="845">
        <f t="shared" si="12"/>
        <v>4.7222222222222223</v>
      </c>
    </row>
    <row r="372" spans="2:5">
      <c r="B372" s="1115">
        <v>44942</v>
      </c>
      <c r="C372" s="242">
        <f t="shared" si="11"/>
        <v>1</v>
      </c>
      <c r="D372" s="242">
        <v>39.700000000000003</v>
      </c>
      <c r="E372" s="845">
        <f t="shared" si="12"/>
        <v>4.2777777777777795</v>
      </c>
    </row>
    <row r="373" spans="2:5">
      <c r="B373" s="1115">
        <v>44942</v>
      </c>
      <c r="C373" s="242">
        <f t="shared" si="11"/>
        <v>1</v>
      </c>
      <c r="D373" s="242" t="s">
        <v>1839</v>
      </c>
      <c r="E373" s="845">
        <f t="shared" si="12"/>
        <v>3.8888888888888888</v>
      </c>
    </row>
    <row r="374" spans="2:5">
      <c r="B374" s="1115">
        <v>44942</v>
      </c>
      <c r="C374" s="242">
        <f t="shared" si="11"/>
        <v>1</v>
      </c>
      <c r="D374" s="242">
        <v>38.5</v>
      </c>
      <c r="E374" s="845">
        <f t="shared" si="12"/>
        <v>3.6111111111111112</v>
      </c>
    </row>
    <row r="375" spans="2:5">
      <c r="B375" s="1115">
        <v>44942</v>
      </c>
      <c r="C375" s="242">
        <f t="shared" si="11"/>
        <v>1</v>
      </c>
      <c r="D375" s="242">
        <v>38.1</v>
      </c>
      <c r="E375" s="845">
        <f t="shared" si="12"/>
        <v>3.3888888888888897</v>
      </c>
    </row>
    <row r="376" spans="2:5">
      <c r="B376" s="1115">
        <v>44942</v>
      </c>
      <c r="C376" s="242">
        <f t="shared" si="11"/>
        <v>1</v>
      </c>
      <c r="D376" s="242">
        <v>38.299999999999997</v>
      </c>
      <c r="E376" s="845">
        <f t="shared" si="12"/>
        <v>3.4999999999999982</v>
      </c>
    </row>
    <row r="377" spans="2:5">
      <c r="B377" s="1115">
        <v>44942</v>
      </c>
      <c r="C377" s="242">
        <f t="shared" si="11"/>
        <v>1</v>
      </c>
      <c r="D377" s="242">
        <v>39.4</v>
      </c>
      <c r="E377" s="845">
        <f t="shared" si="12"/>
        <v>4.1111111111111098</v>
      </c>
    </row>
    <row r="378" spans="2:5">
      <c r="B378" s="1115">
        <v>44942</v>
      </c>
      <c r="C378" s="242">
        <f t="shared" si="11"/>
        <v>1</v>
      </c>
      <c r="D378" s="242">
        <v>39.700000000000003</v>
      </c>
      <c r="E378" s="845">
        <f t="shared" si="12"/>
        <v>4.2777777777777795</v>
      </c>
    </row>
    <row r="379" spans="2:5">
      <c r="B379" s="1115">
        <v>44942</v>
      </c>
      <c r="C379" s="242">
        <f t="shared" si="11"/>
        <v>1</v>
      </c>
      <c r="D379" s="242">
        <v>40.1</v>
      </c>
      <c r="E379" s="845">
        <f t="shared" si="12"/>
        <v>4.5000000000000009</v>
      </c>
    </row>
    <row r="380" spans="2:5">
      <c r="B380" s="1115">
        <v>44942</v>
      </c>
      <c r="C380" s="242">
        <f t="shared" si="11"/>
        <v>1</v>
      </c>
      <c r="D380" s="242">
        <v>40.1</v>
      </c>
      <c r="E380" s="845">
        <f t="shared" si="12"/>
        <v>4.5000000000000009</v>
      </c>
    </row>
    <row r="381" spans="2:5">
      <c r="B381" s="1115">
        <v>44942</v>
      </c>
      <c r="C381" s="242">
        <f t="shared" si="11"/>
        <v>1</v>
      </c>
      <c r="D381" s="242">
        <v>40.5</v>
      </c>
      <c r="E381" s="845">
        <f t="shared" si="12"/>
        <v>4.7222222222222223</v>
      </c>
    </row>
    <row r="382" spans="2:5">
      <c r="B382" s="1115">
        <v>44942</v>
      </c>
      <c r="C382" s="242">
        <f t="shared" si="11"/>
        <v>1</v>
      </c>
      <c r="D382" s="242">
        <v>40.1</v>
      </c>
      <c r="E382" s="845">
        <f t="shared" si="12"/>
        <v>4.5000000000000009</v>
      </c>
    </row>
    <row r="383" spans="2:5">
      <c r="B383" s="1115">
        <v>44942</v>
      </c>
      <c r="C383" s="242">
        <f t="shared" si="11"/>
        <v>1</v>
      </c>
      <c r="D383" s="242">
        <v>40.1</v>
      </c>
      <c r="E383" s="845">
        <f t="shared" si="12"/>
        <v>4.5000000000000009</v>
      </c>
    </row>
    <row r="384" spans="2:5">
      <c r="B384" s="1115">
        <v>44942</v>
      </c>
      <c r="C384" s="242">
        <f t="shared" si="11"/>
        <v>1</v>
      </c>
      <c r="D384" s="242">
        <v>39.6</v>
      </c>
      <c r="E384" s="845">
        <f t="shared" si="12"/>
        <v>4.2222222222222232</v>
      </c>
    </row>
    <row r="385" spans="2:5">
      <c r="B385" s="1115">
        <v>44942</v>
      </c>
      <c r="C385" s="242">
        <f t="shared" si="11"/>
        <v>1</v>
      </c>
      <c r="D385" s="242">
        <v>38.799999999999997</v>
      </c>
      <c r="E385" s="845">
        <f t="shared" si="12"/>
        <v>3.7777777777777759</v>
      </c>
    </row>
    <row r="386" spans="2:5">
      <c r="B386" s="1115">
        <v>44942</v>
      </c>
      <c r="C386" s="242">
        <f t="shared" si="11"/>
        <v>1</v>
      </c>
      <c r="D386" s="242">
        <v>38.1</v>
      </c>
      <c r="E386" s="845">
        <f t="shared" si="12"/>
        <v>3.3888888888888897</v>
      </c>
    </row>
    <row r="387" spans="2:5">
      <c r="B387" s="1115">
        <v>44942</v>
      </c>
      <c r="C387" s="242">
        <f t="shared" si="11"/>
        <v>1</v>
      </c>
      <c r="D387" s="242">
        <v>37.799999999999997</v>
      </c>
      <c r="E387" s="845">
        <f t="shared" si="12"/>
        <v>3.2222222222222205</v>
      </c>
    </row>
    <row r="388" spans="2:5">
      <c r="B388" s="1115">
        <v>44942</v>
      </c>
      <c r="C388" s="242">
        <f t="shared" si="11"/>
        <v>1</v>
      </c>
      <c r="D388" s="242">
        <v>37.799999999999997</v>
      </c>
      <c r="E388" s="845">
        <f t="shared" si="12"/>
        <v>3.2222222222222205</v>
      </c>
    </row>
    <row r="389" spans="2:5">
      <c r="B389" s="1115">
        <v>44942</v>
      </c>
      <c r="C389" s="242">
        <f t="shared" si="11"/>
        <v>1</v>
      </c>
      <c r="D389" s="242">
        <v>38.1</v>
      </c>
      <c r="E389" s="845">
        <f t="shared" si="12"/>
        <v>3.3888888888888897</v>
      </c>
    </row>
    <row r="390" spans="2:5">
      <c r="B390" s="1115">
        <v>44942</v>
      </c>
      <c r="C390" s="242">
        <f t="shared" si="11"/>
        <v>1</v>
      </c>
      <c r="D390" s="242" t="s">
        <v>1839</v>
      </c>
      <c r="E390" s="845">
        <f t="shared" si="12"/>
        <v>3.8888888888888888</v>
      </c>
    </row>
    <row r="391" spans="2:5">
      <c r="B391" s="1115">
        <v>44942</v>
      </c>
      <c r="C391" s="242">
        <f t="shared" si="11"/>
        <v>1</v>
      </c>
      <c r="D391" s="242">
        <v>39.700000000000003</v>
      </c>
      <c r="E391" s="845">
        <f t="shared" si="12"/>
        <v>4.2777777777777795</v>
      </c>
    </row>
    <row r="392" spans="2:5">
      <c r="B392" s="1115">
        <v>44942</v>
      </c>
      <c r="C392" s="242">
        <f t="shared" si="11"/>
        <v>1</v>
      </c>
      <c r="D392" s="242">
        <v>39.700000000000003</v>
      </c>
      <c r="E392" s="845">
        <f t="shared" si="12"/>
        <v>4.2777777777777795</v>
      </c>
    </row>
    <row r="393" spans="2:5">
      <c r="B393" s="1115">
        <v>44943</v>
      </c>
      <c r="C393" s="242">
        <f t="shared" si="11"/>
        <v>1</v>
      </c>
      <c r="D393" s="242">
        <v>40.299999999999997</v>
      </c>
      <c r="E393" s="845">
        <f t="shared" si="12"/>
        <v>4.6111111111111098</v>
      </c>
    </row>
    <row r="394" spans="2:5">
      <c r="B394" s="1115">
        <v>44943</v>
      </c>
      <c r="C394" s="242">
        <f t="shared" ref="C394:C457" si="13">MONTH(B394)</f>
        <v>1</v>
      </c>
      <c r="D394" s="242">
        <v>40.1</v>
      </c>
      <c r="E394" s="845">
        <f t="shared" ref="E394:E457" si="14">CONVERT(D394,"F","C")</f>
        <v>4.5000000000000009</v>
      </c>
    </row>
    <row r="395" spans="2:5">
      <c r="B395" s="1115">
        <v>44943</v>
      </c>
      <c r="C395" s="242">
        <f t="shared" si="13"/>
        <v>1</v>
      </c>
      <c r="D395" s="242">
        <v>39.9</v>
      </c>
      <c r="E395" s="845">
        <f t="shared" si="14"/>
        <v>4.3888888888888884</v>
      </c>
    </row>
    <row r="396" spans="2:5">
      <c r="B396" s="1115">
        <v>44943</v>
      </c>
      <c r="C396" s="242">
        <f t="shared" si="13"/>
        <v>1</v>
      </c>
      <c r="D396" s="242">
        <v>39.6</v>
      </c>
      <c r="E396" s="845">
        <f t="shared" si="14"/>
        <v>4.2222222222222232</v>
      </c>
    </row>
    <row r="397" spans="2:5">
      <c r="B397" s="1115">
        <v>44943</v>
      </c>
      <c r="C397" s="242">
        <f t="shared" si="13"/>
        <v>1</v>
      </c>
      <c r="D397" s="242">
        <v>38.799999999999997</v>
      </c>
      <c r="E397" s="845">
        <f t="shared" si="14"/>
        <v>3.7777777777777759</v>
      </c>
    </row>
    <row r="398" spans="2:5">
      <c r="B398" s="1115">
        <v>44943</v>
      </c>
      <c r="C398" s="242">
        <f t="shared" si="13"/>
        <v>1</v>
      </c>
      <c r="D398" s="242">
        <v>38.1</v>
      </c>
      <c r="E398" s="845">
        <f t="shared" si="14"/>
        <v>3.3888888888888897</v>
      </c>
    </row>
    <row r="399" spans="2:5">
      <c r="B399" s="1115">
        <v>44943</v>
      </c>
      <c r="C399" s="242">
        <f t="shared" si="13"/>
        <v>1</v>
      </c>
      <c r="D399" s="242">
        <v>37.799999999999997</v>
      </c>
      <c r="E399" s="845">
        <f t="shared" si="14"/>
        <v>3.2222222222222205</v>
      </c>
    </row>
    <row r="400" spans="2:5">
      <c r="B400" s="1115">
        <v>44943</v>
      </c>
      <c r="C400" s="242">
        <f t="shared" si="13"/>
        <v>1</v>
      </c>
      <c r="D400" s="242">
        <v>37.6</v>
      </c>
      <c r="E400" s="845">
        <f t="shared" si="14"/>
        <v>3.1111111111111116</v>
      </c>
    </row>
    <row r="401" spans="2:5">
      <c r="B401" s="1115">
        <v>44943</v>
      </c>
      <c r="C401" s="242">
        <f t="shared" si="13"/>
        <v>1</v>
      </c>
      <c r="D401" s="242">
        <v>37.9</v>
      </c>
      <c r="E401" s="845">
        <f t="shared" si="14"/>
        <v>3.2777777777777768</v>
      </c>
    </row>
    <row r="402" spans="2:5">
      <c r="B402" s="1115">
        <v>44943</v>
      </c>
      <c r="C402" s="242">
        <f t="shared" si="13"/>
        <v>1</v>
      </c>
      <c r="D402" s="242">
        <v>38.700000000000003</v>
      </c>
      <c r="E402" s="845">
        <f t="shared" si="14"/>
        <v>3.7222222222222237</v>
      </c>
    </row>
    <row r="403" spans="2:5">
      <c r="B403" s="1115">
        <v>44943</v>
      </c>
      <c r="C403" s="242">
        <f t="shared" si="13"/>
        <v>1</v>
      </c>
      <c r="D403" s="242">
        <v>39.4</v>
      </c>
      <c r="E403" s="845">
        <f t="shared" si="14"/>
        <v>4.1111111111111098</v>
      </c>
    </row>
    <row r="404" spans="2:5">
      <c r="B404" s="1115">
        <v>44943</v>
      </c>
      <c r="C404" s="242">
        <f t="shared" si="13"/>
        <v>1</v>
      </c>
      <c r="D404" s="242">
        <v>39.9</v>
      </c>
      <c r="E404" s="845">
        <f t="shared" si="14"/>
        <v>4.3888888888888884</v>
      </c>
    </row>
    <row r="405" spans="2:5">
      <c r="B405" s="1115">
        <v>44943</v>
      </c>
      <c r="C405" s="242">
        <f t="shared" si="13"/>
        <v>1</v>
      </c>
      <c r="D405" s="242">
        <v>40.299999999999997</v>
      </c>
      <c r="E405" s="845">
        <f t="shared" si="14"/>
        <v>4.6111111111111098</v>
      </c>
    </row>
    <row r="406" spans="2:5">
      <c r="B406" s="1115">
        <v>44943</v>
      </c>
      <c r="C406" s="242">
        <f t="shared" si="13"/>
        <v>1</v>
      </c>
      <c r="D406" s="242">
        <v>40.5</v>
      </c>
      <c r="E406" s="845">
        <f t="shared" si="14"/>
        <v>4.7222222222222223</v>
      </c>
    </row>
    <row r="407" spans="2:5">
      <c r="B407" s="1115">
        <v>44943</v>
      </c>
      <c r="C407" s="242">
        <f t="shared" si="13"/>
        <v>1</v>
      </c>
      <c r="D407" s="242">
        <v>40.299999999999997</v>
      </c>
      <c r="E407" s="845">
        <f t="shared" si="14"/>
        <v>4.6111111111111098</v>
      </c>
    </row>
    <row r="408" spans="2:5">
      <c r="B408" s="1115">
        <v>44943</v>
      </c>
      <c r="C408" s="242">
        <f t="shared" si="13"/>
        <v>1</v>
      </c>
      <c r="D408" s="242">
        <v>40.299999999999997</v>
      </c>
      <c r="E408" s="845">
        <f t="shared" si="14"/>
        <v>4.6111111111111098</v>
      </c>
    </row>
    <row r="409" spans="2:5">
      <c r="B409" s="1115">
        <v>44943</v>
      </c>
      <c r="C409" s="242">
        <f t="shared" si="13"/>
        <v>1</v>
      </c>
      <c r="D409" s="242">
        <v>39.700000000000003</v>
      </c>
      <c r="E409" s="845">
        <f t="shared" si="14"/>
        <v>4.2777777777777795</v>
      </c>
    </row>
    <row r="410" spans="2:5">
      <c r="B410" s="1115">
        <v>44943</v>
      </c>
      <c r="C410" s="242">
        <f t="shared" si="13"/>
        <v>1</v>
      </c>
      <c r="D410" s="242">
        <v>38.700000000000003</v>
      </c>
      <c r="E410" s="845">
        <f t="shared" si="14"/>
        <v>3.7222222222222237</v>
      </c>
    </row>
    <row r="411" spans="2:5">
      <c r="B411" s="1115">
        <v>44943</v>
      </c>
      <c r="C411" s="242">
        <f t="shared" si="13"/>
        <v>1</v>
      </c>
      <c r="D411" s="242">
        <v>38.1</v>
      </c>
      <c r="E411" s="845">
        <f t="shared" si="14"/>
        <v>3.3888888888888897</v>
      </c>
    </row>
    <row r="412" spans="2:5">
      <c r="B412" s="1115">
        <v>44943</v>
      </c>
      <c r="C412" s="242">
        <f t="shared" si="13"/>
        <v>1</v>
      </c>
      <c r="D412" s="242">
        <v>37.799999999999997</v>
      </c>
      <c r="E412" s="845">
        <f t="shared" si="14"/>
        <v>3.2222222222222205</v>
      </c>
    </row>
    <row r="413" spans="2:5">
      <c r="B413" s="1115">
        <v>44943</v>
      </c>
      <c r="C413" s="242">
        <f t="shared" si="13"/>
        <v>1</v>
      </c>
      <c r="D413" s="242">
        <v>37.6</v>
      </c>
      <c r="E413" s="845">
        <f t="shared" si="14"/>
        <v>3.1111111111111116</v>
      </c>
    </row>
    <row r="414" spans="2:5">
      <c r="B414" s="1115">
        <v>44943</v>
      </c>
      <c r="C414" s="242">
        <f t="shared" si="13"/>
        <v>1</v>
      </c>
      <c r="D414" s="242">
        <v>37.799999999999997</v>
      </c>
      <c r="E414" s="845">
        <f t="shared" si="14"/>
        <v>3.2222222222222205</v>
      </c>
    </row>
    <row r="415" spans="2:5">
      <c r="B415" s="1115">
        <v>44943</v>
      </c>
      <c r="C415" s="242">
        <f t="shared" si="13"/>
        <v>1</v>
      </c>
      <c r="D415" s="242">
        <v>39.200000000000003</v>
      </c>
      <c r="E415" s="845">
        <f t="shared" si="14"/>
        <v>4.0000000000000018</v>
      </c>
    </row>
    <row r="416" spans="2:5">
      <c r="B416" s="1115">
        <v>44943</v>
      </c>
      <c r="C416" s="242">
        <f t="shared" si="13"/>
        <v>1</v>
      </c>
      <c r="D416" s="242">
        <v>40.1</v>
      </c>
      <c r="E416" s="845">
        <f t="shared" si="14"/>
        <v>4.5000000000000009</v>
      </c>
    </row>
    <row r="417" spans="2:5">
      <c r="B417" s="1115">
        <v>44944</v>
      </c>
      <c r="C417" s="242">
        <f t="shared" si="13"/>
        <v>1</v>
      </c>
      <c r="D417" s="242">
        <v>40.5</v>
      </c>
      <c r="E417" s="845">
        <f t="shared" si="14"/>
        <v>4.7222222222222223</v>
      </c>
    </row>
    <row r="418" spans="2:5">
      <c r="B418" s="1115">
        <v>44944</v>
      </c>
      <c r="C418" s="242">
        <f t="shared" si="13"/>
        <v>1</v>
      </c>
      <c r="D418" s="242">
        <v>40.6</v>
      </c>
      <c r="E418" s="845">
        <f t="shared" si="14"/>
        <v>4.7777777777777786</v>
      </c>
    </row>
    <row r="419" spans="2:5">
      <c r="B419" s="1115">
        <v>44944</v>
      </c>
      <c r="C419" s="242">
        <f t="shared" si="13"/>
        <v>1</v>
      </c>
      <c r="D419" s="242">
        <v>40.6</v>
      </c>
      <c r="E419" s="845">
        <f t="shared" si="14"/>
        <v>4.7777777777777786</v>
      </c>
    </row>
    <row r="420" spans="2:5">
      <c r="B420" s="1115">
        <v>44944</v>
      </c>
      <c r="C420" s="242">
        <f t="shared" si="13"/>
        <v>1</v>
      </c>
      <c r="D420" s="242">
        <v>40.5</v>
      </c>
      <c r="E420" s="845">
        <f t="shared" si="14"/>
        <v>4.7222222222222223</v>
      </c>
    </row>
    <row r="421" spans="2:5">
      <c r="B421" s="1115">
        <v>44944</v>
      </c>
      <c r="C421" s="242">
        <f t="shared" si="13"/>
        <v>1</v>
      </c>
      <c r="D421" s="242">
        <v>40.299999999999997</v>
      </c>
      <c r="E421" s="845">
        <f t="shared" si="14"/>
        <v>4.6111111111111098</v>
      </c>
    </row>
    <row r="422" spans="2:5">
      <c r="B422" s="1115">
        <v>44944</v>
      </c>
      <c r="C422" s="242">
        <f t="shared" si="13"/>
        <v>1</v>
      </c>
      <c r="D422" s="242">
        <v>39.4</v>
      </c>
      <c r="E422" s="845">
        <f t="shared" si="14"/>
        <v>4.1111111111111098</v>
      </c>
    </row>
    <row r="423" spans="2:5">
      <c r="B423" s="1115">
        <v>44944</v>
      </c>
      <c r="C423" s="242">
        <f t="shared" si="13"/>
        <v>1</v>
      </c>
      <c r="D423" s="242">
        <v>38.700000000000003</v>
      </c>
      <c r="E423" s="845">
        <f t="shared" si="14"/>
        <v>3.7222222222222237</v>
      </c>
    </row>
    <row r="424" spans="2:5">
      <c r="B424" s="1115">
        <v>44944</v>
      </c>
      <c r="C424" s="242">
        <f t="shared" si="13"/>
        <v>1</v>
      </c>
      <c r="D424" s="242">
        <v>37.9</v>
      </c>
      <c r="E424" s="845">
        <f t="shared" si="14"/>
        <v>3.2777777777777768</v>
      </c>
    </row>
    <row r="425" spans="2:5">
      <c r="B425" s="1115">
        <v>44944</v>
      </c>
      <c r="C425" s="242">
        <f t="shared" si="13"/>
        <v>1</v>
      </c>
      <c r="D425" s="242">
        <v>37.799999999999997</v>
      </c>
      <c r="E425" s="845">
        <f t="shared" si="14"/>
        <v>3.2222222222222205</v>
      </c>
    </row>
    <row r="426" spans="2:5">
      <c r="B426" s="1115">
        <v>44944</v>
      </c>
      <c r="C426" s="242">
        <f t="shared" si="13"/>
        <v>1</v>
      </c>
      <c r="D426" s="242">
        <v>38.5</v>
      </c>
      <c r="E426" s="845">
        <f t="shared" si="14"/>
        <v>3.6111111111111112</v>
      </c>
    </row>
    <row r="427" spans="2:5">
      <c r="B427" s="1115">
        <v>44944</v>
      </c>
      <c r="C427" s="242">
        <f t="shared" si="13"/>
        <v>1</v>
      </c>
      <c r="D427" s="242">
        <v>39.4</v>
      </c>
      <c r="E427" s="845">
        <f t="shared" si="14"/>
        <v>4.1111111111111098</v>
      </c>
    </row>
    <row r="428" spans="2:5">
      <c r="B428" s="1115">
        <v>44944</v>
      </c>
      <c r="C428" s="242">
        <f t="shared" si="13"/>
        <v>1</v>
      </c>
      <c r="D428" s="242">
        <v>39.9</v>
      </c>
      <c r="E428" s="845">
        <f t="shared" si="14"/>
        <v>4.3888888888888884</v>
      </c>
    </row>
    <row r="429" spans="2:5">
      <c r="B429" s="1115">
        <v>44944</v>
      </c>
      <c r="C429" s="242">
        <f t="shared" si="13"/>
        <v>1</v>
      </c>
      <c r="D429" s="242">
        <v>40.5</v>
      </c>
      <c r="E429" s="845">
        <f t="shared" si="14"/>
        <v>4.7222222222222223</v>
      </c>
    </row>
    <row r="430" spans="2:5">
      <c r="B430" s="1115">
        <v>44944</v>
      </c>
      <c r="C430" s="242">
        <f t="shared" si="13"/>
        <v>1</v>
      </c>
      <c r="D430" s="242">
        <v>40.799999999999997</v>
      </c>
      <c r="E430" s="845">
        <f t="shared" si="14"/>
        <v>4.8888888888888875</v>
      </c>
    </row>
    <row r="431" spans="2:5">
      <c r="B431" s="1115">
        <v>44944</v>
      </c>
      <c r="C431" s="242">
        <f t="shared" si="13"/>
        <v>1</v>
      </c>
      <c r="D431" s="242" t="s">
        <v>1837</v>
      </c>
      <c r="E431" s="845">
        <f t="shared" si="14"/>
        <v>5</v>
      </c>
    </row>
    <row r="432" spans="2:5">
      <c r="B432" s="1115">
        <v>44944</v>
      </c>
      <c r="C432" s="242">
        <f t="shared" si="13"/>
        <v>1</v>
      </c>
      <c r="D432" s="242" t="s">
        <v>1837</v>
      </c>
      <c r="E432" s="845">
        <f t="shared" si="14"/>
        <v>5</v>
      </c>
    </row>
    <row r="433" spans="2:5">
      <c r="B433" s="1115">
        <v>44944</v>
      </c>
      <c r="C433" s="242">
        <f t="shared" si="13"/>
        <v>1</v>
      </c>
      <c r="D433" s="242">
        <v>40.799999999999997</v>
      </c>
      <c r="E433" s="845">
        <f t="shared" si="14"/>
        <v>4.8888888888888875</v>
      </c>
    </row>
    <row r="434" spans="2:5">
      <c r="B434" s="1115">
        <v>44944</v>
      </c>
      <c r="C434" s="242">
        <f t="shared" si="13"/>
        <v>1</v>
      </c>
      <c r="D434" s="242">
        <v>40.299999999999997</v>
      </c>
      <c r="E434" s="845">
        <f t="shared" si="14"/>
        <v>4.6111111111111098</v>
      </c>
    </row>
    <row r="435" spans="2:5">
      <c r="B435" s="1115">
        <v>44944</v>
      </c>
      <c r="C435" s="242">
        <f t="shared" si="13"/>
        <v>1</v>
      </c>
      <c r="D435" s="242">
        <v>39.4</v>
      </c>
      <c r="E435" s="845">
        <f t="shared" si="14"/>
        <v>4.1111111111111098</v>
      </c>
    </row>
    <row r="436" spans="2:5">
      <c r="B436" s="1115">
        <v>44944</v>
      </c>
      <c r="C436" s="242">
        <f t="shared" si="13"/>
        <v>1</v>
      </c>
      <c r="D436" s="242">
        <v>38.799999999999997</v>
      </c>
      <c r="E436" s="845">
        <f t="shared" si="14"/>
        <v>3.7777777777777759</v>
      </c>
    </row>
    <row r="437" spans="2:5">
      <c r="B437" s="1115">
        <v>44944</v>
      </c>
      <c r="C437" s="242">
        <f t="shared" si="13"/>
        <v>1</v>
      </c>
      <c r="D437" s="242">
        <v>38.299999999999997</v>
      </c>
      <c r="E437" s="845">
        <f t="shared" si="14"/>
        <v>3.4999999999999982</v>
      </c>
    </row>
    <row r="438" spans="2:5">
      <c r="B438" s="1115">
        <v>44944</v>
      </c>
      <c r="C438" s="242">
        <f t="shared" si="13"/>
        <v>1</v>
      </c>
      <c r="D438" s="242">
        <v>38.1</v>
      </c>
      <c r="E438" s="845">
        <f t="shared" si="14"/>
        <v>3.3888888888888897</v>
      </c>
    </row>
    <row r="439" spans="2:5">
      <c r="B439" s="1115">
        <v>44944</v>
      </c>
      <c r="C439" s="242">
        <f t="shared" si="13"/>
        <v>1</v>
      </c>
      <c r="D439" s="242">
        <v>38.299999999999997</v>
      </c>
      <c r="E439" s="845">
        <f t="shared" si="14"/>
        <v>3.4999999999999982</v>
      </c>
    </row>
    <row r="440" spans="2:5">
      <c r="B440" s="1115">
        <v>44944</v>
      </c>
      <c r="C440" s="242">
        <f t="shared" si="13"/>
        <v>1</v>
      </c>
      <c r="D440" s="242">
        <v>39.4</v>
      </c>
      <c r="E440" s="845">
        <f t="shared" si="14"/>
        <v>4.1111111111111098</v>
      </c>
    </row>
    <row r="441" spans="2:5">
      <c r="B441" s="1115">
        <v>44945</v>
      </c>
      <c r="C441" s="242">
        <f t="shared" si="13"/>
        <v>1</v>
      </c>
      <c r="D441" s="242">
        <v>40.299999999999997</v>
      </c>
      <c r="E441" s="845">
        <f t="shared" si="14"/>
        <v>4.6111111111111098</v>
      </c>
    </row>
    <row r="442" spans="2:5">
      <c r="B442" s="1115">
        <v>44945</v>
      </c>
      <c r="C442" s="242">
        <f t="shared" si="13"/>
        <v>1</v>
      </c>
      <c r="D442" s="242" t="s">
        <v>1837</v>
      </c>
      <c r="E442" s="845">
        <f t="shared" si="14"/>
        <v>5</v>
      </c>
    </row>
    <row r="443" spans="2:5">
      <c r="B443" s="1115">
        <v>44945</v>
      </c>
      <c r="C443" s="242">
        <f t="shared" si="13"/>
        <v>1</v>
      </c>
      <c r="D443" s="242">
        <v>41.2</v>
      </c>
      <c r="E443" s="845">
        <f t="shared" si="14"/>
        <v>5.1111111111111125</v>
      </c>
    </row>
    <row r="444" spans="2:5">
      <c r="B444" s="1115">
        <v>44945</v>
      </c>
      <c r="C444" s="242">
        <f t="shared" si="13"/>
        <v>1</v>
      </c>
      <c r="D444" s="242">
        <v>41.4</v>
      </c>
      <c r="E444" s="845">
        <f t="shared" si="14"/>
        <v>5.2222222222222214</v>
      </c>
    </row>
    <row r="445" spans="2:5">
      <c r="B445" s="1115">
        <v>44945</v>
      </c>
      <c r="C445" s="242">
        <f t="shared" si="13"/>
        <v>1</v>
      </c>
      <c r="D445" s="242">
        <v>41.2</v>
      </c>
      <c r="E445" s="845">
        <f t="shared" si="14"/>
        <v>5.1111111111111125</v>
      </c>
    </row>
    <row r="446" spans="2:5">
      <c r="B446" s="1115">
        <v>44945</v>
      </c>
      <c r="C446" s="242">
        <f t="shared" si="13"/>
        <v>1</v>
      </c>
      <c r="D446" s="242">
        <v>40.799999999999997</v>
      </c>
      <c r="E446" s="845">
        <f t="shared" si="14"/>
        <v>4.8888888888888875</v>
      </c>
    </row>
    <row r="447" spans="2:5">
      <c r="B447" s="1115">
        <v>44945</v>
      </c>
      <c r="C447" s="242">
        <f t="shared" si="13"/>
        <v>1</v>
      </c>
      <c r="D447" s="242">
        <v>39.9</v>
      </c>
      <c r="E447" s="845">
        <f t="shared" si="14"/>
        <v>4.3888888888888884</v>
      </c>
    </row>
    <row r="448" spans="2:5">
      <c r="B448" s="1115">
        <v>44945</v>
      </c>
      <c r="C448" s="242">
        <f t="shared" si="13"/>
        <v>1</v>
      </c>
      <c r="D448" s="242">
        <v>38.799999999999997</v>
      </c>
      <c r="E448" s="845">
        <f t="shared" si="14"/>
        <v>3.7777777777777759</v>
      </c>
    </row>
    <row r="449" spans="2:5">
      <c r="B449" s="1115">
        <v>44945</v>
      </c>
      <c r="C449" s="242">
        <f t="shared" si="13"/>
        <v>1</v>
      </c>
      <c r="D449" s="242">
        <v>38.299999999999997</v>
      </c>
      <c r="E449" s="845">
        <f t="shared" si="14"/>
        <v>3.4999999999999982</v>
      </c>
    </row>
    <row r="450" spans="2:5">
      <c r="B450" s="1115">
        <v>44945</v>
      </c>
      <c r="C450" s="242">
        <f t="shared" si="13"/>
        <v>1</v>
      </c>
      <c r="D450" s="242">
        <v>38.1</v>
      </c>
      <c r="E450" s="845">
        <f t="shared" si="14"/>
        <v>3.3888888888888897</v>
      </c>
    </row>
    <row r="451" spans="2:5">
      <c r="B451" s="1115">
        <v>44945</v>
      </c>
      <c r="C451" s="242">
        <f t="shared" si="13"/>
        <v>1</v>
      </c>
      <c r="D451" s="242">
        <v>38.700000000000003</v>
      </c>
      <c r="E451" s="845">
        <f t="shared" si="14"/>
        <v>3.7222222222222237</v>
      </c>
    </row>
    <row r="452" spans="2:5">
      <c r="B452" s="1115">
        <v>44945</v>
      </c>
      <c r="C452" s="242">
        <f t="shared" si="13"/>
        <v>1</v>
      </c>
      <c r="D452" s="242">
        <v>39.700000000000003</v>
      </c>
      <c r="E452" s="845">
        <f t="shared" si="14"/>
        <v>4.2777777777777795</v>
      </c>
    </row>
    <row r="453" spans="2:5">
      <c r="B453" s="1115">
        <v>44945</v>
      </c>
      <c r="C453" s="242">
        <f t="shared" si="13"/>
        <v>1</v>
      </c>
      <c r="D453" s="242">
        <v>40.5</v>
      </c>
      <c r="E453" s="845">
        <f t="shared" si="14"/>
        <v>4.7222222222222223</v>
      </c>
    </row>
    <row r="454" spans="2:5">
      <c r="B454" s="1115">
        <v>44945</v>
      </c>
      <c r="C454" s="242">
        <f t="shared" si="13"/>
        <v>1</v>
      </c>
      <c r="D454" s="242">
        <v>41.4</v>
      </c>
      <c r="E454" s="845">
        <f t="shared" si="14"/>
        <v>5.2222222222222214</v>
      </c>
    </row>
    <row r="455" spans="2:5">
      <c r="B455" s="1115">
        <v>44945</v>
      </c>
      <c r="C455" s="242">
        <f t="shared" si="13"/>
        <v>1</v>
      </c>
      <c r="D455" s="242">
        <v>41.7</v>
      </c>
      <c r="E455" s="845">
        <f t="shared" si="14"/>
        <v>5.3888888888888902</v>
      </c>
    </row>
    <row r="456" spans="2:5">
      <c r="B456" s="1115">
        <v>44945</v>
      </c>
      <c r="C456" s="242">
        <f t="shared" si="13"/>
        <v>1</v>
      </c>
      <c r="D456" s="242">
        <v>41.7</v>
      </c>
      <c r="E456" s="845">
        <f t="shared" si="14"/>
        <v>5.3888888888888902</v>
      </c>
    </row>
    <row r="457" spans="2:5">
      <c r="B457" s="1115">
        <v>44945</v>
      </c>
      <c r="C457" s="242">
        <f t="shared" si="13"/>
        <v>1</v>
      </c>
      <c r="D457" s="242">
        <v>41.7</v>
      </c>
      <c r="E457" s="845">
        <f t="shared" si="14"/>
        <v>5.3888888888888902</v>
      </c>
    </row>
    <row r="458" spans="2:5">
      <c r="B458" s="1115">
        <v>44945</v>
      </c>
      <c r="C458" s="242">
        <f t="shared" ref="C458:C521" si="15">MONTH(B458)</f>
        <v>1</v>
      </c>
      <c r="D458" s="242">
        <v>41.5</v>
      </c>
      <c r="E458" s="845">
        <f t="shared" ref="E458:E521" si="16">CONVERT(D458,"F","C")</f>
        <v>5.2777777777777777</v>
      </c>
    </row>
    <row r="459" spans="2:5">
      <c r="B459" s="1115">
        <v>44945</v>
      </c>
      <c r="C459" s="242">
        <f t="shared" si="15"/>
        <v>1</v>
      </c>
      <c r="D459" s="242" t="s">
        <v>1837</v>
      </c>
      <c r="E459" s="845">
        <f t="shared" si="16"/>
        <v>5</v>
      </c>
    </row>
    <row r="460" spans="2:5">
      <c r="B460" s="1115">
        <v>44945</v>
      </c>
      <c r="C460" s="242">
        <f t="shared" si="15"/>
        <v>1</v>
      </c>
      <c r="D460" s="242">
        <v>39.9</v>
      </c>
      <c r="E460" s="845">
        <f t="shared" si="16"/>
        <v>4.3888888888888884</v>
      </c>
    </row>
    <row r="461" spans="2:5">
      <c r="B461" s="1115">
        <v>44945</v>
      </c>
      <c r="C461" s="242">
        <f t="shared" si="15"/>
        <v>1</v>
      </c>
      <c r="D461" s="242">
        <v>39.200000000000003</v>
      </c>
      <c r="E461" s="845">
        <f t="shared" si="16"/>
        <v>4.0000000000000018</v>
      </c>
    </row>
    <row r="462" spans="2:5">
      <c r="B462" s="1115">
        <v>44945</v>
      </c>
      <c r="C462" s="242">
        <f t="shared" si="15"/>
        <v>1</v>
      </c>
      <c r="D462" s="242">
        <v>38.700000000000003</v>
      </c>
      <c r="E462" s="845">
        <f t="shared" si="16"/>
        <v>3.7222222222222237</v>
      </c>
    </row>
    <row r="463" spans="2:5">
      <c r="B463" s="1115">
        <v>44945</v>
      </c>
      <c r="C463" s="242">
        <f t="shared" si="15"/>
        <v>1</v>
      </c>
      <c r="D463" s="242">
        <v>38.299999999999997</v>
      </c>
      <c r="E463" s="845">
        <f t="shared" si="16"/>
        <v>3.4999999999999982</v>
      </c>
    </row>
    <row r="464" spans="2:5">
      <c r="B464" s="1115">
        <v>44945</v>
      </c>
      <c r="C464" s="242">
        <f t="shared" si="15"/>
        <v>1</v>
      </c>
      <c r="D464" s="242">
        <v>38.700000000000003</v>
      </c>
      <c r="E464" s="845">
        <f t="shared" si="16"/>
        <v>3.7222222222222237</v>
      </c>
    </row>
    <row r="465" spans="2:5">
      <c r="B465" s="1115">
        <v>44946</v>
      </c>
      <c r="C465" s="242">
        <f t="shared" si="15"/>
        <v>1</v>
      </c>
      <c r="D465" s="242">
        <v>40.1</v>
      </c>
      <c r="E465" s="845">
        <f t="shared" si="16"/>
        <v>4.5000000000000009</v>
      </c>
    </row>
    <row r="466" spans="2:5">
      <c r="B466" s="1115">
        <v>44946</v>
      </c>
      <c r="C466" s="242">
        <f t="shared" si="15"/>
        <v>1</v>
      </c>
      <c r="D466" s="242">
        <v>40.5</v>
      </c>
      <c r="E466" s="845">
        <f t="shared" si="16"/>
        <v>4.7222222222222223</v>
      </c>
    </row>
    <row r="467" spans="2:5">
      <c r="B467" s="1115">
        <v>44946</v>
      </c>
      <c r="C467" s="242">
        <f t="shared" si="15"/>
        <v>1</v>
      </c>
      <c r="D467" s="242" t="s">
        <v>1837</v>
      </c>
      <c r="E467" s="845">
        <f t="shared" si="16"/>
        <v>5</v>
      </c>
    </row>
    <row r="468" spans="2:5">
      <c r="B468" s="1115">
        <v>44946</v>
      </c>
      <c r="C468" s="242">
        <f t="shared" si="15"/>
        <v>1</v>
      </c>
      <c r="D468" s="242">
        <v>41.4</v>
      </c>
      <c r="E468" s="845">
        <f t="shared" si="16"/>
        <v>5.2222222222222214</v>
      </c>
    </row>
    <row r="469" spans="2:5">
      <c r="B469" s="1115">
        <v>44946</v>
      </c>
      <c r="C469" s="242">
        <f t="shared" si="15"/>
        <v>1</v>
      </c>
      <c r="D469" s="242">
        <v>41.5</v>
      </c>
      <c r="E469" s="845">
        <f t="shared" si="16"/>
        <v>5.2777777777777777</v>
      </c>
    </row>
    <row r="470" spans="2:5">
      <c r="B470" s="1115">
        <v>44946</v>
      </c>
      <c r="C470" s="242">
        <f t="shared" si="15"/>
        <v>1</v>
      </c>
      <c r="D470" s="242">
        <v>41.4</v>
      </c>
      <c r="E470" s="845">
        <f t="shared" si="16"/>
        <v>5.2222222222222214</v>
      </c>
    </row>
    <row r="471" spans="2:5">
      <c r="B471" s="1115">
        <v>44946</v>
      </c>
      <c r="C471" s="242">
        <f t="shared" si="15"/>
        <v>1</v>
      </c>
      <c r="D471" s="242">
        <v>41.2</v>
      </c>
      <c r="E471" s="845">
        <f t="shared" si="16"/>
        <v>5.1111111111111125</v>
      </c>
    </row>
    <row r="472" spans="2:5">
      <c r="B472" s="1115">
        <v>44946</v>
      </c>
      <c r="C472" s="242">
        <f t="shared" si="15"/>
        <v>1</v>
      </c>
      <c r="D472" s="242">
        <v>40.5</v>
      </c>
      <c r="E472" s="845">
        <f t="shared" si="16"/>
        <v>4.7222222222222223</v>
      </c>
    </row>
    <row r="473" spans="2:5">
      <c r="B473" s="1115">
        <v>44946</v>
      </c>
      <c r="C473" s="242">
        <f t="shared" si="15"/>
        <v>1</v>
      </c>
      <c r="D473" s="242">
        <v>39.4</v>
      </c>
      <c r="E473" s="845">
        <f t="shared" si="16"/>
        <v>4.1111111111111098</v>
      </c>
    </row>
    <row r="474" spans="2:5">
      <c r="B474" s="1115">
        <v>44946</v>
      </c>
      <c r="C474" s="242">
        <f t="shared" si="15"/>
        <v>1</v>
      </c>
      <c r="D474" s="242">
        <v>38.799999999999997</v>
      </c>
      <c r="E474" s="845">
        <f t="shared" si="16"/>
        <v>3.7777777777777759</v>
      </c>
    </row>
    <row r="475" spans="2:5">
      <c r="B475" s="1115">
        <v>44946</v>
      </c>
      <c r="C475" s="242">
        <f t="shared" si="15"/>
        <v>1</v>
      </c>
      <c r="D475" s="242">
        <v>38.5</v>
      </c>
      <c r="E475" s="845">
        <f t="shared" si="16"/>
        <v>3.6111111111111112</v>
      </c>
    </row>
    <row r="476" spans="2:5">
      <c r="B476" s="1115">
        <v>44946</v>
      </c>
      <c r="C476" s="242">
        <f t="shared" si="15"/>
        <v>1</v>
      </c>
      <c r="D476" s="242">
        <v>39.200000000000003</v>
      </c>
      <c r="E476" s="845">
        <f t="shared" si="16"/>
        <v>4.0000000000000018</v>
      </c>
    </row>
    <row r="477" spans="2:5">
      <c r="B477" s="1115">
        <v>44946</v>
      </c>
      <c r="C477" s="242">
        <f t="shared" si="15"/>
        <v>1</v>
      </c>
      <c r="D477" s="242">
        <v>40.1</v>
      </c>
      <c r="E477" s="845">
        <f t="shared" si="16"/>
        <v>4.5000000000000009</v>
      </c>
    </row>
    <row r="478" spans="2:5">
      <c r="B478" s="1115">
        <v>44946</v>
      </c>
      <c r="C478" s="242">
        <f t="shared" si="15"/>
        <v>1</v>
      </c>
      <c r="D478" s="242">
        <v>40.799999999999997</v>
      </c>
      <c r="E478" s="845">
        <f t="shared" si="16"/>
        <v>4.8888888888888875</v>
      </c>
    </row>
    <row r="479" spans="2:5">
      <c r="B479" s="1115">
        <v>44946</v>
      </c>
      <c r="C479" s="242">
        <f t="shared" si="15"/>
        <v>1</v>
      </c>
      <c r="D479" s="242">
        <v>41.4</v>
      </c>
      <c r="E479" s="845">
        <f t="shared" si="16"/>
        <v>5.2222222222222214</v>
      </c>
    </row>
    <row r="480" spans="2:5">
      <c r="B480" s="1115">
        <v>44946</v>
      </c>
      <c r="C480" s="242">
        <f t="shared" si="15"/>
        <v>1</v>
      </c>
      <c r="D480" s="242">
        <v>41.5</v>
      </c>
      <c r="E480" s="845">
        <f t="shared" si="16"/>
        <v>5.2777777777777777</v>
      </c>
    </row>
    <row r="481" spans="2:5">
      <c r="B481" s="1115">
        <v>44946</v>
      </c>
      <c r="C481" s="242">
        <f t="shared" si="15"/>
        <v>1</v>
      </c>
      <c r="D481" s="242">
        <v>41.5</v>
      </c>
      <c r="E481" s="845">
        <f t="shared" si="16"/>
        <v>5.2777777777777777</v>
      </c>
    </row>
    <row r="482" spans="2:5">
      <c r="B482" s="1115">
        <v>44946</v>
      </c>
      <c r="C482" s="242">
        <f t="shared" si="15"/>
        <v>1</v>
      </c>
      <c r="D482" s="242">
        <v>41.4</v>
      </c>
      <c r="E482" s="845">
        <f t="shared" si="16"/>
        <v>5.2222222222222214</v>
      </c>
    </row>
    <row r="483" spans="2:5">
      <c r="B483" s="1115">
        <v>44946</v>
      </c>
      <c r="C483" s="242">
        <f t="shared" si="15"/>
        <v>1</v>
      </c>
      <c r="D483" s="242">
        <v>41.2</v>
      </c>
      <c r="E483" s="845">
        <f t="shared" si="16"/>
        <v>5.1111111111111125</v>
      </c>
    </row>
    <row r="484" spans="2:5">
      <c r="B484" s="1115">
        <v>44946</v>
      </c>
      <c r="C484" s="242">
        <f t="shared" si="15"/>
        <v>1</v>
      </c>
      <c r="D484" s="242">
        <v>40.6</v>
      </c>
      <c r="E484" s="845">
        <f t="shared" si="16"/>
        <v>4.7777777777777786</v>
      </c>
    </row>
    <row r="485" spans="2:5">
      <c r="B485" s="1115">
        <v>44946</v>
      </c>
      <c r="C485" s="242">
        <f t="shared" si="15"/>
        <v>1</v>
      </c>
      <c r="D485" s="242">
        <v>39.700000000000003</v>
      </c>
      <c r="E485" s="845">
        <f t="shared" si="16"/>
        <v>4.2777777777777795</v>
      </c>
    </row>
    <row r="486" spans="2:5">
      <c r="B486" s="1115">
        <v>44946</v>
      </c>
      <c r="C486" s="242">
        <f t="shared" si="15"/>
        <v>1</v>
      </c>
      <c r="D486" s="242">
        <v>39.200000000000003</v>
      </c>
      <c r="E486" s="845">
        <f t="shared" si="16"/>
        <v>4.0000000000000018</v>
      </c>
    </row>
    <row r="487" spans="2:5">
      <c r="B487" s="1115">
        <v>44946</v>
      </c>
      <c r="C487" s="242">
        <f t="shared" si="15"/>
        <v>1</v>
      </c>
      <c r="D487" s="242">
        <v>38.700000000000003</v>
      </c>
      <c r="E487" s="845">
        <f t="shared" si="16"/>
        <v>3.7222222222222237</v>
      </c>
    </row>
    <row r="488" spans="2:5">
      <c r="B488" s="1115">
        <v>44946</v>
      </c>
      <c r="C488" s="242">
        <f t="shared" si="15"/>
        <v>1</v>
      </c>
      <c r="D488" s="242">
        <v>38.299999999999997</v>
      </c>
      <c r="E488" s="845">
        <f t="shared" si="16"/>
        <v>3.4999999999999982</v>
      </c>
    </row>
    <row r="489" spans="2:5">
      <c r="B489" s="1115">
        <v>44947</v>
      </c>
      <c r="C489" s="242">
        <f t="shared" si="15"/>
        <v>1</v>
      </c>
      <c r="D489" s="242">
        <v>38.700000000000003</v>
      </c>
      <c r="E489" s="845">
        <f t="shared" si="16"/>
        <v>3.7222222222222237</v>
      </c>
    </row>
    <row r="490" spans="2:5">
      <c r="B490" s="1115">
        <v>44947</v>
      </c>
      <c r="C490" s="242">
        <f t="shared" si="15"/>
        <v>1</v>
      </c>
      <c r="D490" s="242">
        <v>39.6</v>
      </c>
      <c r="E490" s="845">
        <f t="shared" si="16"/>
        <v>4.2222222222222232</v>
      </c>
    </row>
    <row r="491" spans="2:5">
      <c r="B491" s="1115">
        <v>44947</v>
      </c>
      <c r="C491" s="242">
        <f t="shared" si="15"/>
        <v>1</v>
      </c>
      <c r="D491" s="242">
        <v>40.299999999999997</v>
      </c>
      <c r="E491" s="845">
        <f t="shared" si="16"/>
        <v>4.6111111111111098</v>
      </c>
    </row>
    <row r="492" spans="2:5">
      <c r="B492" s="1115">
        <v>44947</v>
      </c>
      <c r="C492" s="242">
        <f t="shared" si="15"/>
        <v>1</v>
      </c>
      <c r="D492" s="242">
        <v>40.799999999999997</v>
      </c>
      <c r="E492" s="845">
        <f t="shared" si="16"/>
        <v>4.8888888888888875</v>
      </c>
    </row>
    <row r="493" spans="2:5">
      <c r="B493" s="1115">
        <v>44947</v>
      </c>
      <c r="C493" s="242">
        <f t="shared" si="15"/>
        <v>1</v>
      </c>
      <c r="D493" s="242" t="s">
        <v>1837</v>
      </c>
      <c r="E493" s="845">
        <f t="shared" si="16"/>
        <v>5</v>
      </c>
    </row>
    <row r="494" spans="2:5">
      <c r="B494" s="1115">
        <v>44947</v>
      </c>
      <c r="C494" s="242">
        <f t="shared" si="15"/>
        <v>1</v>
      </c>
      <c r="D494" s="242">
        <v>41.2</v>
      </c>
      <c r="E494" s="845">
        <f t="shared" si="16"/>
        <v>5.1111111111111125</v>
      </c>
    </row>
    <row r="495" spans="2:5">
      <c r="B495" s="1115">
        <v>44947</v>
      </c>
      <c r="C495" s="242">
        <f t="shared" si="15"/>
        <v>1</v>
      </c>
      <c r="D495" s="242" t="s">
        <v>1837</v>
      </c>
      <c r="E495" s="845">
        <f t="shared" si="16"/>
        <v>5</v>
      </c>
    </row>
    <row r="496" spans="2:5">
      <c r="B496" s="1115">
        <v>44947</v>
      </c>
      <c r="C496" s="242">
        <f t="shared" si="15"/>
        <v>1</v>
      </c>
      <c r="D496" s="242">
        <v>40.6</v>
      </c>
      <c r="E496" s="845">
        <f t="shared" si="16"/>
        <v>4.7777777777777786</v>
      </c>
    </row>
    <row r="497" spans="2:5">
      <c r="B497" s="1115">
        <v>44947</v>
      </c>
      <c r="C497" s="242">
        <f t="shared" si="15"/>
        <v>1</v>
      </c>
      <c r="D497" s="242">
        <v>39.700000000000003</v>
      </c>
      <c r="E497" s="845">
        <f t="shared" si="16"/>
        <v>4.2777777777777795</v>
      </c>
    </row>
    <row r="498" spans="2:5">
      <c r="B498" s="1115">
        <v>44947</v>
      </c>
      <c r="C498" s="242">
        <f t="shared" si="15"/>
        <v>1</v>
      </c>
      <c r="D498" s="242" t="s">
        <v>1839</v>
      </c>
      <c r="E498" s="845">
        <f t="shared" si="16"/>
        <v>3.8888888888888888</v>
      </c>
    </row>
    <row r="499" spans="2:5">
      <c r="B499" s="1115">
        <v>44947</v>
      </c>
      <c r="C499" s="242">
        <f t="shared" si="15"/>
        <v>1</v>
      </c>
      <c r="D499" s="242">
        <v>38.5</v>
      </c>
      <c r="E499" s="845">
        <f t="shared" si="16"/>
        <v>3.6111111111111112</v>
      </c>
    </row>
    <row r="500" spans="2:5">
      <c r="B500" s="1115">
        <v>44947</v>
      </c>
      <c r="C500" s="242">
        <f t="shared" si="15"/>
        <v>1</v>
      </c>
      <c r="D500" s="242">
        <v>38.1</v>
      </c>
      <c r="E500" s="845">
        <f t="shared" si="16"/>
        <v>3.3888888888888897</v>
      </c>
    </row>
    <row r="501" spans="2:5">
      <c r="B501" s="1115">
        <v>44947</v>
      </c>
      <c r="C501" s="242">
        <f t="shared" si="15"/>
        <v>1</v>
      </c>
      <c r="D501" s="242">
        <v>38.5</v>
      </c>
      <c r="E501" s="845">
        <f t="shared" si="16"/>
        <v>3.6111111111111112</v>
      </c>
    </row>
    <row r="502" spans="2:5">
      <c r="B502" s="1115">
        <v>44947</v>
      </c>
      <c r="C502" s="242">
        <f t="shared" si="15"/>
        <v>1</v>
      </c>
      <c r="D502" s="242">
        <v>39.6</v>
      </c>
      <c r="E502" s="845">
        <f t="shared" si="16"/>
        <v>4.2222222222222232</v>
      </c>
    </row>
    <row r="503" spans="2:5">
      <c r="B503" s="1115">
        <v>44947</v>
      </c>
      <c r="C503" s="242">
        <f t="shared" si="15"/>
        <v>1</v>
      </c>
      <c r="D503" s="242">
        <v>40.299999999999997</v>
      </c>
      <c r="E503" s="845">
        <f t="shared" si="16"/>
        <v>4.6111111111111098</v>
      </c>
    </row>
    <row r="504" spans="2:5">
      <c r="B504" s="1115">
        <v>44947</v>
      </c>
      <c r="C504" s="242">
        <f t="shared" si="15"/>
        <v>1</v>
      </c>
      <c r="D504" s="242" t="s">
        <v>1837</v>
      </c>
      <c r="E504" s="845">
        <f t="shared" si="16"/>
        <v>5</v>
      </c>
    </row>
    <row r="505" spans="2:5">
      <c r="B505" s="1115">
        <v>44947</v>
      </c>
      <c r="C505" s="242">
        <f t="shared" si="15"/>
        <v>1</v>
      </c>
      <c r="D505" s="242">
        <v>41.2</v>
      </c>
      <c r="E505" s="845">
        <f t="shared" si="16"/>
        <v>5.1111111111111125</v>
      </c>
    </row>
    <row r="506" spans="2:5">
      <c r="B506" s="1115">
        <v>44947</v>
      </c>
      <c r="C506" s="242">
        <f t="shared" si="15"/>
        <v>1</v>
      </c>
      <c r="D506" s="242">
        <v>41.2</v>
      </c>
      <c r="E506" s="845">
        <f t="shared" si="16"/>
        <v>5.1111111111111125</v>
      </c>
    </row>
    <row r="507" spans="2:5">
      <c r="B507" s="1115">
        <v>44947</v>
      </c>
      <c r="C507" s="242">
        <f t="shared" si="15"/>
        <v>1</v>
      </c>
      <c r="D507" s="242" t="s">
        <v>1837</v>
      </c>
      <c r="E507" s="845">
        <f t="shared" si="16"/>
        <v>5</v>
      </c>
    </row>
    <row r="508" spans="2:5">
      <c r="B508" s="1115">
        <v>44947</v>
      </c>
      <c r="C508" s="242">
        <f t="shared" si="15"/>
        <v>1</v>
      </c>
      <c r="D508" s="242">
        <v>40.799999999999997</v>
      </c>
      <c r="E508" s="845">
        <f t="shared" si="16"/>
        <v>4.8888888888888875</v>
      </c>
    </row>
    <row r="509" spans="2:5">
      <c r="B509" s="1115">
        <v>44947</v>
      </c>
      <c r="C509" s="242">
        <f t="shared" si="15"/>
        <v>1</v>
      </c>
      <c r="D509" s="242">
        <v>40.299999999999997</v>
      </c>
      <c r="E509" s="845">
        <f t="shared" si="16"/>
        <v>4.6111111111111098</v>
      </c>
    </row>
    <row r="510" spans="2:5">
      <c r="B510" s="1115">
        <v>44947</v>
      </c>
      <c r="C510" s="242">
        <f t="shared" si="15"/>
        <v>1</v>
      </c>
      <c r="D510" s="242">
        <v>39.4</v>
      </c>
      <c r="E510" s="845">
        <f t="shared" si="16"/>
        <v>4.1111111111111098</v>
      </c>
    </row>
    <row r="511" spans="2:5">
      <c r="B511" s="1115">
        <v>44947</v>
      </c>
      <c r="C511" s="242">
        <f t="shared" si="15"/>
        <v>1</v>
      </c>
      <c r="D511" s="242">
        <v>38.799999999999997</v>
      </c>
      <c r="E511" s="845">
        <f t="shared" si="16"/>
        <v>3.7777777777777759</v>
      </c>
    </row>
    <row r="512" spans="2:5">
      <c r="B512" s="1115">
        <v>44947</v>
      </c>
      <c r="C512" s="242">
        <f t="shared" si="15"/>
        <v>1</v>
      </c>
      <c r="D512" s="242">
        <v>38.299999999999997</v>
      </c>
      <c r="E512" s="845">
        <f t="shared" si="16"/>
        <v>3.4999999999999982</v>
      </c>
    </row>
    <row r="513" spans="2:5">
      <c r="B513" s="1115">
        <v>44948</v>
      </c>
      <c r="C513" s="242">
        <f t="shared" si="15"/>
        <v>1</v>
      </c>
      <c r="D513" s="242">
        <v>37.9</v>
      </c>
      <c r="E513" s="845">
        <f t="shared" si="16"/>
        <v>3.2777777777777768</v>
      </c>
    </row>
    <row r="514" spans="2:5">
      <c r="B514" s="1115">
        <v>44948</v>
      </c>
      <c r="C514" s="242">
        <f t="shared" si="15"/>
        <v>1</v>
      </c>
      <c r="D514" s="242">
        <v>38.299999999999997</v>
      </c>
      <c r="E514" s="845">
        <f t="shared" si="16"/>
        <v>3.4999999999999982</v>
      </c>
    </row>
    <row r="515" spans="2:5">
      <c r="B515" s="1115">
        <v>44948</v>
      </c>
      <c r="C515" s="242">
        <f t="shared" si="15"/>
        <v>1</v>
      </c>
      <c r="D515" s="242">
        <v>39.4</v>
      </c>
      <c r="E515" s="845">
        <f t="shared" si="16"/>
        <v>4.1111111111111098</v>
      </c>
    </row>
    <row r="516" spans="2:5">
      <c r="B516" s="1115">
        <v>44948</v>
      </c>
      <c r="C516" s="242">
        <f t="shared" si="15"/>
        <v>1</v>
      </c>
      <c r="D516" s="242">
        <v>39.9</v>
      </c>
      <c r="E516" s="845">
        <f t="shared" si="16"/>
        <v>4.3888888888888884</v>
      </c>
    </row>
    <row r="517" spans="2:5">
      <c r="B517" s="1115">
        <v>44948</v>
      </c>
      <c r="C517" s="242">
        <f t="shared" si="15"/>
        <v>1</v>
      </c>
      <c r="D517" s="242">
        <v>40.5</v>
      </c>
      <c r="E517" s="845">
        <f t="shared" si="16"/>
        <v>4.7222222222222223</v>
      </c>
    </row>
    <row r="518" spans="2:5">
      <c r="B518" s="1115">
        <v>44948</v>
      </c>
      <c r="C518" s="242">
        <f t="shared" si="15"/>
        <v>1</v>
      </c>
      <c r="D518" s="242">
        <v>40.6</v>
      </c>
      <c r="E518" s="845">
        <f t="shared" si="16"/>
        <v>4.7777777777777786</v>
      </c>
    </row>
    <row r="519" spans="2:5">
      <c r="B519" s="1115">
        <v>44948</v>
      </c>
      <c r="C519" s="242">
        <f t="shared" si="15"/>
        <v>1</v>
      </c>
      <c r="D519" s="242">
        <v>40.799999999999997</v>
      </c>
      <c r="E519" s="845">
        <f t="shared" si="16"/>
        <v>4.8888888888888875</v>
      </c>
    </row>
    <row r="520" spans="2:5">
      <c r="B520" s="1115">
        <v>44948</v>
      </c>
      <c r="C520" s="242">
        <f t="shared" si="15"/>
        <v>1</v>
      </c>
      <c r="D520" s="242">
        <v>40.6</v>
      </c>
      <c r="E520" s="845">
        <f t="shared" si="16"/>
        <v>4.7777777777777786</v>
      </c>
    </row>
    <row r="521" spans="2:5">
      <c r="B521" s="1115">
        <v>44948</v>
      </c>
      <c r="C521" s="242">
        <f t="shared" si="15"/>
        <v>1</v>
      </c>
      <c r="D521" s="242">
        <v>40.299999999999997</v>
      </c>
      <c r="E521" s="845">
        <f t="shared" si="16"/>
        <v>4.6111111111111098</v>
      </c>
    </row>
    <row r="522" spans="2:5">
      <c r="B522" s="1115">
        <v>44948</v>
      </c>
      <c r="C522" s="242">
        <f t="shared" ref="C522:C585" si="17">MONTH(B522)</f>
        <v>1</v>
      </c>
      <c r="D522" s="242">
        <v>39.4</v>
      </c>
      <c r="E522" s="845">
        <f t="shared" ref="E522:E585" si="18">CONVERT(D522,"F","C")</f>
        <v>4.1111111111111098</v>
      </c>
    </row>
    <row r="523" spans="2:5">
      <c r="B523" s="1115">
        <v>44948</v>
      </c>
      <c r="C523" s="242">
        <f t="shared" si="17"/>
        <v>1</v>
      </c>
      <c r="D523" s="242">
        <v>38.700000000000003</v>
      </c>
      <c r="E523" s="845">
        <f t="shared" si="18"/>
        <v>3.7222222222222237</v>
      </c>
    </row>
    <row r="524" spans="2:5">
      <c r="B524" s="1115">
        <v>44948</v>
      </c>
      <c r="C524" s="242">
        <f t="shared" si="17"/>
        <v>1</v>
      </c>
      <c r="D524" s="242">
        <v>37.9</v>
      </c>
      <c r="E524" s="845">
        <f t="shared" si="18"/>
        <v>3.2777777777777768</v>
      </c>
    </row>
    <row r="525" spans="2:5">
      <c r="B525" s="1115">
        <v>44948</v>
      </c>
      <c r="C525" s="242">
        <f t="shared" si="17"/>
        <v>1</v>
      </c>
      <c r="D525" s="242">
        <v>37.799999999999997</v>
      </c>
      <c r="E525" s="845">
        <f t="shared" si="18"/>
        <v>3.2222222222222205</v>
      </c>
    </row>
    <row r="526" spans="2:5">
      <c r="B526" s="1115">
        <v>44948</v>
      </c>
      <c r="C526" s="242">
        <f t="shared" si="17"/>
        <v>1</v>
      </c>
      <c r="D526" s="242">
        <v>38.1</v>
      </c>
      <c r="E526" s="845">
        <f t="shared" si="18"/>
        <v>3.3888888888888897</v>
      </c>
    </row>
    <row r="527" spans="2:5">
      <c r="B527" s="1115">
        <v>44948</v>
      </c>
      <c r="C527" s="242">
        <f t="shared" si="17"/>
        <v>1</v>
      </c>
      <c r="D527" s="242">
        <v>39.200000000000003</v>
      </c>
      <c r="E527" s="845">
        <f t="shared" si="18"/>
        <v>4.0000000000000018</v>
      </c>
    </row>
    <row r="528" spans="2:5">
      <c r="B528" s="1115">
        <v>44948</v>
      </c>
      <c r="C528" s="242">
        <f t="shared" si="17"/>
        <v>1</v>
      </c>
      <c r="D528" s="242">
        <v>39.9</v>
      </c>
      <c r="E528" s="845">
        <f t="shared" si="18"/>
        <v>4.3888888888888884</v>
      </c>
    </row>
    <row r="529" spans="2:5">
      <c r="B529" s="1115">
        <v>44948</v>
      </c>
      <c r="C529" s="242">
        <f t="shared" si="17"/>
        <v>1</v>
      </c>
      <c r="D529" s="242">
        <v>40.6</v>
      </c>
      <c r="E529" s="845">
        <f t="shared" si="18"/>
        <v>4.7777777777777786</v>
      </c>
    </row>
    <row r="530" spans="2:5">
      <c r="B530" s="1115">
        <v>44948</v>
      </c>
      <c r="C530" s="242">
        <f t="shared" si="17"/>
        <v>1</v>
      </c>
      <c r="D530" s="242">
        <v>40.799999999999997</v>
      </c>
      <c r="E530" s="845">
        <f t="shared" si="18"/>
        <v>4.8888888888888875</v>
      </c>
    </row>
    <row r="531" spans="2:5">
      <c r="B531" s="1115">
        <v>44948</v>
      </c>
      <c r="C531" s="242">
        <f t="shared" si="17"/>
        <v>1</v>
      </c>
      <c r="D531" s="242">
        <v>40.799999999999997</v>
      </c>
      <c r="E531" s="845">
        <f t="shared" si="18"/>
        <v>4.8888888888888875</v>
      </c>
    </row>
    <row r="532" spans="2:5">
      <c r="B532" s="1115">
        <v>44948</v>
      </c>
      <c r="C532" s="242">
        <f t="shared" si="17"/>
        <v>1</v>
      </c>
      <c r="D532" s="242">
        <v>40.6</v>
      </c>
      <c r="E532" s="845">
        <f t="shared" si="18"/>
        <v>4.7777777777777786</v>
      </c>
    </row>
    <row r="533" spans="2:5">
      <c r="B533" s="1115">
        <v>44948</v>
      </c>
      <c r="C533" s="242">
        <f t="shared" si="17"/>
        <v>1</v>
      </c>
      <c r="D533" s="242">
        <v>40.5</v>
      </c>
      <c r="E533" s="845">
        <f t="shared" si="18"/>
        <v>4.7222222222222223</v>
      </c>
    </row>
    <row r="534" spans="2:5">
      <c r="B534" s="1115">
        <v>44948</v>
      </c>
      <c r="C534" s="242">
        <f t="shared" si="17"/>
        <v>1</v>
      </c>
      <c r="D534" s="242">
        <v>39.700000000000003</v>
      </c>
      <c r="E534" s="845">
        <f t="shared" si="18"/>
        <v>4.2777777777777795</v>
      </c>
    </row>
    <row r="535" spans="2:5">
      <c r="B535" s="1115">
        <v>44948</v>
      </c>
      <c r="C535" s="242">
        <f t="shared" si="17"/>
        <v>1</v>
      </c>
      <c r="D535" s="242" t="s">
        <v>1839</v>
      </c>
      <c r="E535" s="845">
        <f t="shared" si="18"/>
        <v>3.8888888888888888</v>
      </c>
    </row>
    <row r="536" spans="2:5">
      <c r="B536" s="1115">
        <v>44948</v>
      </c>
      <c r="C536" s="242">
        <f t="shared" si="17"/>
        <v>1</v>
      </c>
      <c r="D536" s="242">
        <v>38.299999999999997</v>
      </c>
      <c r="E536" s="845">
        <f t="shared" si="18"/>
        <v>3.4999999999999982</v>
      </c>
    </row>
    <row r="537" spans="2:5">
      <c r="B537" s="1115">
        <v>44949</v>
      </c>
      <c r="C537" s="242">
        <f t="shared" si="17"/>
        <v>1</v>
      </c>
      <c r="D537" s="242">
        <v>37.799999999999997</v>
      </c>
      <c r="E537" s="845">
        <f t="shared" si="18"/>
        <v>3.2222222222222205</v>
      </c>
    </row>
    <row r="538" spans="2:5">
      <c r="B538" s="1115">
        <v>44949</v>
      </c>
      <c r="C538" s="242">
        <f t="shared" si="17"/>
        <v>1</v>
      </c>
      <c r="D538" s="242">
        <v>37.4</v>
      </c>
      <c r="E538" s="845">
        <f t="shared" si="18"/>
        <v>2.9999999999999991</v>
      </c>
    </row>
    <row r="539" spans="2:5">
      <c r="B539" s="1115">
        <v>44949</v>
      </c>
      <c r="C539" s="242">
        <f t="shared" si="17"/>
        <v>1</v>
      </c>
      <c r="D539" s="242">
        <v>37.799999999999997</v>
      </c>
      <c r="E539" s="845">
        <f t="shared" si="18"/>
        <v>3.2222222222222205</v>
      </c>
    </row>
    <row r="540" spans="2:5">
      <c r="B540" s="1115">
        <v>44949</v>
      </c>
      <c r="C540" s="242">
        <f t="shared" si="17"/>
        <v>1</v>
      </c>
      <c r="D540" s="242">
        <v>39.200000000000003</v>
      </c>
      <c r="E540" s="845">
        <f t="shared" si="18"/>
        <v>4.0000000000000018</v>
      </c>
    </row>
    <row r="541" spans="2:5">
      <c r="B541" s="1115">
        <v>44949</v>
      </c>
      <c r="C541" s="242">
        <f t="shared" si="17"/>
        <v>1</v>
      </c>
      <c r="D541" s="242">
        <v>39.9</v>
      </c>
      <c r="E541" s="845">
        <f t="shared" si="18"/>
        <v>4.3888888888888884</v>
      </c>
    </row>
    <row r="542" spans="2:5">
      <c r="B542" s="1115">
        <v>44949</v>
      </c>
      <c r="C542" s="242">
        <f t="shared" si="17"/>
        <v>1</v>
      </c>
      <c r="D542" s="242">
        <v>40.6</v>
      </c>
      <c r="E542" s="845">
        <f t="shared" si="18"/>
        <v>4.7777777777777786</v>
      </c>
    </row>
    <row r="543" spans="2:5">
      <c r="B543" s="1115">
        <v>44949</v>
      </c>
      <c r="C543" s="242">
        <f t="shared" si="17"/>
        <v>1</v>
      </c>
      <c r="D543" s="242">
        <v>40.799999999999997</v>
      </c>
      <c r="E543" s="845">
        <f t="shared" si="18"/>
        <v>4.8888888888888875</v>
      </c>
    </row>
    <row r="544" spans="2:5">
      <c r="B544" s="1115">
        <v>44949</v>
      </c>
      <c r="C544" s="242">
        <f t="shared" si="17"/>
        <v>1</v>
      </c>
      <c r="D544" s="242">
        <v>40.799999999999997</v>
      </c>
      <c r="E544" s="845">
        <f t="shared" si="18"/>
        <v>4.8888888888888875</v>
      </c>
    </row>
    <row r="545" spans="2:5">
      <c r="B545" s="1115">
        <v>44949</v>
      </c>
      <c r="C545" s="242">
        <f t="shared" si="17"/>
        <v>1</v>
      </c>
      <c r="D545" s="242">
        <v>40.6</v>
      </c>
      <c r="E545" s="845">
        <f t="shared" si="18"/>
        <v>4.7777777777777786</v>
      </c>
    </row>
    <row r="546" spans="2:5">
      <c r="B546" s="1115">
        <v>44949</v>
      </c>
      <c r="C546" s="242">
        <f t="shared" si="17"/>
        <v>1</v>
      </c>
      <c r="D546" s="242">
        <v>40.299999999999997</v>
      </c>
      <c r="E546" s="845">
        <f t="shared" si="18"/>
        <v>4.6111111111111098</v>
      </c>
    </row>
    <row r="547" spans="2:5">
      <c r="B547" s="1115">
        <v>44949</v>
      </c>
      <c r="C547" s="242">
        <f t="shared" si="17"/>
        <v>1</v>
      </c>
      <c r="D547" s="242">
        <v>39.4</v>
      </c>
      <c r="E547" s="845">
        <f t="shared" si="18"/>
        <v>4.1111111111111098</v>
      </c>
    </row>
    <row r="548" spans="2:5">
      <c r="B548" s="1115">
        <v>44949</v>
      </c>
      <c r="C548" s="242">
        <f t="shared" si="17"/>
        <v>1</v>
      </c>
      <c r="D548" s="242">
        <v>38.700000000000003</v>
      </c>
      <c r="E548" s="845">
        <f t="shared" si="18"/>
        <v>3.7222222222222237</v>
      </c>
    </row>
    <row r="549" spans="2:5">
      <c r="B549" s="1115">
        <v>44949</v>
      </c>
      <c r="C549" s="242">
        <f t="shared" si="17"/>
        <v>1</v>
      </c>
      <c r="D549" s="242">
        <v>38.1</v>
      </c>
      <c r="E549" s="845">
        <f t="shared" si="18"/>
        <v>3.3888888888888897</v>
      </c>
    </row>
    <row r="550" spans="2:5">
      <c r="B550" s="1115">
        <v>44949</v>
      </c>
      <c r="C550" s="242">
        <f t="shared" si="17"/>
        <v>1</v>
      </c>
      <c r="D550" s="242">
        <v>37.799999999999997</v>
      </c>
      <c r="E550" s="845">
        <f t="shared" si="18"/>
        <v>3.2222222222222205</v>
      </c>
    </row>
    <row r="551" spans="2:5">
      <c r="B551" s="1115">
        <v>44949</v>
      </c>
      <c r="C551" s="242">
        <f t="shared" si="17"/>
        <v>1</v>
      </c>
      <c r="D551" s="242">
        <v>38.700000000000003</v>
      </c>
      <c r="E551" s="845">
        <f t="shared" si="18"/>
        <v>3.7222222222222237</v>
      </c>
    </row>
    <row r="552" spans="2:5">
      <c r="B552" s="1115">
        <v>44949</v>
      </c>
      <c r="C552" s="242">
        <f t="shared" si="17"/>
        <v>1</v>
      </c>
      <c r="D552" s="242">
        <v>39.4</v>
      </c>
      <c r="E552" s="845">
        <f t="shared" si="18"/>
        <v>4.1111111111111098</v>
      </c>
    </row>
    <row r="553" spans="2:5">
      <c r="B553" s="1115">
        <v>44949</v>
      </c>
      <c r="C553" s="242">
        <f t="shared" si="17"/>
        <v>1</v>
      </c>
      <c r="D553" s="242">
        <v>40.299999999999997</v>
      </c>
      <c r="E553" s="845">
        <f t="shared" si="18"/>
        <v>4.6111111111111098</v>
      </c>
    </row>
    <row r="554" spans="2:5">
      <c r="B554" s="1115">
        <v>44949</v>
      </c>
      <c r="C554" s="242">
        <f t="shared" si="17"/>
        <v>1</v>
      </c>
      <c r="D554" s="242">
        <v>40.6</v>
      </c>
      <c r="E554" s="845">
        <f t="shared" si="18"/>
        <v>4.7777777777777786</v>
      </c>
    </row>
    <row r="555" spans="2:5">
      <c r="B555" s="1115">
        <v>44949</v>
      </c>
      <c r="C555" s="242">
        <f t="shared" si="17"/>
        <v>1</v>
      </c>
      <c r="D555" s="242">
        <v>40.6</v>
      </c>
      <c r="E555" s="845">
        <f t="shared" si="18"/>
        <v>4.7777777777777786</v>
      </c>
    </row>
    <row r="556" spans="2:5">
      <c r="B556" s="1115">
        <v>44949</v>
      </c>
      <c r="C556" s="242">
        <f t="shared" si="17"/>
        <v>1</v>
      </c>
      <c r="D556" s="242">
        <v>40.6</v>
      </c>
      <c r="E556" s="845">
        <f t="shared" si="18"/>
        <v>4.7777777777777786</v>
      </c>
    </row>
    <row r="557" spans="2:5">
      <c r="B557" s="1115">
        <v>44949</v>
      </c>
      <c r="C557" s="242">
        <f t="shared" si="17"/>
        <v>1</v>
      </c>
      <c r="D557" s="242">
        <v>40.5</v>
      </c>
      <c r="E557" s="845">
        <f t="shared" si="18"/>
        <v>4.7222222222222223</v>
      </c>
    </row>
    <row r="558" spans="2:5">
      <c r="B558" s="1115">
        <v>44949</v>
      </c>
      <c r="C558" s="242">
        <f t="shared" si="17"/>
        <v>1</v>
      </c>
      <c r="D558" s="242">
        <v>40.299999999999997</v>
      </c>
      <c r="E558" s="845">
        <f t="shared" si="18"/>
        <v>4.6111111111111098</v>
      </c>
    </row>
    <row r="559" spans="2:5">
      <c r="B559" s="1115">
        <v>44949</v>
      </c>
      <c r="C559" s="242">
        <f t="shared" si="17"/>
        <v>1</v>
      </c>
      <c r="D559" s="242">
        <v>39.6</v>
      </c>
      <c r="E559" s="845">
        <f t="shared" si="18"/>
        <v>4.2222222222222232</v>
      </c>
    </row>
    <row r="560" spans="2:5">
      <c r="B560" s="1115">
        <v>44949</v>
      </c>
      <c r="C560" s="242">
        <f t="shared" si="17"/>
        <v>1</v>
      </c>
      <c r="D560" s="242">
        <v>38.799999999999997</v>
      </c>
      <c r="E560" s="845">
        <f t="shared" si="18"/>
        <v>3.7777777777777759</v>
      </c>
    </row>
    <row r="561" spans="2:5">
      <c r="B561" s="1115">
        <v>44950</v>
      </c>
      <c r="C561" s="242">
        <f t="shared" si="17"/>
        <v>1</v>
      </c>
      <c r="D561" s="242">
        <v>38.1</v>
      </c>
      <c r="E561" s="845">
        <f t="shared" si="18"/>
        <v>3.3888888888888897</v>
      </c>
    </row>
    <row r="562" spans="2:5">
      <c r="B562" s="1115">
        <v>44950</v>
      </c>
      <c r="C562" s="242">
        <f t="shared" si="17"/>
        <v>1</v>
      </c>
      <c r="D562" s="242">
        <v>37.6</v>
      </c>
      <c r="E562" s="845">
        <f t="shared" si="18"/>
        <v>3.1111111111111116</v>
      </c>
    </row>
    <row r="563" spans="2:5">
      <c r="B563" s="1115">
        <v>44950</v>
      </c>
      <c r="C563" s="242">
        <f t="shared" si="17"/>
        <v>1</v>
      </c>
      <c r="D563" s="242">
        <v>37.4</v>
      </c>
      <c r="E563" s="845">
        <f t="shared" si="18"/>
        <v>2.9999999999999991</v>
      </c>
    </row>
    <row r="564" spans="2:5">
      <c r="B564" s="1115">
        <v>44950</v>
      </c>
      <c r="C564" s="242">
        <f t="shared" si="17"/>
        <v>1</v>
      </c>
      <c r="D564" s="242">
        <v>37.799999999999997</v>
      </c>
      <c r="E564" s="845">
        <f t="shared" si="18"/>
        <v>3.2222222222222205</v>
      </c>
    </row>
    <row r="565" spans="2:5">
      <c r="B565" s="1115">
        <v>44950</v>
      </c>
      <c r="C565" s="242">
        <f t="shared" si="17"/>
        <v>1</v>
      </c>
      <c r="D565" s="242">
        <v>38.799999999999997</v>
      </c>
      <c r="E565" s="845">
        <f t="shared" si="18"/>
        <v>3.7777777777777759</v>
      </c>
    </row>
    <row r="566" spans="2:5">
      <c r="B566" s="1115">
        <v>44950</v>
      </c>
      <c r="C566" s="242">
        <f t="shared" si="17"/>
        <v>1</v>
      </c>
      <c r="D566" s="242">
        <v>39.4</v>
      </c>
      <c r="E566" s="845">
        <f t="shared" si="18"/>
        <v>4.1111111111111098</v>
      </c>
    </row>
    <row r="567" spans="2:5">
      <c r="B567" s="1115">
        <v>44950</v>
      </c>
      <c r="C567" s="242">
        <f t="shared" si="17"/>
        <v>1</v>
      </c>
      <c r="D567" s="242">
        <v>40.1</v>
      </c>
      <c r="E567" s="845">
        <f t="shared" si="18"/>
        <v>4.5000000000000009</v>
      </c>
    </row>
    <row r="568" spans="2:5">
      <c r="B568" s="1115">
        <v>44950</v>
      </c>
      <c r="C568" s="242">
        <f t="shared" si="17"/>
        <v>1</v>
      </c>
      <c r="D568" s="242">
        <v>40.299999999999997</v>
      </c>
      <c r="E568" s="845">
        <f t="shared" si="18"/>
        <v>4.6111111111111098</v>
      </c>
    </row>
    <row r="569" spans="2:5">
      <c r="B569" s="1115">
        <v>44950</v>
      </c>
      <c r="C569" s="242">
        <f t="shared" si="17"/>
        <v>1</v>
      </c>
      <c r="D569" s="242">
        <v>40.5</v>
      </c>
      <c r="E569" s="845">
        <f t="shared" si="18"/>
        <v>4.7222222222222223</v>
      </c>
    </row>
    <row r="570" spans="2:5">
      <c r="B570" s="1115">
        <v>44950</v>
      </c>
      <c r="C570" s="242">
        <f t="shared" si="17"/>
        <v>1</v>
      </c>
      <c r="D570" s="242">
        <v>40.1</v>
      </c>
      <c r="E570" s="845">
        <f t="shared" si="18"/>
        <v>4.5000000000000009</v>
      </c>
    </row>
    <row r="571" spans="2:5">
      <c r="B571" s="1115">
        <v>44950</v>
      </c>
      <c r="C571" s="242">
        <f t="shared" si="17"/>
        <v>1</v>
      </c>
      <c r="D571" s="242">
        <v>39.4</v>
      </c>
      <c r="E571" s="845">
        <f t="shared" si="18"/>
        <v>4.1111111111111098</v>
      </c>
    </row>
    <row r="572" spans="2:5">
      <c r="B572" s="1115">
        <v>44950</v>
      </c>
      <c r="C572" s="242">
        <f t="shared" si="17"/>
        <v>1</v>
      </c>
      <c r="D572" s="242">
        <v>38.299999999999997</v>
      </c>
      <c r="E572" s="845">
        <f t="shared" si="18"/>
        <v>3.4999999999999982</v>
      </c>
    </row>
    <row r="573" spans="2:5">
      <c r="B573" s="1115">
        <v>44950</v>
      </c>
      <c r="C573" s="242">
        <f t="shared" si="17"/>
        <v>1</v>
      </c>
      <c r="D573" s="242">
        <v>37.6</v>
      </c>
      <c r="E573" s="845">
        <f t="shared" si="18"/>
        <v>3.1111111111111116</v>
      </c>
    </row>
    <row r="574" spans="2:5">
      <c r="B574" s="1115">
        <v>44950</v>
      </c>
      <c r="C574" s="242">
        <f t="shared" si="17"/>
        <v>1</v>
      </c>
      <c r="D574" s="242">
        <v>37.200000000000003</v>
      </c>
      <c r="E574" s="845">
        <f t="shared" si="18"/>
        <v>2.8888888888888906</v>
      </c>
    </row>
    <row r="575" spans="2:5">
      <c r="B575" s="1115">
        <v>44950</v>
      </c>
      <c r="C575" s="242">
        <f t="shared" si="17"/>
        <v>1</v>
      </c>
      <c r="D575" s="242">
        <v>36.9</v>
      </c>
      <c r="E575" s="845">
        <f t="shared" si="18"/>
        <v>2.7222222222222214</v>
      </c>
    </row>
    <row r="576" spans="2:5">
      <c r="B576" s="1115">
        <v>44950</v>
      </c>
      <c r="C576" s="242">
        <f t="shared" si="17"/>
        <v>1</v>
      </c>
      <c r="D576" s="242">
        <v>37.200000000000003</v>
      </c>
      <c r="E576" s="845">
        <f t="shared" si="18"/>
        <v>2.8888888888888906</v>
      </c>
    </row>
    <row r="577" spans="2:5">
      <c r="B577" s="1115">
        <v>44950</v>
      </c>
      <c r="C577" s="242">
        <f t="shared" si="17"/>
        <v>1</v>
      </c>
      <c r="D577" s="242">
        <v>38.5</v>
      </c>
      <c r="E577" s="845">
        <f t="shared" si="18"/>
        <v>3.6111111111111112</v>
      </c>
    </row>
    <row r="578" spans="2:5">
      <c r="B578" s="1115">
        <v>44950</v>
      </c>
      <c r="C578" s="242">
        <f t="shared" si="17"/>
        <v>1</v>
      </c>
      <c r="D578" s="242">
        <v>39.4</v>
      </c>
      <c r="E578" s="845">
        <f t="shared" si="18"/>
        <v>4.1111111111111098</v>
      </c>
    </row>
    <row r="579" spans="2:5">
      <c r="B579" s="1115">
        <v>44950</v>
      </c>
      <c r="C579" s="242">
        <f t="shared" si="17"/>
        <v>1</v>
      </c>
      <c r="D579" s="242">
        <v>40.1</v>
      </c>
      <c r="E579" s="845">
        <f t="shared" si="18"/>
        <v>4.5000000000000009</v>
      </c>
    </row>
    <row r="580" spans="2:5">
      <c r="B580" s="1115">
        <v>44950</v>
      </c>
      <c r="C580" s="242">
        <f t="shared" si="17"/>
        <v>1</v>
      </c>
      <c r="D580" s="242">
        <v>40.6</v>
      </c>
      <c r="E580" s="845">
        <f t="shared" si="18"/>
        <v>4.7777777777777786</v>
      </c>
    </row>
    <row r="581" spans="2:5">
      <c r="B581" s="1115">
        <v>44950</v>
      </c>
      <c r="C581" s="242">
        <f t="shared" si="17"/>
        <v>1</v>
      </c>
      <c r="D581" s="242">
        <v>40.6</v>
      </c>
      <c r="E581" s="845">
        <f t="shared" si="18"/>
        <v>4.7777777777777786</v>
      </c>
    </row>
    <row r="582" spans="2:5">
      <c r="B582" s="1115">
        <v>44950</v>
      </c>
      <c r="C582" s="242">
        <f t="shared" si="17"/>
        <v>1</v>
      </c>
      <c r="D582" s="242">
        <v>40.6</v>
      </c>
      <c r="E582" s="845">
        <f t="shared" si="18"/>
        <v>4.7777777777777786</v>
      </c>
    </row>
    <row r="583" spans="2:5">
      <c r="B583" s="1115">
        <v>44950</v>
      </c>
      <c r="C583" s="242">
        <f t="shared" si="17"/>
        <v>1</v>
      </c>
      <c r="D583" s="242">
        <v>40.1</v>
      </c>
      <c r="E583" s="845">
        <f t="shared" si="18"/>
        <v>4.5000000000000009</v>
      </c>
    </row>
    <row r="584" spans="2:5">
      <c r="B584" s="1115">
        <v>44950</v>
      </c>
      <c r="C584" s="242">
        <f t="shared" si="17"/>
        <v>1</v>
      </c>
      <c r="D584" s="242">
        <v>39.200000000000003</v>
      </c>
      <c r="E584" s="845">
        <f t="shared" si="18"/>
        <v>4.0000000000000018</v>
      </c>
    </row>
    <row r="585" spans="2:5">
      <c r="B585" s="1115">
        <v>44951</v>
      </c>
      <c r="C585" s="242">
        <f t="shared" si="17"/>
        <v>1</v>
      </c>
      <c r="D585" s="242">
        <v>38.299999999999997</v>
      </c>
      <c r="E585" s="845">
        <f t="shared" si="18"/>
        <v>3.4999999999999982</v>
      </c>
    </row>
    <row r="586" spans="2:5">
      <c r="B586" s="1115">
        <v>44951</v>
      </c>
      <c r="C586" s="242">
        <f t="shared" ref="C586:C649" si="19">MONTH(B586)</f>
        <v>1</v>
      </c>
      <c r="D586" s="242">
        <v>37.799999999999997</v>
      </c>
      <c r="E586" s="845">
        <f t="shared" ref="E586:E649" si="20">CONVERT(D586,"F","C")</f>
        <v>3.2222222222222205</v>
      </c>
    </row>
    <row r="587" spans="2:5">
      <c r="B587" s="1115">
        <v>44951</v>
      </c>
      <c r="C587" s="242">
        <f t="shared" si="19"/>
        <v>1</v>
      </c>
      <c r="D587" s="242">
        <v>37.200000000000003</v>
      </c>
      <c r="E587" s="845">
        <f t="shared" si="20"/>
        <v>2.8888888888888906</v>
      </c>
    </row>
    <row r="588" spans="2:5">
      <c r="B588" s="1115">
        <v>44951</v>
      </c>
      <c r="C588" s="242">
        <f t="shared" si="19"/>
        <v>1</v>
      </c>
      <c r="D588" s="242" t="s">
        <v>1840</v>
      </c>
      <c r="E588" s="845">
        <f t="shared" si="20"/>
        <v>2.7777777777777777</v>
      </c>
    </row>
    <row r="589" spans="2:5">
      <c r="B589" s="1115">
        <v>44951</v>
      </c>
      <c r="C589" s="242">
        <f t="shared" si="19"/>
        <v>1</v>
      </c>
      <c r="D589" s="242">
        <v>38.1</v>
      </c>
      <c r="E589" s="845">
        <f t="shared" si="20"/>
        <v>3.3888888888888897</v>
      </c>
    </row>
    <row r="590" spans="2:5">
      <c r="B590" s="1115">
        <v>44951</v>
      </c>
      <c r="C590" s="242">
        <f t="shared" si="19"/>
        <v>1</v>
      </c>
      <c r="D590" s="242" t="s">
        <v>1839</v>
      </c>
      <c r="E590" s="845">
        <f t="shared" si="20"/>
        <v>3.8888888888888888</v>
      </c>
    </row>
    <row r="591" spans="2:5">
      <c r="B591" s="1115">
        <v>44951</v>
      </c>
      <c r="C591" s="242">
        <f t="shared" si="19"/>
        <v>1</v>
      </c>
      <c r="D591" s="242">
        <v>40.1</v>
      </c>
      <c r="E591" s="845">
        <f t="shared" si="20"/>
        <v>4.5000000000000009</v>
      </c>
    </row>
    <row r="592" spans="2:5">
      <c r="B592" s="1115">
        <v>44951</v>
      </c>
      <c r="C592" s="242">
        <f t="shared" si="19"/>
        <v>1</v>
      </c>
      <c r="D592" s="242">
        <v>40.6</v>
      </c>
      <c r="E592" s="845">
        <f t="shared" si="20"/>
        <v>4.7777777777777786</v>
      </c>
    </row>
    <row r="593" spans="2:5">
      <c r="B593" s="1115">
        <v>44951</v>
      </c>
      <c r="C593" s="242">
        <f t="shared" si="19"/>
        <v>1</v>
      </c>
      <c r="D593" s="242">
        <v>40.799999999999997</v>
      </c>
      <c r="E593" s="845">
        <f t="shared" si="20"/>
        <v>4.8888888888888875</v>
      </c>
    </row>
    <row r="594" spans="2:5">
      <c r="B594" s="1115">
        <v>44951</v>
      </c>
      <c r="C594" s="242">
        <f t="shared" si="19"/>
        <v>1</v>
      </c>
      <c r="D594" s="242">
        <v>40.5</v>
      </c>
      <c r="E594" s="845">
        <f t="shared" si="20"/>
        <v>4.7222222222222223</v>
      </c>
    </row>
    <row r="595" spans="2:5">
      <c r="B595" s="1115">
        <v>44951</v>
      </c>
      <c r="C595" s="242">
        <f t="shared" si="19"/>
        <v>1</v>
      </c>
      <c r="D595" s="242">
        <v>40.6</v>
      </c>
      <c r="E595" s="845">
        <f t="shared" si="20"/>
        <v>4.7777777777777786</v>
      </c>
    </row>
    <row r="596" spans="2:5">
      <c r="B596" s="1115">
        <v>44951</v>
      </c>
      <c r="C596" s="242">
        <f t="shared" si="19"/>
        <v>1</v>
      </c>
      <c r="D596" s="242">
        <v>39.9</v>
      </c>
      <c r="E596" s="845">
        <f t="shared" si="20"/>
        <v>4.3888888888888884</v>
      </c>
    </row>
    <row r="597" spans="2:5">
      <c r="B597" s="1115">
        <v>44951</v>
      </c>
      <c r="C597" s="242">
        <f t="shared" si="19"/>
        <v>1</v>
      </c>
      <c r="D597" s="242">
        <v>38.799999999999997</v>
      </c>
      <c r="E597" s="845">
        <f t="shared" si="20"/>
        <v>3.7777777777777759</v>
      </c>
    </row>
    <row r="598" spans="2:5">
      <c r="B598" s="1115">
        <v>44951</v>
      </c>
      <c r="C598" s="242">
        <f t="shared" si="19"/>
        <v>1</v>
      </c>
      <c r="D598" s="242">
        <v>38.1</v>
      </c>
      <c r="E598" s="845">
        <f t="shared" si="20"/>
        <v>3.3888888888888897</v>
      </c>
    </row>
    <row r="599" spans="2:5">
      <c r="B599" s="1115">
        <v>44951</v>
      </c>
      <c r="C599" s="242">
        <f t="shared" si="19"/>
        <v>1</v>
      </c>
      <c r="D599" s="242">
        <v>37.6</v>
      </c>
      <c r="E599" s="845">
        <f t="shared" si="20"/>
        <v>3.1111111111111116</v>
      </c>
    </row>
    <row r="600" spans="2:5">
      <c r="B600" s="1115">
        <v>44951</v>
      </c>
      <c r="C600" s="242">
        <f t="shared" si="19"/>
        <v>1</v>
      </c>
      <c r="D600" s="242">
        <v>37.4</v>
      </c>
      <c r="E600" s="845">
        <f t="shared" si="20"/>
        <v>2.9999999999999991</v>
      </c>
    </row>
    <row r="601" spans="2:5">
      <c r="B601" s="1115">
        <v>44951</v>
      </c>
      <c r="C601" s="242">
        <f t="shared" si="19"/>
        <v>1</v>
      </c>
      <c r="D601" s="242">
        <v>37.9</v>
      </c>
      <c r="E601" s="845">
        <f t="shared" si="20"/>
        <v>3.2777777777777768</v>
      </c>
    </row>
    <row r="602" spans="2:5">
      <c r="B602" s="1115">
        <v>44951</v>
      </c>
      <c r="C602" s="242">
        <f t="shared" si="19"/>
        <v>1</v>
      </c>
      <c r="D602" s="242">
        <v>39.200000000000003</v>
      </c>
      <c r="E602" s="845">
        <f t="shared" si="20"/>
        <v>4.0000000000000018</v>
      </c>
    </row>
    <row r="603" spans="2:5">
      <c r="B603" s="1115">
        <v>44951</v>
      </c>
      <c r="C603" s="242">
        <f t="shared" si="19"/>
        <v>1</v>
      </c>
      <c r="D603" s="242">
        <v>40.299999999999997</v>
      </c>
      <c r="E603" s="845">
        <f t="shared" si="20"/>
        <v>4.6111111111111098</v>
      </c>
    </row>
    <row r="604" spans="2:5">
      <c r="B604" s="1115">
        <v>44951</v>
      </c>
      <c r="C604" s="242">
        <f t="shared" si="19"/>
        <v>1</v>
      </c>
      <c r="D604" s="242" t="s">
        <v>1837</v>
      </c>
      <c r="E604" s="845">
        <f t="shared" si="20"/>
        <v>5</v>
      </c>
    </row>
    <row r="605" spans="2:5">
      <c r="B605" s="1115">
        <v>44951</v>
      </c>
      <c r="C605" s="242">
        <f t="shared" si="19"/>
        <v>1</v>
      </c>
      <c r="D605" s="242" t="s">
        <v>1837</v>
      </c>
      <c r="E605" s="845">
        <f t="shared" si="20"/>
        <v>5</v>
      </c>
    </row>
    <row r="606" spans="2:5">
      <c r="B606" s="1115">
        <v>44951</v>
      </c>
      <c r="C606" s="242">
        <f t="shared" si="19"/>
        <v>1</v>
      </c>
      <c r="D606" s="242" t="s">
        <v>1837</v>
      </c>
      <c r="E606" s="845">
        <f t="shared" si="20"/>
        <v>5</v>
      </c>
    </row>
    <row r="607" spans="2:5">
      <c r="B607" s="1115">
        <v>44951</v>
      </c>
      <c r="C607" s="242">
        <f t="shared" si="19"/>
        <v>1</v>
      </c>
      <c r="D607" s="242">
        <v>40.799999999999997</v>
      </c>
      <c r="E607" s="845">
        <f t="shared" si="20"/>
        <v>4.8888888888888875</v>
      </c>
    </row>
    <row r="608" spans="2:5">
      <c r="B608" s="1115">
        <v>44951</v>
      </c>
      <c r="C608" s="242">
        <f t="shared" si="19"/>
        <v>1</v>
      </c>
      <c r="D608" s="242">
        <v>40.5</v>
      </c>
      <c r="E608" s="845">
        <f t="shared" si="20"/>
        <v>4.7222222222222223</v>
      </c>
    </row>
    <row r="609" spans="2:5">
      <c r="B609" s="1115">
        <v>44952</v>
      </c>
      <c r="C609" s="242">
        <f t="shared" si="19"/>
        <v>1</v>
      </c>
      <c r="D609" s="242">
        <v>39.6</v>
      </c>
      <c r="E609" s="845">
        <f t="shared" si="20"/>
        <v>4.2222222222222232</v>
      </c>
    </row>
    <row r="610" spans="2:5">
      <c r="B610" s="1115">
        <v>44952</v>
      </c>
      <c r="C610" s="242">
        <f t="shared" si="19"/>
        <v>1</v>
      </c>
      <c r="D610" s="242">
        <v>38.700000000000003</v>
      </c>
      <c r="E610" s="845">
        <f t="shared" si="20"/>
        <v>3.7222222222222237</v>
      </c>
    </row>
    <row r="611" spans="2:5">
      <c r="B611" s="1115">
        <v>44952</v>
      </c>
      <c r="C611" s="242">
        <f t="shared" si="19"/>
        <v>1</v>
      </c>
      <c r="D611" s="242">
        <v>37.9</v>
      </c>
      <c r="E611" s="845">
        <f t="shared" si="20"/>
        <v>3.2777777777777768</v>
      </c>
    </row>
    <row r="612" spans="2:5">
      <c r="B612" s="1115">
        <v>44952</v>
      </c>
      <c r="C612" s="242">
        <f t="shared" si="19"/>
        <v>1</v>
      </c>
      <c r="D612" s="242">
        <v>37.6</v>
      </c>
      <c r="E612" s="845">
        <f t="shared" si="20"/>
        <v>3.1111111111111116</v>
      </c>
    </row>
    <row r="613" spans="2:5">
      <c r="B613" s="1115">
        <v>44952</v>
      </c>
      <c r="C613" s="242">
        <f t="shared" si="19"/>
        <v>1</v>
      </c>
      <c r="D613" s="242">
        <v>37.799999999999997</v>
      </c>
      <c r="E613" s="845">
        <f t="shared" si="20"/>
        <v>3.2222222222222205</v>
      </c>
    </row>
    <row r="614" spans="2:5">
      <c r="B614" s="1115">
        <v>44952</v>
      </c>
      <c r="C614" s="242">
        <f t="shared" si="19"/>
        <v>1</v>
      </c>
      <c r="D614" s="242" t="s">
        <v>1839</v>
      </c>
      <c r="E614" s="845">
        <f t="shared" si="20"/>
        <v>3.8888888888888888</v>
      </c>
    </row>
    <row r="615" spans="2:5">
      <c r="B615" s="1115">
        <v>44952</v>
      </c>
      <c r="C615" s="242">
        <f t="shared" si="19"/>
        <v>1</v>
      </c>
      <c r="D615" s="242">
        <v>39.700000000000003</v>
      </c>
      <c r="E615" s="845">
        <f t="shared" si="20"/>
        <v>4.2777777777777795</v>
      </c>
    </row>
    <row r="616" spans="2:5">
      <c r="B616" s="1115">
        <v>44952</v>
      </c>
      <c r="C616" s="242">
        <f t="shared" si="19"/>
        <v>1</v>
      </c>
      <c r="D616" s="242">
        <v>40.5</v>
      </c>
      <c r="E616" s="845">
        <f t="shared" si="20"/>
        <v>4.7222222222222223</v>
      </c>
    </row>
    <row r="617" spans="2:5">
      <c r="B617" s="1115">
        <v>44952</v>
      </c>
      <c r="C617" s="242">
        <f t="shared" si="19"/>
        <v>1</v>
      </c>
      <c r="D617" s="242">
        <v>40.5</v>
      </c>
      <c r="E617" s="845">
        <f t="shared" si="20"/>
        <v>4.7222222222222223</v>
      </c>
    </row>
    <row r="618" spans="2:5">
      <c r="B618" s="1115">
        <v>44952</v>
      </c>
      <c r="C618" s="242">
        <f t="shared" si="19"/>
        <v>1</v>
      </c>
      <c r="D618" s="242">
        <v>40.5</v>
      </c>
      <c r="E618" s="845">
        <f t="shared" si="20"/>
        <v>4.7222222222222223</v>
      </c>
    </row>
    <row r="619" spans="2:5">
      <c r="B619" s="1115">
        <v>44952</v>
      </c>
      <c r="C619" s="242">
        <f t="shared" si="19"/>
        <v>1</v>
      </c>
      <c r="D619" s="242">
        <v>40.5</v>
      </c>
      <c r="E619" s="845">
        <f t="shared" si="20"/>
        <v>4.7222222222222223</v>
      </c>
    </row>
    <row r="620" spans="2:5">
      <c r="B620" s="1115">
        <v>44952</v>
      </c>
      <c r="C620" s="242">
        <f t="shared" si="19"/>
        <v>1</v>
      </c>
      <c r="D620" s="242">
        <v>40.5</v>
      </c>
      <c r="E620" s="845">
        <f t="shared" si="20"/>
        <v>4.7222222222222223</v>
      </c>
    </row>
    <row r="621" spans="2:5">
      <c r="B621" s="1115">
        <v>44952</v>
      </c>
      <c r="C621" s="242">
        <f t="shared" si="19"/>
        <v>1</v>
      </c>
      <c r="D621" s="242">
        <v>40.1</v>
      </c>
      <c r="E621" s="845">
        <f t="shared" si="20"/>
        <v>4.5000000000000009</v>
      </c>
    </row>
    <row r="622" spans="2:5">
      <c r="B622" s="1115">
        <v>44952</v>
      </c>
      <c r="C622" s="242">
        <f t="shared" si="19"/>
        <v>1</v>
      </c>
      <c r="D622" s="242">
        <v>39.200000000000003</v>
      </c>
      <c r="E622" s="845">
        <f t="shared" si="20"/>
        <v>4.0000000000000018</v>
      </c>
    </row>
    <row r="623" spans="2:5">
      <c r="B623" s="1115">
        <v>44952</v>
      </c>
      <c r="C623" s="242">
        <f t="shared" si="19"/>
        <v>1</v>
      </c>
      <c r="D623" s="242">
        <v>38.700000000000003</v>
      </c>
      <c r="E623" s="845">
        <f t="shared" si="20"/>
        <v>3.7222222222222237</v>
      </c>
    </row>
    <row r="624" spans="2:5">
      <c r="B624" s="1115">
        <v>44952</v>
      </c>
      <c r="C624" s="242">
        <f t="shared" si="19"/>
        <v>1</v>
      </c>
      <c r="D624" s="242">
        <v>38.1</v>
      </c>
      <c r="E624" s="845">
        <f t="shared" si="20"/>
        <v>3.3888888888888897</v>
      </c>
    </row>
    <row r="625" spans="2:5">
      <c r="B625" s="1115">
        <v>44952</v>
      </c>
      <c r="C625" s="242">
        <f t="shared" si="19"/>
        <v>1</v>
      </c>
      <c r="D625" s="242">
        <v>37.9</v>
      </c>
      <c r="E625" s="845">
        <f t="shared" si="20"/>
        <v>3.2777777777777768</v>
      </c>
    </row>
    <row r="626" spans="2:5">
      <c r="B626" s="1115">
        <v>44952</v>
      </c>
      <c r="C626" s="242">
        <f t="shared" si="19"/>
        <v>1</v>
      </c>
      <c r="D626" s="242">
        <v>38.299999999999997</v>
      </c>
      <c r="E626" s="845">
        <f t="shared" si="20"/>
        <v>3.4999999999999982</v>
      </c>
    </row>
    <row r="627" spans="2:5">
      <c r="B627" s="1115">
        <v>44952</v>
      </c>
      <c r="C627" s="242">
        <f t="shared" si="19"/>
        <v>1</v>
      </c>
      <c r="D627" s="242">
        <v>39.200000000000003</v>
      </c>
      <c r="E627" s="845">
        <f t="shared" si="20"/>
        <v>4.0000000000000018</v>
      </c>
    </row>
    <row r="628" spans="2:5">
      <c r="B628" s="1115">
        <v>44952</v>
      </c>
      <c r="C628" s="242">
        <f t="shared" si="19"/>
        <v>1</v>
      </c>
      <c r="D628" s="242">
        <v>39.700000000000003</v>
      </c>
      <c r="E628" s="845">
        <f t="shared" si="20"/>
        <v>4.2777777777777795</v>
      </c>
    </row>
    <row r="629" spans="2:5">
      <c r="B629" s="1115">
        <v>44952</v>
      </c>
      <c r="C629" s="242">
        <f t="shared" si="19"/>
        <v>1</v>
      </c>
      <c r="D629" s="242">
        <v>40.299999999999997</v>
      </c>
      <c r="E629" s="845">
        <f t="shared" si="20"/>
        <v>4.6111111111111098</v>
      </c>
    </row>
    <row r="630" spans="2:5">
      <c r="B630" s="1115">
        <v>44952</v>
      </c>
      <c r="C630" s="242">
        <f t="shared" si="19"/>
        <v>1</v>
      </c>
      <c r="D630" s="242">
        <v>40.5</v>
      </c>
      <c r="E630" s="845">
        <f t="shared" si="20"/>
        <v>4.7222222222222223</v>
      </c>
    </row>
    <row r="631" spans="2:5">
      <c r="B631" s="1115">
        <v>44952</v>
      </c>
      <c r="C631" s="242">
        <f t="shared" si="19"/>
        <v>1</v>
      </c>
      <c r="D631" s="242">
        <v>40.299999999999997</v>
      </c>
      <c r="E631" s="845">
        <f t="shared" si="20"/>
        <v>4.6111111111111098</v>
      </c>
    </row>
    <row r="632" spans="2:5">
      <c r="B632" s="1115">
        <v>44952</v>
      </c>
      <c r="C632" s="242">
        <f t="shared" si="19"/>
        <v>1</v>
      </c>
      <c r="D632" s="242">
        <v>40.299999999999997</v>
      </c>
      <c r="E632" s="845">
        <f t="shared" si="20"/>
        <v>4.6111111111111098</v>
      </c>
    </row>
    <row r="633" spans="2:5">
      <c r="B633" s="1115">
        <v>44953</v>
      </c>
      <c r="C633" s="242">
        <f t="shared" si="19"/>
        <v>1</v>
      </c>
      <c r="D633" s="242">
        <v>39.700000000000003</v>
      </c>
      <c r="E633" s="845">
        <f t="shared" si="20"/>
        <v>4.2777777777777795</v>
      </c>
    </row>
    <row r="634" spans="2:5">
      <c r="B634" s="1115">
        <v>44953</v>
      </c>
      <c r="C634" s="242">
        <f t="shared" si="19"/>
        <v>1</v>
      </c>
      <c r="D634" s="242">
        <v>38.700000000000003</v>
      </c>
      <c r="E634" s="845">
        <f t="shared" si="20"/>
        <v>3.7222222222222237</v>
      </c>
    </row>
    <row r="635" spans="2:5">
      <c r="B635" s="1115">
        <v>44953</v>
      </c>
      <c r="C635" s="242">
        <f t="shared" si="19"/>
        <v>1</v>
      </c>
      <c r="D635" s="242">
        <v>38.1</v>
      </c>
      <c r="E635" s="845">
        <f t="shared" si="20"/>
        <v>3.3888888888888897</v>
      </c>
    </row>
    <row r="636" spans="2:5">
      <c r="B636" s="1115">
        <v>44953</v>
      </c>
      <c r="C636" s="242">
        <f t="shared" si="19"/>
        <v>1</v>
      </c>
      <c r="D636" s="242">
        <v>37.6</v>
      </c>
      <c r="E636" s="845">
        <f t="shared" si="20"/>
        <v>3.1111111111111116</v>
      </c>
    </row>
    <row r="637" spans="2:5">
      <c r="B637" s="1115">
        <v>44953</v>
      </c>
      <c r="C637" s="242">
        <f t="shared" si="19"/>
        <v>1</v>
      </c>
      <c r="D637" s="242">
        <v>37.4</v>
      </c>
      <c r="E637" s="845">
        <f t="shared" si="20"/>
        <v>2.9999999999999991</v>
      </c>
    </row>
    <row r="638" spans="2:5">
      <c r="B638" s="1115">
        <v>44953</v>
      </c>
      <c r="C638" s="242">
        <f t="shared" si="19"/>
        <v>1</v>
      </c>
      <c r="D638" s="242">
        <v>37.4</v>
      </c>
      <c r="E638" s="845">
        <f t="shared" si="20"/>
        <v>2.9999999999999991</v>
      </c>
    </row>
    <row r="639" spans="2:5">
      <c r="B639" s="1115">
        <v>44953</v>
      </c>
      <c r="C639" s="242">
        <f t="shared" si="19"/>
        <v>1</v>
      </c>
      <c r="D639" s="242">
        <v>38.700000000000003</v>
      </c>
      <c r="E639" s="845">
        <f t="shared" si="20"/>
        <v>3.7222222222222237</v>
      </c>
    </row>
    <row r="640" spans="2:5">
      <c r="B640" s="1115">
        <v>44953</v>
      </c>
      <c r="C640" s="242">
        <f t="shared" si="19"/>
        <v>1</v>
      </c>
      <c r="D640" s="242">
        <v>39.4</v>
      </c>
      <c r="E640" s="845">
        <f t="shared" si="20"/>
        <v>4.1111111111111098</v>
      </c>
    </row>
    <row r="641" spans="2:5">
      <c r="B641" s="1115">
        <v>44953</v>
      </c>
      <c r="C641" s="242">
        <f t="shared" si="19"/>
        <v>1</v>
      </c>
      <c r="D641" s="242">
        <v>40.299999999999997</v>
      </c>
      <c r="E641" s="845">
        <f t="shared" si="20"/>
        <v>4.6111111111111098</v>
      </c>
    </row>
    <row r="642" spans="2:5">
      <c r="B642" s="1115">
        <v>44953</v>
      </c>
      <c r="C642" s="242">
        <f t="shared" si="19"/>
        <v>1</v>
      </c>
      <c r="D642" s="242">
        <v>40.299999999999997</v>
      </c>
      <c r="E642" s="845">
        <f t="shared" si="20"/>
        <v>4.6111111111111098</v>
      </c>
    </row>
    <row r="643" spans="2:5">
      <c r="B643" s="1115">
        <v>44953</v>
      </c>
      <c r="C643" s="242">
        <f t="shared" si="19"/>
        <v>1</v>
      </c>
      <c r="D643" s="242">
        <v>40.5</v>
      </c>
      <c r="E643" s="845">
        <f t="shared" si="20"/>
        <v>4.7222222222222223</v>
      </c>
    </row>
    <row r="644" spans="2:5">
      <c r="B644" s="1115">
        <v>44953</v>
      </c>
      <c r="C644" s="242">
        <f t="shared" si="19"/>
        <v>1</v>
      </c>
      <c r="D644" s="242">
        <v>40.299999999999997</v>
      </c>
      <c r="E644" s="845">
        <f t="shared" si="20"/>
        <v>4.6111111111111098</v>
      </c>
    </row>
    <row r="645" spans="2:5">
      <c r="B645" s="1115">
        <v>44953</v>
      </c>
      <c r="C645" s="242">
        <f t="shared" si="19"/>
        <v>1</v>
      </c>
      <c r="D645" s="242">
        <v>40.1</v>
      </c>
      <c r="E645" s="845">
        <f t="shared" si="20"/>
        <v>4.5000000000000009</v>
      </c>
    </row>
    <row r="646" spans="2:5">
      <c r="B646" s="1115">
        <v>44953</v>
      </c>
      <c r="C646" s="242">
        <f t="shared" si="19"/>
        <v>1</v>
      </c>
      <c r="D646" s="242">
        <v>39.200000000000003</v>
      </c>
      <c r="E646" s="845">
        <f t="shared" si="20"/>
        <v>4.0000000000000018</v>
      </c>
    </row>
    <row r="647" spans="2:5">
      <c r="B647" s="1115">
        <v>44953</v>
      </c>
      <c r="C647" s="242">
        <f t="shared" si="19"/>
        <v>1</v>
      </c>
      <c r="D647" s="242">
        <v>37.9</v>
      </c>
      <c r="E647" s="845">
        <f t="shared" si="20"/>
        <v>3.2777777777777768</v>
      </c>
    </row>
    <row r="648" spans="2:5">
      <c r="B648" s="1115">
        <v>44953</v>
      </c>
      <c r="C648" s="242">
        <f t="shared" si="19"/>
        <v>1</v>
      </c>
      <c r="D648" s="242">
        <v>37.4</v>
      </c>
      <c r="E648" s="845">
        <f t="shared" si="20"/>
        <v>2.9999999999999991</v>
      </c>
    </row>
    <row r="649" spans="2:5">
      <c r="B649" s="1115">
        <v>44953</v>
      </c>
      <c r="C649" s="242">
        <f t="shared" si="19"/>
        <v>1</v>
      </c>
      <c r="D649" s="242" t="s">
        <v>1840</v>
      </c>
      <c r="E649" s="845">
        <f t="shared" si="20"/>
        <v>2.7777777777777777</v>
      </c>
    </row>
    <row r="650" spans="2:5">
      <c r="B650" s="1115">
        <v>44953</v>
      </c>
      <c r="C650" s="242">
        <f t="shared" ref="C650:C713" si="21">MONTH(B650)</f>
        <v>1</v>
      </c>
      <c r="D650" s="242" t="s">
        <v>1840</v>
      </c>
      <c r="E650" s="845">
        <f t="shared" ref="E650:E713" si="22">CONVERT(D650,"F","C")</f>
        <v>2.7777777777777777</v>
      </c>
    </row>
    <row r="651" spans="2:5">
      <c r="B651" s="1115">
        <v>44953</v>
      </c>
      <c r="C651" s="242">
        <f t="shared" si="21"/>
        <v>1</v>
      </c>
      <c r="D651" s="242">
        <v>37.6</v>
      </c>
      <c r="E651" s="845">
        <f t="shared" si="22"/>
        <v>3.1111111111111116</v>
      </c>
    </row>
    <row r="652" spans="2:5">
      <c r="B652" s="1115">
        <v>44953</v>
      </c>
      <c r="C652" s="242">
        <f t="shared" si="21"/>
        <v>1</v>
      </c>
      <c r="D652" s="242">
        <v>39.700000000000003</v>
      </c>
      <c r="E652" s="845">
        <f t="shared" si="22"/>
        <v>4.2777777777777795</v>
      </c>
    </row>
    <row r="653" spans="2:5">
      <c r="B653" s="1115">
        <v>44953</v>
      </c>
      <c r="C653" s="242">
        <f t="shared" si="21"/>
        <v>1</v>
      </c>
      <c r="D653" s="242">
        <v>40.1</v>
      </c>
      <c r="E653" s="845">
        <f t="shared" si="22"/>
        <v>4.5000000000000009</v>
      </c>
    </row>
    <row r="654" spans="2:5">
      <c r="B654" s="1115">
        <v>44953</v>
      </c>
      <c r="C654" s="242">
        <f t="shared" si="21"/>
        <v>1</v>
      </c>
      <c r="D654" s="242">
        <v>40.5</v>
      </c>
      <c r="E654" s="845">
        <f t="shared" si="22"/>
        <v>4.7222222222222223</v>
      </c>
    </row>
    <row r="655" spans="2:5">
      <c r="B655" s="1115">
        <v>44953</v>
      </c>
      <c r="C655" s="242">
        <f t="shared" si="21"/>
        <v>1</v>
      </c>
      <c r="D655" s="242" t="s">
        <v>1837</v>
      </c>
      <c r="E655" s="845">
        <f t="shared" si="22"/>
        <v>5</v>
      </c>
    </row>
    <row r="656" spans="2:5">
      <c r="B656" s="1115">
        <v>44953</v>
      </c>
      <c r="C656" s="242">
        <f t="shared" si="21"/>
        <v>1</v>
      </c>
      <c r="D656" s="242" t="s">
        <v>1837</v>
      </c>
      <c r="E656" s="845">
        <f t="shared" si="22"/>
        <v>5</v>
      </c>
    </row>
    <row r="657" spans="2:5">
      <c r="B657" s="1115">
        <v>44954</v>
      </c>
      <c r="C657" s="242">
        <f t="shared" si="21"/>
        <v>1</v>
      </c>
      <c r="D657" s="242" t="s">
        <v>1837</v>
      </c>
      <c r="E657" s="845">
        <f t="shared" si="22"/>
        <v>5</v>
      </c>
    </row>
    <row r="658" spans="2:5">
      <c r="B658" s="1115">
        <v>44954</v>
      </c>
      <c r="C658" s="242">
        <f t="shared" si="21"/>
        <v>1</v>
      </c>
      <c r="D658" s="242">
        <v>40.5</v>
      </c>
      <c r="E658" s="845">
        <f t="shared" si="22"/>
        <v>4.7222222222222223</v>
      </c>
    </row>
    <row r="659" spans="2:5">
      <c r="B659" s="1115">
        <v>44954</v>
      </c>
      <c r="C659" s="242">
        <f t="shared" si="21"/>
        <v>1</v>
      </c>
      <c r="D659" s="242" t="s">
        <v>1839</v>
      </c>
      <c r="E659" s="845">
        <f t="shared" si="22"/>
        <v>3.8888888888888888</v>
      </c>
    </row>
    <row r="660" spans="2:5">
      <c r="B660" s="1115">
        <v>44954</v>
      </c>
      <c r="C660" s="242">
        <f t="shared" si="21"/>
        <v>1</v>
      </c>
      <c r="D660" s="242">
        <v>38.1</v>
      </c>
      <c r="E660" s="845">
        <f t="shared" si="22"/>
        <v>3.3888888888888897</v>
      </c>
    </row>
    <row r="661" spans="2:5">
      <c r="B661" s="1115">
        <v>44954</v>
      </c>
      <c r="C661" s="242">
        <f t="shared" si="21"/>
        <v>1</v>
      </c>
      <c r="D661" s="242">
        <v>37.4</v>
      </c>
      <c r="E661" s="845">
        <f t="shared" si="22"/>
        <v>2.9999999999999991</v>
      </c>
    </row>
    <row r="662" spans="2:5">
      <c r="B662" s="1115">
        <v>44954</v>
      </c>
      <c r="C662" s="242">
        <f t="shared" si="21"/>
        <v>1</v>
      </c>
      <c r="D662" s="242">
        <v>37.200000000000003</v>
      </c>
      <c r="E662" s="845">
        <f t="shared" si="22"/>
        <v>2.8888888888888906</v>
      </c>
    </row>
    <row r="663" spans="2:5">
      <c r="B663" s="1115">
        <v>44954</v>
      </c>
      <c r="C663" s="242">
        <f t="shared" si="21"/>
        <v>1</v>
      </c>
      <c r="D663" s="242">
        <v>37.799999999999997</v>
      </c>
      <c r="E663" s="845">
        <f t="shared" si="22"/>
        <v>3.2222222222222205</v>
      </c>
    </row>
    <row r="664" spans="2:5">
      <c r="B664" s="1115">
        <v>44954</v>
      </c>
      <c r="C664" s="242">
        <f t="shared" si="21"/>
        <v>1</v>
      </c>
      <c r="D664" s="242">
        <v>39.700000000000003</v>
      </c>
      <c r="E664" s="845">
        <f t="shared" si="22"/>
        <v>4.2777777777777795</v>
      </c>
    </row>
    <row r="665" spans="2:5">
      <c r="B665" s="1115">
        <v>44954</v>
      </c>
      <c r="C665" s="242">
        <f t="shared" si="21"/>
        <v>1</v>
      </c>
      <c r="D665" s="242">
        <v>39.9</v>
      </c>
      <c r="E665" s="845">
        <f t="shared" si="22"/>
        <v>4.3888888888888884</v>
      </c>
    </row>
    <row r="666" spans="2:5">
      <c r="B666" s="1115">
        <v>44954</v>
      </c>
      <c r="C666" s="242">
        <f t="shared" si="21"/>
        <v>1</v>
      </c>
      <c r="D666" s="242">
        <v>40.5</v>
      </c>
      <c r="E666" s="845">
        <f t="shared" si="22"/>
        <v>4.7222222222222223</v>
      </c>
    </row>
    <row r="667" spans="2:5">
      <c r="B667" s="1115">
        <v>44954</v>
      </c>
      <c r="C667" s="242">
        <f t="shared" si="21"/>
        <v>1</v>
      </c>
      <c r="D667" s="242" t="s">
        <v>1837</v>
      </c>
      <c r="E667" s="845">
        <f t="shared" si="22"/>
        <v>5</v>
      </c>
    </row>
    <row r="668" spans="2:5">
      <c r="B668" s="1115">
        <v>44954</v>
      </c>
      <c r="C668" s="242">
        <f t="shared" si="21"/>
        <v>1</v>
      </c>
      <c r="D668" s="242">
        <v>41.5</v>
      </c>
      <c r="E668" s="845">
        <f t="shared" si="22"/>
        <v>5.2777777777777777</v>
      </c>
    </row>
    <row r="669" spans="2:5">
      <c r="B669" s="1115">
        <v>44954</v>
      </c>
      <c r="C669" s="242">
        <f t="shared" si="21"/>
        <v>1</v>
      </c>
      <c r="D669" s="242">
        <v>40.799999999999997</v>
      </c>
      <c r="E669" s="845">
        <f t="shared" si="22"/>
        <v>4.8888888888888875</v>
      </c>
    </row>
    <row r="670" spans="2:5">
      <c r="B670" s="1115">
        <v>44954</v>
      </c>
      <c r="C670" s="242">
        <f t="shared" si="21"/>
        <v>1</v>
      </c>
      <c r="D670" s="242">
        <v>40.6</v>
      </c>
      <c r="E670" s="845">
        <f t="shared" si="22"/>
        <v>4.7777777777777786</v>
      </c>
    </row>
    <row r="671" spans="2:5">
      <c r="B671" s="1115">
        <v>44954</v>
      </c>
      <c r="C671" s="242">
        <f t="shared" si="21"/>
        <v>1</v>
      </c>
      <c r="D671" s="242">
        <v>39.6</v>
      </c>
      <c r="E671" s="845">
        <f t="shared" si="22"/>
        <v>4.2222222222222232</v>
      </c>
    </row>
    <row r="672" spans="2:5">
      <c r="B672" s="1115">
        <v>44954</v>
      </c>
      <c r="C672" s="242">
        <f t="shared" si="21"/>
        <v>1</v>
      </c>
      <c r="D672" s="242">
        <v>38.299999999999997</v>
      </c>
      <c r="E672" s="845">
        <f t="shared" si="22"/>
        <v>3.4999999999999982</v>
      </c>
    </row>
    <row r="673" spans="2:5">
      <c r="B673" s="1115">
        <v>44954</v>
      </c>
      <c r="C673" s="242">
        <f t="shared" si="21"/>
        <v>1</v>
      </c>
      <c r="D673" s="242">
        <v>37.6</v>
      </c>
      <c r="E673" s="845">
        <f t="shared" si="22"/>
        <v>3.1111111111111116</v>
      </c>
    </row>
    <row r="674" spans="2:5">
      <c r="B674" s="1115">
        <v>44954</v>
      </c>
      <c r="C674" s="242">
        <f t="shared" si="21"/>
        <v>1</v>
      </c>
      <c r="D674" s="242">
        <v>37.200000000000003</v>
      </c>
      <c r="E674" s="845">
        <f t="shared" si="22"/>
        <v>2.8888888888888906</v>
      </c>
    </row>
    <row r="675" spans="2:5">
      <c r="B675" s="1115">
        <v>44954</v>
      </c>
      <c r="C675" s="242">
        <f t="shared" si="21"/>
        <v>1</v>
      </c>
      <c r="D675" s="242">
        <v>37.200000000000003</v>
      </c>
      <c r="E675" s="845">
        <f t="shared" si="22"/>
        <v>2.8888888888888906</v>
      </c>
    </row>
    <row r="676" spans="2:5">
      <c r="B676" s="1115">
        <v>44954</v>
      </c>
      <c r="C676" s="242">
        <f t="shared" si="21"/>
        <v>1</v>
      </c>
      <c r="D676" s="242">
        <v>37.9</v>
      </c>
      <c r="E676" s="845">
        <f t="shared" si="22"/>
        <v>3.2777777777777768</v>
      </c>
    </row>
    <row r="677" spans="2:5">
      <c r="B677" s="1115">
        <v>44954</v>
      </c>
      <c r="C677" s="242">
        <f t="shared" si="21"/>
        <v>1</v>
      </c>
      <c r="D677" s="242">
        <v>40.299999999999997</v>
      </c>
      <c r="E677" s="845">
        <f t="shared" si="22"/>
        <v>4.6111111111111098</v>
      </c>
    </row>
    <row r="678" spans="2:5">
      <c r="B678" s="1115">
        <v>44954</v>
      </c>
      <c r="C678" s="242">
        <f t="shared" si="21"/>
        <v>1</v>
      </c>
      <c r="D678" s="242">
        <v>40.299999999999997</v>
      </c>
      <c r="E678" s="845">
        <f t="shared" si="22"/>
        <v>4.6111111111111098</v>
      </c>
    </row>
    <row r="679" spans="2:5">
      <c r="B679" s="1115">
        <v>44954</v>
      </c>
      <c r="C679" s="242">
        <f t="shared" si="21"/>
        <v>1</v>
      </c>
      <c r="D679" s="242">
        <v>40.799999999999997</v>
      </c>
      <c r="E679" s="845">
        <f t="shared" si="22"/>
        <v>4.8888888888888875</v>
      </c>
    </row>
    <row r="680" spans="2:5">
      <c r="B680" s="1115">
        <v>44954</v>
      </c>
      <c r="C680" s="242">
        <f t="shared" si="21"/>
        <v>1</v>
      </c>
      <c r="D680" s="242">
        <v>41.7</v>
      </c>
      <c r="E680" s="845">
        <f t="shared" si="22"/>
        <v>5.3888888888888902</v>
      </c>
    </row>
    <row r="681" spans="2:5">
      <c r="B681" s="1115">
        <v>44955</v>
      </c>
      <c r="C681" s="242">
        <f t="shared" si="21"/>
        <v>1</v>
      </c>
      <c r="D681" s="242">
        <v>40.799999999999997</v>
      </c>
      <c r="E681" s="845">
        <f t="shared" si="22"/>
        <v>4.8888888888888875</v>
      </c>
    </row>
    <row r="682" spans="2:5">
      <c r="B682" s="1115">
        <v>44955</v>
      </c>
      <c r="C682" s="242">
        <f t="shared" si="21"/>
        <v>1</v>
      </c>
      <c r="D682" s="242">
        <v>41.4</v>
      </c>
      <c r="E682" s="845">
        <f t="shared" si="22"/>
        <v>5.2222222222222214</v>
      </c>
    </row>
    <row r="683" spans="2:5">
      <c r="B683" s="1115">
        <v>44955</v>
      </c>
      <c r="C683" s="242">
        <f t="shared" si="21"/>
        <v>1</v>
      </c>
      <c r="D683" s="242">
        <v>40.5</v>
      </c>
      <c r="E683" s="845">
        <f t="shared" si="22"/>
        <v>4.7222222222222223</v>
      </c>
    </row>
    <row r="684" spans="2:5">
      <c r="B684" s="1115">
        <v>44955</v>
      </c>
      <c r="C684" s="242">
        <f t="shared" si="21"/>
        <v>1</v>
      </c>
      <c r="D684" s="242">
        <v>39.200000000000003</v>
      </c>
      <c r="E684" s="845">
        <f t="shared" si="22"/>
        <v>4.0000000000000018</v>
      </c>
    </row>
    <row r="685" spans="2:5">
      <c r="B685" s="1115">
        <v>44955</v>
      </c>
      <c r="C685" s="242">
        <f t="shared" si="21"/>
        <v>1</v>
      </c>
      <c r="D685" s="242">
        <v>38.1</v>
      </c>
      <c r="E685" s="845">
        <f t="shared" si="22"/>
        <v>3.3888888888888897</v>
      </c>
    </row>
    <row r="686" spans="2:5">
      <c r="B686" s="1115">
        <v>44955</v>
      </c>
      <c r="C686" s="242">
        <f t="shared" si="21"/>
        <v>1</v>
      </c>
      <c r="D686" s="242">
        <v>37.6</v>
      </c>
      <c r="E686" s="845">
        <f t="shared" si="22"/>
        <v>3.1111111111111116</v>
      </c>
    </row>
    <row r="687" spans="2:5">
      <c r="B687" s="1115">
        <v>44955</v>
      </c>
      <c r="C687" s="242">
        <f t="shared" si="21"/>
        <v>1</v>
      </c>
      <c r="D687" s="242">
        <v>37.4</v>
      </c>
      <c r="E687" s="845">
        <f t="shared" si="22"/>
        <v>2.9999999999999991</v>
      </c>
    </row>
    <row r="688" spans="2:5">
      <c r="B688" s="1115">
        <v>44955</v>
      </c>
      <c r="C688" s="242">
        <f t="shared" si="21"/>
        <v>1</v>
      </c>
      <c r="D688" s="242">
        <v>38.1</v>
      </c>
      <c r="E688" s="845">
        <f t="shared" si="22"/>
        <v>3.3888888888888897</v>
      </c>
    </row>
    <row r="689" spans="2:5">
      <c r="B689" s="1115">
        <v>44955</v>
      </c>
      <c r="C689" s="242">
        <f t="shared" si="21"/>
        <v>1</v>
      </c>
      <c r="D689" s="242">
        <v>40.5</v>
      </c>
      <c r="E689" s="845">
        <f t="shared" si="22"/>
        <v>4.7222222222222223</v>
      </c>
    </row>
    <row r="690" spans="2:5">
      <c r="B690" s="1115">
        <v>44955</v>
      </c>
      <c r="C690" s="242">
        <f t="shared" si="21"/>
        <v>1</v>
      </c>
      <c r="D690" s="242" t="s">
        <v>1837</v>
      </c>
      <c r="E690" s="845">
        <f t="shared" si="22"/>
        <v>5</v>
      </c>
    </row>
    <row r="691" spans="2:5">
      <c r="B691" s="1115">
        <v>44955</v>
      </c>
      <c r="C691" s="242">
        <f t="shared" si="21"/>
        <v>1</v>
      </c>
      <c r="D691" s="242">
        <v>41.7</v>
      </c>
      <c r="E691" s="845">
        <f t="shared" si="22"/>
        <v>5.3888888888888902</v>
      </c>
    </row>
    <row r="692" spans="2:5">
      <c r="B692" s="1115">
        <v>44955</v>
      </c>
      <c r="C692" s="242">
        <f t="shared" si="21"/>
        <v>1</v>
      </c>
      <c r="D692" s="242">
        <v>41.9</v>
      </c>
      <c r="E692" s="845">
        <f t="shared" si="22"/>
        <v>5.4999999999999991</v>
      </c>
    </row>
    <row r="693" spans="2:5">
      <c r="B693" s="1115">
        <v>44955</v>
      </c>
      <c r="C693" s="242">
        <f t="shared" si="21"/>
        <v>1</v>
      </c>
      <c r="D693" s="242">
        <v>42.1</v>
      </c>
      <c r="E693" s="845">
        <f t="shared" si="22"/>
        <v>5.6111111111111116</v>
      </c>
    </row>
    <row r="694" spans="2:5">
      <c r="B694" s="1115">
        <v>44955</v>
      </c>
      <c r="C694" s="242">
        <f t="shared" si="21"/>
        <v>1</v>
      </c>
      <c r="D694" s="242">
        <v>41.7</v>
      </c>
      <c r="E694" s="845">
        <f t="shared" si="22"/>
        <v>5.3888888888888902</v>
      </c>
    </row>
    <row r="695" spans="2:5">
      <c r="B695" s="1115">
        <v>44955</v>
      </c>
      <c r="C695" s="242">
        <f t="shared" si="21"/>
        <v>1</v>
      </c>
      <c r="D695" s="242">
        <v>41.4</v>
      </c>
      <c r="E695" s="845">
        <f t="shared" si="22"/>
        <v>5.2222222222222214</v>
      </c>
    </row>
    <row r="696" spans="2:5">
      <c r="B696" s="1115">
        <v>44955</v>
      </c>
      <c r="C696" s="242">
        <f t="shared" si="21"/>
        <v>1</v>
      </c>
      <c r="D696" s="242">
        <v>39.9</v>
      </c>
      <c r="E696" s="845">
        <f t="shared" si="22"/>
        <v>4.3888888888888884</v>
      </c>
    </row>
    <row r="697" spans="2:5">
      <c r="B697" s="1115">
        <v>44955</v>
      </c>
      <c r="C697" s="242">
        <f t="shared" si="21"/>
        <v>1</v>
      </c>
      <c r="D697" s="242">
        <v>38.700000000000003</v>
      </c>
      <c r="E697" s="845">
        <f t="shared" si="22"/>
        <v>3.7222222222222237</v>
      </c>
    </row>
    <row r="698" spans="2:5">
      <c r="B698" s="1115">
        <v>44955</v>
      </c>
      <c r="C698" s="242">
        <f t="shared" si="21"/>
        <v>1</v>
      </c>
      <c r="D698" s="242">
        <v>37.799999999999997</v>
      </c>
      <c r="E698" s="845">
        <f t="shared" si="22"/>
        <v>3.2222222222222205</v>
      </c>
    </row>
    <row r="699" spans="2:5">
      <c r="B699" s="1115">
        <v>44955</v>
      </c>
      <c r="C699" s="242">
        <f t="shared" si="21"/>
        <v>1</v>
      </c>
      <c r="D699" s="242">
        <v>37.4</v>
      </c>
      <c r="E699" s="845">
        <f t="shared" si="22"/>
        <v>2.9999999999999991</v>
      </c>
    </row>
    <row r="700" spans="2:5">
      <c r="B700" s="1115">
        <v>44955</v>
      </c>
      <c r="C700" s="242">
        <f t="shared" si="21"/>
        <v>1</v>
      </c>
      <c r="D700" s="242">
        <v>37.4</v>
      </c>
      <c r="E700" s="845">
        <f t="shared" si="22"/>
        <v>2.9999999999999991</v>
      </c>
    </row>
    <row r="701" spans="2:5">
      <c r="B701" s="1115">
        <v>44955</v>
      </c>
      <c r="C701" s="242">
        <f t="shared" si="21"/>
        <v>1</v>
      </c>
      <c r="D701" s="242">
        <v>38.299999999999997</v>
      </c>
      <c r="E701" s="845">
        <f t="shared" si="22"/>
        <v>3.4999999999999982</v>
      </c>
    </row>
    <row r="702" spans="2:5">
      <c r="B702" s="1115">
        <v>44955</v>
      </c>
      <c r="C702" s="242">
        <f t="shared" si="21"/>
        <v>1</v>
      </c>
      <c r="D702" s="242">
        <v>40.6</v>
      </c>
      <c r="E702" s="845">
        <f t="shared" si="22"/>
        <v>4.7777777777777786</v>
      </c>
    </row>
    <row r="703" spans="2:5">
      <c r="B703" s="1115">
        <v>44955</v>
      </c>
      <c r="C703" s="242">
        <f t="shared" si="21"/>
        <v>1</v>
      </c>
      <c r="D703" s="242">
        <v>41.4</v>
      </c>
      <c r="E703" s="845">
        <f t="shared" si="22"/>
        <v>5.2222222222222214</v>
      </c>
    </row>
    <row r="704" spans="2:5">
      <c r="B704" s="1115">
        <v>44955</v>
      </c>
      <c r="C704" s="242">
        <f t="shared" si="21"/>
        <v>1</v>
      </c>
      <c r="D704" s="242">
        <v>41.7</v>
      </c>
      <c r="E704" s="845">
        <f t="shared" si="22"/>
        <v>5.3888888888888902</v>
      </c>
    </row>
    <row r="705" spans="2:5">
      <c r="B705" s="1115">
        <v>44956</v>
      </c>
      <c r="C705" s="242">
        <f t="shared" si="21"/>
        <v>1</v>
      </c>
      <c r="D705" s="242">
        <v>41.5</v>
      </c>
      <c r="E705" s="845">
        <f t="shared" si="22"/>
        <v>5.2777777777777777</v>
      </c>
    </row>
    <row r="706" spans="2:5">
      <c r="B706" s="1115">
        <v>44956</v>
      </c>
      <c r="C706" s="242">
        <f t="shared" si="21"/>
        <v>1</v>
      </c>
      <c r="D706" s="242" t="s">
        <v>1837</v>
      </c>
      <c r="E706" s="845">
        <f t="shared" si="22"/>
        <v>5</v>
      </c>
    </row>
    <row r="707" spans="2:5">
      <c r="B707" s="1115">
        <v>44956</v>
      </c>
      <c r="C707" s="242">
        <f t="shared" si="21"/>
        <v>1</v>
      </c>
      <c r="D707" s="242">
        <v>41.4</v>
      </c>
      <c r="E707" s="845">
        <f t="shared" si="22"/>
        <v>5.2222222222222214</v>
      </c>
    </row>
    <row r="708" spans="2:5">
      <c r="B708" s="1115">
        <v>44956</v>
      </c>
      <c r="C708" s="242">
        <f t="shared" si="21"/>
        <v>1</v>
      </c>
      <c r="D708" s="242" t="s">
        <v>1837</v>
      </c>
      <c r="E708" s="845">
        <f t="shared" si="22"/>
        <v>5</v>
      </c>
    </row>
    <row r="709" spans="2:5">
      <c r="B709" s="1115">
        <v>44956</v>
      </c>
      <c r="C709" s="242">
        <f t="shared" si="21"/>
        <v>1</v>
      </c>
      <c r="D709" s="242">
        <v>39.6</v>
      </c>
      <c r="E709" s="845">
        <f t="shared" si="22"/>
        <v>4.2222222222222232</v>
      </c>
    </row>
    <row r="710" spans="2:5">
      <c r="B710" s="1115">
        <v>44956</v>
      </c>
      <c r="C710" s="242">
        <f t="shared" si="21"/>
        <v>1</v>
      </c>
      <c r="D710" s="242">
        <v>38.700000000000003</v>
      </c>
      <c r="E710" s="845">
        <f t="shared" si="22"/>
        <v>3.7222222222222237</v>
      </c>
    </row>
    <row r="711" spans="2:5">
      <c r="B711" s="1115">
        <v>44956</v>
      </c>
      <c r="C711" s="242">
        <f t="shared" si="21"/>
        <v>1</v>
      </c>
      <c r="D711" s="242">
        <v>37.9</v>
      </c>
      <c r="E711" s="845">
        <f t="shared" si="22"/>
        <v>3.2777777777777768</v>
      </c>
    </row>
    <row r="712" spans="2:5">
      <c r="B712" s="1115">
        <v>44956</v>
      </c>
      <c r="C712" s="242">
        <f t="shared" si="21"/>
        <v>1</v>
      </c>
      <c r="D712" s="242">
        <v>37.9</v>
      </c>
      <c r="E712" s="845">
        <f t="shared" si="22"/>
        <v>3.2777777777777768</v>
      </c>
    </row>
    <row r="713" spans="2:5">
      <c r="B713" s="1115">
        <v>44956</v>
      </c>
      <c r="C713" s="242">
        <f t="shared" si="21"/>
        <v>1</v>
      </c>
      <c r="D713" s="242">
        <v>38.700000000000003</v>
      </c>
      <c r="E713" s="845">
        <f t="shared" si="22"/>
        <v>3.7222222222222237</v>
      </c>
    </row>
    <row r="714" spans="2:5">
      <c r="B714" s="1115">
        <v>44956</v>
      </c>
      <c r="C714" s="242">
        <f t="shared" ref="C714:C777" si="23">MONTH(B714)</f>
        <v>1</v>
      </c>
      <c r="D714" s="242">
        <v>40.799999999999997</v>
      </c>
      <c r="E714" s="845">
        <f t="shared" ref="E714:E777" si="24">CONVERT(D714,"F","C")</f>
        <v>4.8888888888888875</v>
      </c>
    </row>
    <row r="715" spans="2:5">
      <c r="B715" s="1115">
        <v>44956</v>
      </c>
      <c r="C715" s="242">
        <f t="shared" si="23"/>
        <v>1</v>
      </c>
      <c r="D715" s="242" t="s">
        <v>1837</v>
      </c>
      <c r="E715" s="845">
        <f t="shared" si="24"/>
        <v>5</v>
      </c>
    </row>
    <row r="716" spans="2:5">
      <c r="B716" s="1115">
        <v>44956</v>
      </c>
      <c r="C716" s="242">
        <f t="shared" si="23"/>
        <v>1</v>
      </c>
      <c r="D716" s="242">
        <v>41.7</v>
      </c>
      <c r="E716" s="845">
        <f t="shared" si="24"/>
        <v>5.3888888888888902</v>
      </c>
    </row>
    <row r="717" spans="2:5">
      <c r="B717" s="1115">
        <v>44956</v>
      </c>
      <c r="C717" s="242">
        <f t="shared" si="23"/>
        <v>1</v>
      </c>
      <c r="D717" s="242">
        <v>41.7</v>
      </c>
      <c r="E717" s="845">
        <f t="shared" si="24"/>
        <v>5.3888888888888902</v>
      </c>
    </row>
    <row r="718" spans="2:5">
      <c r="B718" s="1115">
        <v>44956</v>
      </c>
      <c r="C718" s="242">
        <f t="shared" si="23"/>
        <v>1</v>
      </c>
      <c r="D718" s="242">
        <v>42.3</v>
      </c>
      <c r="E718" s="845">
        <f t="shared" si="24"/>
        <v>5.7222222222222205</v>
      </c>
    </row>
    <row r="719" spans="2:5">
      <c r="B719" s="1115">
        <v>44956</v>
      </c>
      <c r="C719" s="242">
        <f t="shared" si="23"/>
        <v>1</v>
      </c>
      <c r="D719" s="242">
        <v>42.1</v>
      </c>
      <c r="E719" s="845">
        <f t="shared" si="24"/>
        <v>5.6111111111111116</v>
      </c>
    </row>
    <row r="720" spans="2:5">
      <c r="B720" s="1115">
        <v>44956</v>
      </c>
      <c r="C720" s="242">
        <f t="shared" si="23"/>
        <v>1</v>
      </c>
      <c r="D720" s="242">
        <v>41.7</v>
      </c>
      <c r="E720" s="845">
        <f t="shared" si="24"/>
        <v>5.3888888888888902</v>
      </c>
    </row>
    <row r="721" spans="2:5">
      <c r="B721" s="1115">
        <v>44956</v>
      </c>
      <c r="C721" s="242">
        <f t="shared" si="23"/>
        <v>1</v>
      </c>
      <c r="D721" s="242">
        <v>40.6</v>
      </c>
      <c r="E721" s="845">
        <f t="shared" si="24"/>
        <v>4.7777777777777786</v>
      </c>
    </row>
    <row r="722" spans="2:5">
      <c r="B722" s="1115">
        <v>44956</v>
      </c>
      <c r="C722" s="242">
        <f t="shared" si="23"/>
        <v>1</v>
      </c>
      <c r="D722" s="242">
        <v>39.4</v>
      </c>
      <c r="E722" s="845">
        <f t="shared" si="24"/>
        <v>4.1111111111111098</v>
      </c>
    </row>
    <row r="723" spans="2:5">
      <c r="B723" s="1115">
        <v>44956</v>
      </c>
      <c r="C723" s="242">
        <f t="shared" si="23"/>
        <v>1</v>
      </c>
      <c r="D723" s="242">
        <v>38.5</v>
      </c>
      <c r="E723" s="845">
        <f t="shared" si="24"/>
        <v>3.6111111111111112</v>
      </c>
    </row>
    <row r="724" spans="2:5">
      <c r="B724" s="1115">
        <v>44956</v>
      </c>
      <c r="C724" s="242">
        <f t="shared" si="23"/>
        <v>1</v>
      </c>
      <c r="D724" s="242">
        <v>38.1</v>
      </c>
      <c r="E724" s="845">
        <f t="shared" si="24"/>
        <v>3.3888888888888897</v>
      </c>
    </row>
    <row r="725" spans="2:5">
      <c r="B725" s="1115">
        <v>44956</v>
      </c>
      <c r="C725" s="242">
        <f t="shared" si="23"/>
        <v>1</v>
      </c>
      <c r="D725" s="242">
        <v>37.9</v>
      </c>
      <c r="E725" s="845">
        <f t="shared" si="24"/>
        <v>3.2777777777777768</v>
      </c>
    </row>
    <row r="726" spans="2:5">
      <c r="B726" s="1115">
        <v>44956</v>
      </c>
      <c r="C726" s="242">
        <f t="shared" si="23"/>
        <v>1</v>
      </c>
      <c r="D726" s="242">
        <v>38.5</v>
      </c>
      <c r="E726" s="845">
        <f t="shared" si="24"/>
        <v>3.6111111111111112</v>
      </c>
    </row>
    <row r="727" spans="2:5">
      <c r="B727" s="1115">
        <v>44956</v>
      </c>
      <c r="C727" s="242">
        <f t="shared" si="23"/>
        <v>1</v>
      </c>
      <c r="D727" s="242">
        <v>41.2</v>
      </c>
      <c r="E727" s="845">
        <f t="shared" si="24"/>
        <v>5.1111111111111125</v>
      </c>
    </row>
    <row r="728" spans="2:5">
      <c r="B728" s="1115">
        <v>44956</v>
      </c>
      <c r="C728" s="242">
        <f t="shared" si="23"/>
        <v>1</v>
      </c>
      <c r="D728" s="242">
        <v>41.7</v>
      </c>
      <c r="E728" s="845">
        <f t="shared" si="24"/>
        <v>5.3888888888888902</v>
      </c>
    </row>
    <row r="729" spans="2:5">
      <c r="B729" s="1115">
        <v>44957</v>
      </c>
      <c r="C729" s="242">
        <f t="shared" si="23"/>
        <v>1</v>
      </c>
      <c r="D729" s="242">
        <v>42.1</v>
      </c>
      <c r="E729" s="845">
        <f t="shared" si="24"/>
        <v>5.6111111111111116</v>
      </c>
    </row>
    <row r="730" spans="2:5">
      <c r="B730" s="1115">
        <v>44957</v>
      </c>
      <c r="C730" s="242">
        <f t="shared" si="23"/>
        <v>1</v>
      </c>
      <c r="D730" s="242">
        <v>42.4</v>
      </c>
      <c r="E730" s="845">
        <f t="shared" si="24"/>
        <v>5.7777777777777768</v>
      </c>
    </row>
    <row r="731" spans="2:5">
      <c r="B731" s="1115">
        <v>44957</v>
      </c>
      <c r="C731" s="242">
        <f t="shared" si="23"/>
        <v>1</v>
      </c>
      <c r="D731" s="242">
        <v>42.1</v>
      </c>
      <c r="E731" s="845">
        <f t="shared" si="24"/>
        <v>5.6111111111111116</v>
      </c>
    </row>
    <row r="732" spans="2:5">
      <c r="B732" s="1115">
        <v>44957</v>
      </c>
      <c r="C732" s="242">
        <f t="shared" si="23"/>
        <v>1</v>
      </c>
      <c r="D732" s="242">
        <v>41.7</v>
      </c>
      <c r="E732" s="845">
        <f t="shared" si="24"/>
        <v>5.3888888888888902</v>
      </c>
    </row>
    <row r="733" spans="2:5">
      <c r="B733" s="1115">
        <v>44957</v>
      </c>
      <c r="C733" s="242">
        <f t="shared" si="23"/>
        <v>1</v>
      </c>
      <c r="D733" s="242">
        <v>41.5</v>
      </c>
      <c r="E733" s="845">
        <f t="shared" si="24"/>
        <v>5.2777777777777777</v>
      </c>
    </row>
    <row r="734" spans="2:5">
      <c r="B734" s="1115">
        <v>44957</v>
      </c>
      <c r="C734" s="242">
        <f t="shared" si="23"/>
        <v>1</v>
      </c>
      <c r="D734" s="242">
        <v>40.299999999999997</v>
      </c>
      <c r="E734" s="845">
        <f t="shared" si="24"/>
        <v>4.6111111111111098</v>
      </c>
    </row>
    <row r="735" spans="2:5">
      <c r="B735" s="1115">
        <v>44957</v>
      </c>
      <c r="C735" s="242">
        <f t="shared" si="23"/>
        <v>1</v>
      </c>
      <c r="D735" s="242">
        <v>39.4</v>
      </c>
      <c r="E735" s="845">
        <f t="shared" si="24"/>
        <v>4.1111111111111098</v>
      </c>
    </row>
    <row r="736" spans="2:5">
      <c r="B736" s="1115">
        <v>44957</v>
      </c>
      <c r="C736" s="242">
        <f t="shared" si="23"/>
        <v>1</v>
      </c>
      <c r="D736" s="242">
        <v>38.700000000000003</v>
      </c>
      <c r="E736" s="845">
        <f t="shared" si="24"/>
        <v>3.7222222222222237</v>
      </c>
    </row>
    <row r="737" spans="2:5">
      <c r="B737" s="1115">
        <v>44957</v>
      </c>
      <c r="C737" s="242">
        <f t="shared" si="23"/>
        <v>1</v>
      </c>
      <c r="D737" s="242">
        <v>38.5</v>
      </c>
      <c r="E737" s="845">
        <f t="shared" si="24"/>
        <v>3.6111111111111112</v>
      </c>
    </row>
    <row r="738" spans="2:5">
      <c r="B738" s="1115">
        <v>44957</v>
      </c>
      <c r="C738" s="242">
        <f t="shared" si="23"/>
        <v>1</v>
      </c>
      <c r="D738" s="242">
        <v>39.700000000000003</v>
      </c>
      <c r="E738" s="845">
        <f t="shared" si="24"/>
        <v>4.2777777777777795</v>
      </c>
    </row>
    <row r="739" spans="2:5">
      <c r="B739" s="1115">
        <v>44957</v>
      </c>
      <c r="C739" s="242">
        <f t="shared" si="23"/>
        <v>1</v>
      </c>
      <c r="D739" s="242" t="s">
        <v>1837</v>
      </c>
      <c r="E739" s="845">
        <f t="shared" si="24"/>
        <v>5</v>
      </c>
    </row>
    <row r="740" spans="2:5">
      <c r="B740" s="1115">
        <v>44957</v>
      </c>
      <c r="C740" s="242">
        <f t="shared" si="23"/>
        <v>1</v>
      </c>
      <c r="D740" s="242">
        <v>41.7</v>
      </c>
      <c r="E740" s="845">
        <f t="shared" si="24"/>
        <v>5.3888888888888902</v>
      </c>
    </row>
    <row r="741" spans="2:5">
      <c r="B741" s="1115">
        <v>44957</v>
      </c>
      <c r="C741" s="242">
        <f t="shared" si="23"/>
        <v>1</v>
      </c>
      <c r="D741" s="242">
        <v>41.7</v>
      </c>
      <c r="E741" s="845">
        <f t="shared" si="24"/>
        <v>5.3888888888888902</v>
      </c>
    </row>
    <row r="742" spans="2:5">
      <c r="B742" s="1115">
        <v>44957</v>
      </c>
      <c r="C742" s="242">
        <f t="shared" si="23"/>
        <v>1</v>
      </c>
      <c r="D742" s="242">
        <v>42.1</v>
      </c>
      <c r="E742" s="845">
        <f t="shared" si="24"/>
        <v>5.6111111111111116</v>
      </c>
    </row>
    <row r="743" spans="2:5">
      <c r="B743" s="1115">
        <v>44957</v>
      </c>
      <c r="C743" s="242">
        <f t="shared" si="23"/>
        <v>1</v>
      </c>
      <c r="D743" s="242">
        <v>42.1</v>
      </c>
      <c r="E743" s="845">
        <f t="shared" si="24"/>
        <v>5.6111111111111116</v>
      </c>
    </row>
    <row r="744" spans="2:5">
      <c r="B744" s="1115">
        <v>44957</v>
      </c>
      <c r="C744" s="242">
        <f t="shared" si="23"/>
        <v>1</v>
      </c>
      <c r="D744" s="242">
        <v>41.9</v>
      </c>
      <c r="E744" s="845">
        <f t="shared" si="24"/>
        <v>5.4999999999999991</v>
      </c>
    </row>
    <row r="745" spans="2:5">
      <c r="B745" s="1115">
        <v>44957</v>
      </c>
      <c r="C745" s="242">
        <f t="shared" si="23"/>
        <v>1</v>
      </c>
      <c r="D745" s="242">
        <v>41.7</v>
      </c>
      <c r="E745" s="845">
        <f t="shared" si="24"/>
        <v>5.3888888888888902</v>
      </c>
    </row>
    <row r="746" spans="2:5">
      <c r="B746" s="1115">
        <v>44957</v>
      </c>
      <c r="C746" s="242">
        <f t="shared" si="23"/>
        <v>1</v>
      </c>
      <c r="D746" s="242">
        <v>40.6</v>
      </c>
      <c r="E746" s="845">
        <f t="shared" si="24"/>
        <v>4.7777777777777786</v>
      </c>
    </row>
    <row r="747" spans="2:5">
      <c r="B747" s="1115">
        <v>44957</v>
      </c>
      <c r="C747" s="242">
        <f t="shared" si="23"/>
        <v>1</v>
      </c>
      <c r="D747" s="242">
        <v>39.6</v>
      </c>
      <c r="E747" s="845">
        <f t="shared" si="24"/>
        <v>4.2222222222222232</v>
      </c>
    </row>
    <row r="748" spans="2:5">
      <c r="B748" s="1115">
        <v>44957</v>
      </c>
      <c r="C748" s="242">
        <f t="shared" si="23"/>
        <v>1</v>
      </c>
      <c r="D748" s="242">
        <v>38.799999999999997</v>
      </c>
      <c r="E748" s="845">
        <f t="shared" si="24"/>
        <v>3.7777777777777759</v>
      </c>
    </row>
    <row r="749" spans="2:5">
      <c r="B749" s="1115">
        <v>44957</v>
      </c>
      <c r="C749" s="242">
        <f t="shared" si="23"/>
        <v>1</v>
      </c>
      <c r="D749" s="242">
        <v>38.5</v>
      </c>
      <c r="E749" s="845">
        <f t="shared" si="24"/>
        <v>3.6111111111111112</v>
      </c>
    </row>
    <row r="750" spans="2:5">
      <c r="B750" s="1115">
        <v>44957</v>
      </c>
      <c r="C750" s="242">
        <f t="shared" si="23"/>
        <v>1</v>
      </c>
      <c r="D750" s="242">
        <v>38.1</v>
      </c>
      <c r="E750" s="845">
        <f t="shared" si="24"/>
        <v>3.3888888888888897</v>
      </c>
    </row>
    <row r="751" spans="2:5">
      <c r="B751" s="1115">
        <v>44957</v>
      </c>
      <c r="C751" s="242">
        <f t="shared" si="23"/>
        <v>1</v>
      </c>
      <c r="D751" s="242">
        <v>38.700000000000003</v>
      </c>
      <c r="E751" s="845">
        <f t="shared" si="24"/>
        <v>3.7222222222222237</v>
      </c>
    </row>
    <row r="752" spans="2:5">
      <c r="B752" s="1115">
        <v>44957</v>
      </c>
      <c r="C752" s="242">
        <f t="shared" si="23"/>
        <v>1</v>
      </c>
      <c r="D752" s="242">
        <v>40.799999999999997</v>
      </c>
      <c r="E752" s="845">
        <f t="shared" si="24"/>
        <v>4.8888888888888875</v>
      </c>
    </row>
    <row r="753" spans="2:5">
      <c r="B753" s="1115">
        <v>44958</v>
      </c>
      <c r="C753" s="242">
        <f t="shared" si="23"/>
        <v>2</v>
      </c>
      <c r="D753" s="242">
        <v>41.7</v>
      </c>
      <c r="E753" s="845">
        <f t="shared" si="24"/>
        <v>5.3888888888888902</v>
      </c>
    </row>
    <row r="754" spans="2:5">
      <c r="B754" s="1115">
        <v>44958</v>
      </c>
      <c r="C754" s="242">
        <f t="shared" si="23"/>
        <v>2</v>
      </c>
      <c r="D754" s="242">
        <v>42.1</v>
      </c>
      <c r="E754" s="845">
        <f t="shared" si="24"/>
        <v>5.6111111111111116</v>
      </c>
    </row>
    <row r="755" spans="2:5">
      <c r="B755" s="1115">
        <v>44958</v>
      </c>
      <c r="C755" s="242">
        <f t="shared" si="23"/>
        <v>2</v>
      </c>
      <c r="D755" s="242">
        <v>42.4</v>
      </c>
      <c r="E755" s="845">
        <f t="shared" si="24"/>
        <v>5.7777777777777768</v>
      </c>
    </row>
    <row r="756" spans="2:5">
      <c r="B756" s="1115">
        <v>44958</v>
      </c>
      <c r="C756" s="242">
        <f t="shared" si="23"/>
        <v>2</v>
      </c>
      <c r="D756" s="242" t="s">
        <v>1837</v>
      </c>
      <c r="E756" s="845">
        <f t="shared" si="24"/>
        <v>5</v>
      </c>
    </row>
    <row r="757" spans="2:5">
      <c r="B757" s="1115">
        <v>44958</v>
      </c>
      <c r="C757" s="242">
        <f t="shared" si="23"/>
        <v>2</v>
      </c>
      <c r="D757" s="242">
        <v>41.4</v>
      </c>
      <c r="E757" s="845">
        <f t="shared" si="24"/>
        <v>5.2222222222222214</v>
      </c>
    </row>
    <row r="758" spans="2:5">
      <c r="B758" s="1115">
        <v>44958</v>
      </c>
      <c r="C758" s="242">
        <f t="shared" si="23"/>
        <v>2</v>
      </c>
      <c r="D758" s="242" t="s">
        <v>1837</v>
      </c>
      <c r="E758" s="845">
        <f t="shared" si="24"/>
        <v>5</v>
      </c>
    </row>
    <row r="759" spans="2:5">
      <c r="B759" s="1115">
        <v>44958</v>
      </c>
      <c r="C759" s="242">
        <f t="shared" si="23"/>
        <v>2</v>
      </c>
      <c r="D759" s="242">
        <v>39.9</v>
      </c>
      <c r="E759" s="845">
        <f t="shared" si="24"/>
        <v>4.3888888888888884</v>
      </c>
    </row>
    <row r="760" spans="2:5">
      <c r="B760" s="1115">
        <v>44958</v>
      </c>
      <c r="C760" s="242">
        <f t="shared" si="23"/>
        <v>2</v>
      </c>
      <c r="D760" s="242" t="s">
        <v>1839</v>
      </c>
      <c r="E760" s="845">
        <f t="shared" si="24"/>
        <v>3.8888888888888888</v>
      </c>
    </row>
    <row r="761" spans="2:5">
      <c r="B761" s="1115">
        <v>44958</v>
      </c>
      <c r="C761" s="242">
        <f t="shared" si="23"/>
        <v>2</v>
      </c>
      <c r="D761" s="242">
        <v>38.5</v>
      </c>
      <c r="E761" s="845">
        <f t="shared" si="24"/>
        <v>3.6111111111111112</v>
      </c>
    </row>
    <row r="762" spans="2:5">
      <c r="B762" s="1115">
        <v>44958</v>
      </c>
      <c r="C762" s="242">
        <f t="shared" si="23"/>
        <v>2</v>
      </c>
      <c r="D762" s="242">
        <v>38.1</v>
      </c>
      <c r="E762" s="845">
        <f t="shared" si="24"/>
        <v>3.3888888888888897</v>
      </c>
    </row>
    <row r="763" spans="2:5">
      <c r="B763" s="1115">
        <v>44958</v>
      </c>
      <c r="C763" s="242">
        <f t="shared" si="23"/>
        <v>2</v>
      </c>
      <c r="D763" s="242">
        <v>39.4</v>
      </c>
      <c r="E763" s="845">
        <f t="shared" si="24"/>
        <v>4.1111111111111098</v>
      </c>
    </row>
    <row r="764" spans="2:5">
      <c r="B764" s="1115">
        <v>44958</v>
      </c>
      <c r="C764" s="242">
        <f t="shared" si="23"/>
        <v>2</v>
      </c>
      <c r="D764" s="242">
        <v>41.2</v>
      </c>
      <c r="E764" s="845">
        <f t="shared" si="24"/>
        <v>5.1111111111111125</v>
      </c>
    </row>
    <row r="765" spans="2:5">
      <c r="B765" s="1115">
        <v>44958</v>
      </c>
      <c r="C765" s="242">
        <f t="shared" si="23"/>
        <v>2</v>
      </c>
      <c r="D765" s="242">
        <v>41.5</v>
      </c>
      <c r="E765" s="845">
        <f t="shared" si="24"/>
        <v>5.2777777777777777</v>
      </c>
    </row>
    <row r="766" spans="2:5">
      <c r="B766" s="1115">
        <v>44958</v>
      </c>
      <c r="C766" s="242">
        <f t="shared" si="23"/>
        <v>2</v>
      </c>
      <c r="D766" s="242">
        <v>41.5</v>
      </c>
      <c r="E766" s="845">
        <f t="shared" si="24"/>
        <v>5.2777777777777777</v>
      </c>
    </row>
    <row r="767" spans="2:5">
      <c r="B767" s="1115">
        <v>44958</v>
      </c>
      <c r="C767" s="242">
        <f t="shared" si="23"/>
        <v>2</v>
      </c>
      <c r="D767" s="242">
        <v>41.7</v>
      </c>
      <c r="E767" s="845">
        <f t="shared" si="24"/>
        <v>5.3888888888888902</v>
      </c>
    </row>
    <row r="768" spans="2:5">
      <c r="B768" s="1115">
        <v>44958</v>
      </c>
      <c r="C768" s="242">
        <f t="shared" si="23"/>
        <v>2</v>
      </c>
      <c r="D768" s="242">
        <v>41.7</v>
      </c>
      <c r="E768" s="845">
        <f t="shared" si="24"/>
        <v>5.3888888888888902</v>
      </c>
    </row>
    <row r="769" spans="2:5">
      <c r="B769" s="1115">
        <v>44958</v>
      </c>
      <c r="C769" s="242">
        <f t="shared" si="23"/>
        <v>2</v>
      </c>
      <c r="D769" s="242">
        <v>41.5</v>
      </c>
      <c r="E769" s="845">
        <f t="shared" si="24"/>
        <v>5.2777777777777777</v>
      </c>
    </row>
    <row r="770" spans="2:5">
      <c r="B770" s="1115">
        <v>44958</v>
      </c>
      <c r="C770" s="242">
        <f t="shared" si="23"/>
        <v>2</v>
      </c>
      <c r="D770" s="242">
        <v>41.4</v>
      </c>
      <c r="E770" s="845">
        <f t="shared" si="24"/>
        <v>5.2222222222222214</v>
      </c>
    </row>
    <row r="771" spans="2:5">
      <c r="B771" s="1115">
        <v>44958</v>
      </c>
      <c r="C771" s="242">
        <f t="shared" si="23"/>
        <v>2</v>
      </c>
      <c r="D771" s="242">
        <v>40.6</v>
      </c>
      <c r="E771" s="845">
        <f t="shared" si="24"/>
        <v>4.7777777777777786</v>
      </c>
    </row>
    <row r="772" spans="2:5">
      <c r="B772" s="1115">
        <v>44958</v>
      </c>
      <c r="C772" s="242">
        <f t="shared" si="23"/>
        <v>2</v>
      </c>
      <c r="D772" s="242">
        <v>39.6</v>
      </c>
      <c r="E772" s="845">
        <f t="shared" si="24"/>
        <v>4.2222222222222232</v>
      </c>
    </row>
    <row r="773" spans="2:5">
      <c r="B773" s="1115">
        <v>44958</v>
      </c>
      <c r="C773" s="242">
        <f t="shared" si="23"/>
        <v>2</v>
      </c>
      <c r="D773" s="242" t="s">
        <v>1839</v>
      </c>
      <c r="E773" s="845">
        <f t="shared" si="24"/>
        <v>3.8888888888888888</v>
      </c>
    </row>
    <row r="774" spans="2:5">
      <c r="B774" s="1115">
        <v>44958</v>
      </c>
      <c r="C774" s="242">
        <f t="shared" si="23"/>
        <v>2</v>
      </c>
      <c r="D774" s="242">
        <v>38.5</v>
      </c>
      <c r="E774" s="845">
        <f t="shared" si="24"/>
        <v>3.6111111111111112</v>
      </c>
    </row>
    <row r="775" spans="2:5">
      <c r="B775" s="1115">
        <v>44958</v>
      </c>
      <c r="C775" s="242">
        <f t="shared" si="23"/>
        <v>2</v>
      </c>
      <c r="D775" s="242">
        <v>38.299999999999997</v>
      </c>
      <c r="E775" s="845">
        <f t="shared" si="24"/>
        <v>3.4999999999999982</v>
      </c>
    </row>
    <row r="776" spans="2:5">
      <c r="B776" s="1115">
        <v>44958</v>
      </c>
      <c r="C776" s="242">
        <f t="shared" si="23"/>
        <v>2</v>
      </c>
      <c r="D776" s="242" t="s">
        <v>1839</v>
      </c>
      <c r="E776" s="845">
        <f t="shared" si="24"/>
        <v>3.8888888888888888</v>
      </c>
    </row>
    <row r="777" spans="2:5">
      <c r="B777" s="1115">
        <v>44959</v>
      </c>
      <c r="C777" s="242">
        <f t="shared" si="23"/>
        <v>2</v>
      </c>
      <c r="D777" s="242">
        <v>40.799999999999997</v>
      </c>
      <c r="E777" s="845">
        <f t="shared" si="24"/>
        <v>4.8888888888888875</v>
      </c>
    </row>
    <row r="778" spans="2:5">
      <c r="B778" s="1115">
        <v>44959</v>
      </c>
      <c r="C778" s="242">
        <f t="shared" ref="C778:C841" si="25">MONTH(B778)</f>
        <v>2</v>
      </c>
      <c r="D778" s="242" t="s">
        <v>1837</v>
      </c>
      <c r="E778" s="845">
        <f t="shared" ref="E778:E841" si="26">CONVERT(D778,"F","C")</f>
        <v>5</v>
      </c>
    </row>
    <row r="779" spans="2:5">
      <c r="B779" s="1115">
        <v>44959</v>
      </c>
      <c r="C779" s="242">
        <f t="shared" si="25"/>
        <v>2</v>
      </c>
      <c r="D779" s="242">
        <v>41.4</v>
      </c>
      <c r="E779" s="845">
        <f t="shared" si="26"/>
        <v>5.2222222222222214</v>
      </c>
    </row>
    <row r="780" spans="2:5">
      <c r="B780" s="1115">
        <v>44959</v>
      </c>
      <c r="C780" s="242">
        <f t="shared" si="25"/>
        <v>2</v>
      </c>
      <c r="D780" s="242">
        <v>41.5</v>
      </c>
      <c r="E780" s="845">
        <f t="shared" si="26"/>
        <v>5.2777777777777777</v>
      </c>
    </row>
    <row r="781" spans="2:5">
      <c r="B781" s="1115">
        <v>44959</v>
      </c>
      <c r="C781" s="242">
        <f t="shared" si="25"/>
        <v>2</v>
      </c>
      <c r="D781" s="242">
        <v>40.6</v>
      </c>
      <c r="E781" s="845">
        <f t="shared" si="26"/>
        <v>4.7777777777777786</v>
      </c>
    </row>
    <row r="782" spans="2:5">
      <c r="B782" s="1115">
        <v>44959</v>
      </c>
      <c r="C782" s="242">
        <f t="shared" si="25"/>
        <v>2</v>
      </c>
      <c r="D782" s="242">
        <v>40.799999999999997</v>
      </c>
      <c r="E782" s="845">
        <f t="shared" si="26"/>
        <v>4.8888888888888875</v>
      </c>
    </row>
    <row r="783" spans="2:5">
      <c r="B783" s="1115">
        <v>44959</v>
      </c>
      <c r="C783" s="242">
        <f t="shared" si="25"/>
        <v>2</v>
      </c>
      <c r="D783" s="242">
        <v>40.5</v>
      </c>
      <c r="E783" s="845">
        <f t="shared" si="26"/>
        <v>4.7222222222222223</v>
      </c>
    </row>
    <row r="784" spans="2:5">
      <c r="B784" s="1115">
        <v>44959</v>
      </c>
      <c r="C784" s="242">
        <f t="shared" si="25"/>
        <v>2</v>
      </c>
      <c r="D784" s="242">
        <v>39.4</v>
      </c>
      <c r="E784" s="845">
        <f t="shared" si="26"/>
        <v>4.1111111111111098</v>
      </c>
    </row>
    <row r="785" spans="2:5">
      <c r="B785" s="1115">
        <v>44959</v>
      </c>
      <c r="C785" s="242">
        <f t="shared" si="25"/>
        <v>2</v>
      </c>
      <c r="D785" s="242">
        <v>38.700000000000003</v>
      </c>
      <c r="E785" s="845">
        <f t="shared" si="26"/>
        <v>3.7222222222222237</v>
      </c>
    </row>
    <row r="786" spans="2:5">
      <c r="B786" s="1115">
        <v>44959</v>
      </c>
      <c r="C786" s="242">
        <f t="shared" si="25"/>
        <v>2</v>
      </c>
      <c r="D786" s="242">
        <v>38.1</v>
      </c>
      <c r="E786" s="845">
        <f t="shared" si="26"/>
        <v>3.3888888888888897</v>
      </c>
    </row>
    <row r="787" spans="2:5">
      <c r="B787" s="1115">
        <v>44959</v>
      </c>
      <c r="C787" s="242">
        <f t="shared" si="25"/>
        <v>2</v>
      </c>
      <c r="D787" s="242">
        <v>37.9</v>
      </c>
      <c r="E787" s="845">
        <f t="shared" si="26"/>
        <v>3.2777777777777768</v>
      </c>
    </row>
    <row r="788" spans="2:5">
      <c r="B788" s="1115">
        <v>44959</v>
      </c>
      <c r="C788" s="242">
        <f t="shared" si="25"/>
        <v>2</v>
      </c>
      <c r="D788" s="242" t="s">
        <v>1839</v>
      </c>
      <c r="E788" s="845">
        <f t="shared" si="26"/>
        <v>3.8888888888888888</v>
      </c>
    </row>
    <row r="789" spans="2:5">
      <c r="B789" s="1115">
        <v>44959</v>
      </c>
      <c r="C789" s="242">
        <f t="shared" si="25"/>
        <v>2</v>
      </c>
      <c r="D789" s="242">
        <v>40.299999999999997</v>
      </c>
      <c r="E789" s="845">
        <f t="shared" si="26"/>
        <v>4.6111111111111098</v>
      </c>
    </row>
    <row r="790" spans="2:5">
      <c r="B790" s="1115">
        <v>44959</v>
      </c>
      <c r="C790" s="242">
        <f t="shared" si="25"/>
        <v>2</v>
      </c>
      <c r="D790" s="242">
        <v>40.5</v>
      </c>
      <c r="E790" s="845">
        <f t="shared" si="26"/>
        <v>4.7222222222222223</v>
      </c>
    </row>
    <row r="791" spans="2:5">
      <c r="B791" s="1115">
        <v>44959</v>
      </c>
      <c r="C791" s="242">
        <f t="shared" si="25"/>
        <v>2</v>
      </c>
      <c r="D791" s="242" t="s">
        <v>1837</v>
      </c>
      <c r="E791" s="845">
        <f t="shared" si="26"/>
        <v>5</v>
      </c>
    </row>
    <row r="792" spans="2:5">
      <c r="B792" s="1115">
        <v>44959</v>
      </c>
      <c r="C792" s="242">
        <f t="shared" si="25"/>
        <v>2</v>
      </c>
      <c r="D792" s="242" t="s">
        <v>1837</v>
      </c>
      <c r="E792" s="845">
        <f t="shared" si="26"/>
        <v>5</v>
      </c>
    </row>
    <row r="793" spans="2:5">
      <c r="B793" s="1115">
        <v>44959</v>
      </c>
      <c r="C793" s="242">
        <f t="shared" si="25"/>
        <v>2</v>
      </c>
      <c r="D793" s="242">
        <v>41.4</v>
      </c>
      <c r="E793" s="845">
        <f t="shared" si="26"/>
        <v>5.2222222222222214</v>
      </c>
    </row>
    <row r="794" spans="2:5">
      <c r="B794" s="1115">
        <v>44959</v>
      </c>
      <c r="C794" s="242">
        <f t="shared" si="25"/>
        <v>2</v>
      </c>
      <c r="D794" s="242">
        <v>41.2</v>
      </c>
      <c r="E794" s="845">
        <f t="shared" si="26"/>
        <v>5.1111111111111125</v>
      </c>
    </row>
    <row r="795" spans="2:5">
      <c r="B795" s="1115">
        <v>44959</v>
      </c>
      <c r="C795" s="242">
        <f t="shared" si="25"/>
        <v>2</v>
      </c>
      <c r="D795" s="242" t="s">
        <v>1837</v>
      </c>
      <c r="E795" s="845">
        <f t="shared" si="26"/>
        <v>5</v>
      </c>
    </row>
    <row r="796" spans="2:5">
      <c r="B796" s="1115">
        <v>44959</v>
      </c>
      <c r="C796" s="242">
        <f t="shared" si="25"/>
        <v>2</v>
      </c>
      <c r="D796" s="242">
        <v>40.1</v>
      </c>
      <c r="E796" s="845">
        <f t="shared" si="26"/>
        <v>4.5000000000000009</v>
      </c>
    </row>
    <row r="797" spans="2:5">
      <c r="B797" s="1115">
        <v>44959</v>
      </c>
      <c r="C797" s="242">
        <f t="shared" si="25"/>
        <v>2</v>
      </c>
      <c r="D797" s="242" t="s">
        <v>1839</v>
      </c>
      <c r="E797" s="845">
        <f t="shared" si="26"/>
        <v>3.8888888888888888</v>
      </c>
    </row>
    <row r="798" spans="2:5">
      <c r="B798" s="1115">
        <v>44959</v>
      </c>
      <c r="C798" s="242">
        <f t="shared" si="25"/>
        <v>2</v>
      </c>
      <c r="D798" s="242">
        <v>38.299999999999997</v>
      </c>
      <c r="E798" s="845">
        <f t="shared" si="26"/>
        <v>3.4999999999999982</v>
      </c>
    </row>
    <row r="799" spans="2:5">
      <c r="B799" s="1115">
        <v>44959</v>
      </c>
      <c r="C799" s="242">
        <f t="shared" si="25"/>
        <v>2</v>
      </c>
      <c r="D799" s="242">
        <v>37.9</v>
      </c>
      <c r="E799" s="845">
        <f t="shared" si="26"/>
        <v>3.2777777777777768</v>
      </c>
    </row>
    <row r="800" spans="2:5">
      <c r="B800" s="1115">
        <v>44959</v>
      </c>
      <c r="C800" s="242">
        <f t="shared" si="25"/>
        <v>2</v>
      </c>
      <c r="D800" s="242">
        <v>37.799999999999997</v>
      </c>
      <c r="E800" s="845">
        <f t="shared" si="26"/>
        <v>3.2222222222222205</v>
      </c>
    </row>
    <row r="801" spans="2:5">
      <c r="B801" s="1115">
        <v>44960</v>
      </c>
      <c r="C801" s="242">
        <f t="shared" si="25"/>
        <v>2</v>
      </c>
      <c r="D801" s="242">
        <v>38.5</v>
      </c>
      <c r="E801" s="845">
        <f t="shared" si="26"/>
        <v>3.6111111111111112</v>
      </c>
    </row>
    <row r="802" spans="2:5">
      <c r="B802" s="1115">
        <v>44960</v>
      </c>
      <c r="C802" s="242">
        <f t="shared" si="25"/>
        <v>2</v>
      </c>
      <c r="D802" s="242">
        <v>40.6</v>
      </c>
      <c r="E802" s="845">
        <f t="shared" si="26"/>
        <v>4.7777777777777786</v>
      </c>
    </row>
    <row r="803" spans="2:5">
      <c r="B803" s="1115">
        <v>44960</v>
      </c>
      <c r="C803" s="242">
        <f t="shared" si="25"/>
        <v>2</v>
      </c>
      <c r="D803" s="242">
        <v>40.5</v>
      </c>
      <c r="E803" s="845">
        <f t="shared" si="26"/>
        <v>4.7222222222222223</v>
      </c>
    </row>
    <row r="804" spans="2:5">
      <c r="B804" s="1115">
        <v>44960</v>
      </c>
      <c r="C804" s="242">
        <f t="shared" si="25"/>
        <v>2</v>
      </c>
      <c r="D804" s="242">
        <v>40.6</v>
      </c>
      <c r="E804" s="845">
        <f t="shared" si="26"/>
        <v>4.7777777777777786</v>
      </c>
    </row>
    <row r="805" spans="2:5">
      <c r="B805" s="1115">
        <v>44960</v>
      </c>
      <c r="C805" s="242">
        <f t="shared" si="25"/>
        <v>2</v>
      </c>
      <c r="D805" s="242">
        <v>40.799999999999997</v>
      </c>
      <c r="E805" s="845">
        <f t="shared" si="26"/>
        <v>4.8888888888888875</v>
      </c>
    </row>
    <row r="806" spans="2:5">
      <c r="B806" s="1115">
        <v>44960</v>
      </c>
      <c r="C806" s="242">
        <f t="shared" si="25"/>
        <v>2</v>
      </c>
      <c r="D806" s="242">
        <v>40.299999999999997</v>
      </c>
      <c r="E806" s="845">
        <f t="shared" si="26"/>
        <v>4.6111111111111098</v>
      </c>
    </row>
    <row r="807" spans="2:5">
      <c r="B807" s="1115">
        <v>44960</v>
      </c>
      <c r="C807" s="242">
        <f t="shared" si="25"/>
        <v>2</v>
      </c>
      <c r="D807" s="242">
        <v>40.6</v>
      </c>
      <c r="E807" s="845">
        <f t="shared" si="26"/>
        <v>4.7777777777777786</v>
      </c>
    </row>
    <row r="808" spans="2:5">
      <c r="B808" s="1115">
        <v>44960</v>
      </c>
      <c r="C808" s="242">
        <f t="shared" si="25"/>
        <v>2</v>
      </c>
      <c r="D808" s="242">
        <v>40.299999999999997</v>
      </c>
      <c r="E808" s="845">
        <f t="shared" si="26"/>
        <v>4.6111111111111098</v>
      </c>
    </row>
    <row r="809" spans="2:5">
      <c r="B809" s="1115">
        <v>44960</v>
      </c>
      <c r="C809" s="242">
        <f t="shared" si="25"/>
        <v>2</v>
      </c>
      <c r="D809" s="242">
        <v>39.200000000000003</v>
      </c>
      <c r="E809" s="845">
        <f t="shared" si="26"/>
        <v>4.0000000000000018</v>
      </c>
    </row>
    <row r="810" spans="2:5">
      <c r="B810" s="1115">
        <v>44960</v>
      </c>
      <c r="C810" s="242">
        <f t="shared" si="25"/>
        <v>2</v>
      </c>
      <c r="D810" s="242">
        <v>38.299999999999997</v>
      </c>
      <c r="E810" s="845">
        <f t="shared" si="26"/>
        <v>3.4999999999999982</v>
      </c>
    </row>
    <row r="811" spans="2:5">
      <c r="B811" s="1115">
        <v>44960</v>
      </c>
      <c r="C811" s="242">
        <f t="shared" si="25"/>
        <v>2</v>
      </c>
      <c r="D811" s="242">
        <v>37.799999999999997</v>
      </c>
      <c r="E811" s="845">
        <f t="shared" si="26"/>
        <v>3.2222222222222205</v>
      </c>
    </row>
    <row r="812" spans="2:5">
      <c r="B812" s="1115">
        <v>44960</v>
      </c>
      <c r="C812" s="242">
        <f t="shared" si="25"/>
        <v>2</v>
      </c>
      <c r="D812" s="242">
        <v>37.799999999999997</v>
      </c>
      <c r="E812" s="845">
        <f t="shared" si="26"/>
        <v>3.2222222222222205</v>
      </c>
    </row>
    <row r="813" spans="2:5">
      <c r="B813" s="1115">
        <v>44960</v>
      </c>
      <c r="C813" s="242">
        <f t="shared" si="25"/>
        <v>2</v>
      </c>
      <c r="D813" s="242">
        <v>38.700000000000003</v>
      </c>
      <c r="E813" s="845">
        <f t="shared" si="26"/>
        <v>3.7222222222222237</v>
      </c>
    </row>
    <row r="814" spans="2:5">
      <c r="B814" s="1115">
        <v>44960</v>
      </c>
      <c r="C814" s="242">
        <f t="shared" si="25"/>
        <v>2</v>
      </c>
      <c r="D814" s="242">
        <v>40.1</v>
      </c>
      <c r="E814" s="845">
        <f t="shared" si="26"/>
        <v>4.5000000000000009</v>
      </c>
    </row>
    <row r="815" spans="2:5">
      <c r="B815" s="1115">
        <v>44960</v>
      </c>
      <c r="C815" s="242">
        <f t="shared" si="25"/>
        <v>2</v>
      </c>
      <c r="D815" s="242">
        <v>40.1</v>
      </c>
      <c r="E815" s="845">
        <f t="shared" si="26"/>
        <v>4.5000000000000009</v>
      </c>
    </row>
    <row r="816" spans="2:5">
      <c r="B816" s="1115">
        <v>44960</v>
      </c>
      <c r="C816" s="242">
        <f t="shared" si="25"/>
        <v>2</v>
      </c>
      <c r="D816" s="242">
        <v>40.799999999999997</v>
      </c>
      <c r="E816" s="845">
        <f t="shared" si="26"/>
        <v>4.8888888888888875</v>
      </c>
    </row>
    <row r="817" spans="2:5">
      <c r="B817" s="1115">
        <v>44960</v>
      </c>
      <c r="C817" s="242">
        <f t="shared" si="25"/>
        <v>2</v>
      </c>
      <c r="D817" s="242">
        <v>41.5</v>
      </c>
      <c r="E817" s="845">
        <f t="shared" si="26"/>
        <v>5.2777777777777777</v>
      </c>
    </row>
    <row r="818" spans="2:5">
      <c r="B818" s="1115">
        <v>44960</v>
      </c>
      <c r="C818" s="242">
        <f t="shared" si="25"/>
        <v>2</v>
      </c>
      <c r="D818" s="242">
        <v>41.4</v>
      </c>
      <c r="E818" s="845">
        <f t="shared" si="26"/>
        <v>5.2222222222222214</v>
      </c>
    </row>
    <row r="819" spans="2:5">
      <c r="B819" s="1115">
        <v>44960</v>
      </c>
      <c r="C819" s="242">
        <f t="shared" si="25"/>
        <v>2</v>
      </c>
      <c r="D819" s="242">
        <v>41.2</v>
      </c>
      <c r="E819" s="845">
        <f t="shared" si="26"/>
        <v>5.1111111111111125</v>
      </c>
    </row>
    <row r="820" spans="2:5">
      <c r="B820" s="1115">
        <v>44960</v>
      </c>
      <c r="C820" s="242">
        <f t="shared" si="25"/>
        <v>2</v>
      </c>
      <c r="D820" s="242">
        <v>40.1</v>
      </c>
      <c r="E820" s="845">
        <f t="shared" si="26"/>
        <v>4.5000000000000009</v>
      </c>
    </row>
    <row r="821" spans="2:5">
      <c r="B821" s="1115">
        <v>44960</v>
      </c>
      <c r="C821" s="242">
        <f t="shared" si="25"/>
        <v>2</v>
      </c>
      <c r="D821" s="242">
        <v>38.700000000000003</v>
      </c>
      <c r="E821" s="845">
        <f t="shared" si="26"/>
        <v>3.7222222222222237</v>
      </c>
    </row>
    <row r="822" spans="2:5">
      <c r="B822" s="1115">
        <v>44960</v>
      </c>
      <c r="C822" s="242">
        <f t="shared" si="25"/>
        <v>2</v>
      </c>
      <c r="D822" s="242">
        <v>37.4</v>
      </c>
      <c r="E822" s="845">
        <f t="shared" si="26"/>
        <v>2.9999999999999991</v>
      </c>
    </row>
    <row r="823" spans="2:5">
      <c r="B823" s="1115">
        <v>44960</v>
      </c>
      <c r="C823" s="242">
        <f t="shared" si="25"/>
        <v>2</v>
      </c>
      <c r="D823" s="242">
        <v>36.700000000000003</v>
      </c>
      <c r="E823" s="845">
        <f t="shared" si="26"/>
        <v>2.6111111111111125</v>
      </c>
    </row>
    <row r="824" spans="2:5">
      <c r="B824" s="1115">
        <v>44960</v>
      </c>
      <c r="C824" s="242">
        <f t="shared" si="25"/>
        <v>2</v>
      </c>
      <c r="D824" s="242">
        <v>36.299999999999997</v>
      </c>
      <c r="E824" s="845">
        <f t="shared" si="26"/>
        <v>2.3888888888888871</v>
      </c>
    </row>
    <row r="825" spans="2:5">
      <c r="B825" s="1115">
        <v>44961</v>
      </c>
      <c r="C825" s="242">
        <f t="shared" si="25"/>
        <v>2</v>
      </c>
      <c r="D825" s="242">
        <v>36.299999999999997</v>
      </c>
      <c r="E825" s="845">
        <f t="shared" si="26"/>
        <v>2.3888888888888871</v>
      </c>
    </row>
    <row r="826" spans="2:5">
      <c r="B826" s="1115">
        <v>44961</v>
      </c>
      <c r="C826" s="242">
        <f t="shared" si="25"/>
        <v>2</v>
      </c>
      <c r="D826" s="242">
        <v>37.200000000000003</v>
      </c>
      <c r="E826" s="845">
        <f t="shared" si="26"/>
        <v>2.8888888888888906</v>
      </c>
    </row>
    <row r="827" spans="2:5">
      <c r="B827" s="1115">
        <v>44961</v>
      </c>
      <c r="C827" s="242">
        <f t="shared" si="25"/>
        <v>2</v>
      </c>
      <c r="D827" s="242">
        <v>40.6</v>
      </c>
      <c r="E827" s="845">
        <f t="shared" si="26"/>
        <v>4.7777777777777786</v>
      </c>
    </row>
    <row r="828" spans="2:5">
      <c r="B828" s="1115">
        <v>44961</v>
      </c>
      <c r="C828" s="242">
        <f t="shared" si="25"/>
        <v>2</v>
      </c>
      <c r="D828" s="242">
        <v>41.2</v>
      </c>
      <c r="E828" s="845">
        <f t="shared" si="26"/>
        <v>5.1111111111111125</v>
      </c>
    </row>
    <row r="829" spans="2:5">
      <c r="B829" s="1115">
        <v>44961</v>
      </c>
      <c r="C829" s="242">
        <f t="shared" si="25"/>
        <v>2</v>
      </c>
      <c r="D829" s="242" t="s">
        <v>1837</v>
      </c>
      <c r="E829" s="845">
        <f t="shared" si="26"/>
        <v>5</v>
      </c>
    </row>
    <row r="830" spans="2:5">
      <c r="B830" s="1115">
        <v>44961</v>
      </c>
      <c r="C830" s="242">
        <f t="shared" si="25"/>
        <v>2</v>
      </c>
      <c r="D830" s="242">
        <v>39.9</v>
      </c>
      <c r="E830" s="845">
        <f t="shared" si="26"/>
        <v>4.3888888888888884</v>
      </c>
    </row>
    <row r="831" spans="2:5">
      <c r="B831" s="1115">
        <v>44961</v>
      </c>
      <c r="C831" s="242">
        <f t="shared" si="25"/>
        <v>2</v>
      </c>
      <c r="D831" s="242">
        <v>39.9</v>
      </c>
      <c r="E831" s="845">
        <f t="shared" si="26"/>
        <v>4.3888888888888884</v>
      </c>
    </row>
    <row r="832" spans="2:5">
      <c r="B832" s="1115">
        <v>44961</v>
      </c>
      <c r="C832" s="242">
        <f t="shared" si="25"/>
        <v>2</v>
      </c>
      <c r="D832" s="242">
        <v>39.6</v>
      </c>
      <c r="E832" s="845">
        <f t="shared" si="26"/>
        <v>4.2222222222222232</v>
      </c>
    </row>
    <row r="833" spans="2:5">
      <c r="B833" s="1115">
        <v>44961</v>
      </c>
      <c r="C833" s="242">
        <f t="shared" si="25"/>
        <v>2</v>
      </c>
      <c r="D833" s="242">
        <v>37.4</v>
      </c>
      <c r="E833" s="845">
        <f t="shared" si="26"/>
        <v>2.9999999999999991</v>
      </c>
    </row>
    <row r="834" spans="2:5">
      <c r="B834" s="1115">
        <v>44961</v>
      </c>
      <c r="C834" s="242">
        <f t="shared" si="25"/>
        <v>2</v>
      </c>
      <c r="D834" s="242">
        <v>36.1</v>
      </c>
      <c r="E834" s="845">
        <f t="shared" si="26"/>
        <v>2.2777777777777786</v>
      </c>
    </row>
    <row r="835" spans="2:5">
      <c r="B835" s="1115">
        <v>44961</v>
      </c>
      <c r="C835" s="242">
        <f t="shared" si="25"/>
        <v>2</v>
      </c>
      <c r="D835" s="242">
        <v>35.1</v>
      </c>
      <c r="E835" s="845">
        <f t="shared" si="26"/>
        <v>1.722222222222223</v>
      </c>
    </row>
    <row r="836" spans="2:5">
      <c r="B836" s="1115">
        <v>44961</v>
      </c>
      <c r="C836" s="242">
        <f t="shared" si="25"/>
        <v>2</v>
      </c>
      <c r="D836" s="242">
        <v>34.5</v>
      </c>
      <c r="E836" s="845">
        <f t="shared" si="26"/>
        <v>1.3888888888888888</v>
      </c>
    </row>
    <row r="837" spans="2:5">
      <c r="B837" s="1115">
        <v>44961</v>
      </c>
      <c r="C837" s="242">
        <f t="shared" si="25"/>
        <v>2</v>
      </c>
      <c r="D837" s="242">
        <v>35.4</v>
      </c>
      <c r="E837" s="845">
        <f t="shared" si="26"/>
        <v>1.888888888888888</v>
      </c>
    </row>
    <row r="838" spans="2:5">
      <c r="B838" s="1115">
        <v>44961</v>
      </c>
      <c r="C838" s="242">
        <f t="shared" si="25"/>
        <v>2</v>
      </c>
      <c r="D838" s="242">
        <v>38.700000000000003</v>
      </c>
      <c r="E838" s="845">
        <f t="shared" si="26"/>
        <v>3.7222222222222237</v>
      </c>
    </row>
    <row r="839" spans="2:5">
      <c r="B839" s="1115">
        <v>44961</v>
      </c>
      <c r="C839" s="242">
        <f t="shared" si="25"/>
        <v>2</v>
      </c>
      <c r="D839" s="242">
        <v>39.4</v>
      </c>
      <c r="E839" s="845">
        <f t="shared" si="26"/>
        <v>4.1111111111111098</v>
      </c>
    </row>
    <row r="840" spans="2:5">
      <c r="B840" s="1115">
        <v>44961</v>
      </c>
      <c r="C840" s="242">
        <f t="shared" si="25"/>
        <v>2</v>
      </c>
      <c r="D840" s="242">
        <v>38.700000000000003</v>
      </c>
      <c r="E840" s="845">
        <f t="shared" si="26"/>
        <v>3.7222222222222237</v>
      </c>
    </row>
    <row r="841" spans="2:5">
      <c r="B841" s="1115">
        <v>44961</v>
      </c>
      <c r="C841" s="242">
        <f t="shared" si="25"/>
        <v>2</v>
      </c>
      <c r="D841" s="242">
        <v>39.700000000000003</v>
      </c>
      <c r="E841" s="845">
        <f t="shared" si="26"/>
        <v>4.2777777777777795</v>
      </c>
    </row>
    <row r="842" spans="2:5">
      <c r="B842" s="1115">
        <v>44961</v>
      </c>
      <c r="C842" s="242">
        <f t="shared" ref="C842:C905" si="27">MONTH(B842)</f>
        <v>2</v>
      </c>
      <c r="D842" s="242">
        <v>40.299999999999997</v>
      </c>
      <c r="E842" s="845">
        <f t="shared" ref="E842:E905" si="28">CONVERT(D842,"F","C")</f>
        <v>4.6111111111111098</v>
      </c>
    </row>
    <row r="843" spans="2:5">
      <c r="B843" s="1115">
        <v>44961</v>
      </c>
      <c r="C843" s="242">
        <f t="shared" si="27"/>
        <v>2</v>
      </c>
      <c r="D843" s="242">
        <v>39.6</v>
      </c>
      <c r="E843" s="845">
        <f t="shared" si="28"/>
        <v>4.2222222222222232</v>
      </c>
    </row>
    <row r="844" spans="2:5">
      <c r="B844" s="1115">
        <v>44961</v>
      </c>
      <c r="C844" s="242">
        <f t="shared" si="27"/>
        <v>2</v>
      </c>
      <c r="D844" s="242">
        <v>39.6</v>
      </c>
      <c r="E844" s="845">
        <f t="shared" si="28"/>
        <v>4.2222222222222232</v>
      </c>
    </row>
    <row r="845" spans="2:5">
      <c r="B845" s="1115">
        <v>44961</v>
      </c>
      <c r="C845" s="242">
        <f t="shared" si="27"/>
        <v>2</v>
      </c>
      <c r="D845" s="242">
        <v>38.5</v>
      </c>
      <c r="E845" s="845">
        <f t="shared" si="28"/>
        <v>3.6111111111111112</v>
      </c>
    </row>
    <row r="846" spans="2:5">
      <c r="B846" s="1115">
        <v>44961</v>
      </c>
      <c r="C846" s="242">
        <f t="shared" si="27"/>
        <v>2</v>
      </c>
      <c r="D846" s="242">
        <v>36.700000000000003</v>
      </c>
      <c r="E846" s="845">
        <f t="shared" si="28"/>
        <v>2.6111111111111125</v>
      </c>
    </row>
    <row r="847" spans="2:5">
      <c r="B847" s="1115">
        <v>44961</v>
      </c>
      <c r="C847" s="242">
        <f t="shared" si="27"/>
        <v>2</v>
      </c>
      <c r="D847" s="242">
        <v>35.200000000000003</v>
      </c>
      <c r="E847" s="845">
        <f t="shared" si="28"/>
        <v>1.7777777777777792</v>
      </c>
    </row>
    <row r="848" spans="2:5">
      <c r="B848" s="1115">
        <v>44961</v>
      </c>
      <c r="C848" s="242">
        <f t="shared" si="27"/>
        <v>2</v>
      </c>
      <c r="D848" s="242">
        <v>34.5</v>
      </c>
      <c r="E848" s="845">
        <f t="shared" si="28"/>
        <v>1.3888888888888888</v>
      </c>
    </row>
    <row r="849" spans="2:5">
      <c r="B849" s="1115">
        <v>44962</v>
      </c>
      <c r="C849" s="242">
        <f t="shared" si="27"/>
        <v>2</v>
      </c>
      <c r="D849" s="242">
        <v>34.200000000000003</v>
      </c>
      <c r="E849" s="845">
        <f t="shared" si="28"/>
        <v>1.2222222222222239</v>
      </c>
    </row>
    <row r="850" spans="2:5">
      <c r="B850" s="1115">
        <v>44962</v>
      </c>
      <c r="C850" s="242">
        <f t="shared" si="27"/>
        <v>2</v>
      </c>
      <c r="D850" s="242">
        <v>34.700000000000003</v>
      </c>
      <c r="E850" s="845">
        <f t="shared" si="28"/>
        <v>1.5000000000000016</v>
      </c>
    </row>
    <row r="851" spans="2:5">
      <c r="B851" s="1115">
        <v>44962</v>
      </c>
      <c r="C851" s="242">
        <f t="shared" si="27"/>
        <v>2</v>
      </c>
      <c r="D851" s="242">
        <v>37.9</v>
      </c>
      <c r="E851" s="845">
        <f t="shared" si="28"/>
        <v>3.2777777777777768</v>
      </c>
    </row>
    <row r="852" spans="2:5">
      <c r="B852" s="1115">
        <v>44962</v>
      </c>
      <c r="C852" s="242">
        <f t="shared" si="27"/>
        <v>2</v>
      </c>
      <c r="D852" s="242">
        <v>38.799999999999997</v>
      </c>
      <c r="E852" s="845">
        <f t="shared" si="28"/>
        <v>3.7777777777777759</v>
      </c>
    </row>
    <row r="853" spans="2:5">
      <c r="B853" s="1115">
        <v>44962</v>
      </c>
      <c r="C853" s="242">
        <f t="shared" si="27"/>
        <v>2</v>
      </c>
      <c r="D853" s="242">
        <v>39.6</v>
      </c>
      <c r="E853" s="845">
        <f t="shared" si="28"/>
        <v>4.2222222222222232</v>
      </c>
    </row>
    <row r="854" spans="2:5">
      <c r="B854" s="1115">
        <v>44962</v>
      </c>
      <c r="C854" s="242">
        <f t="shared" si="27"/>
        <v>2</v>
      </c>
      <c r="D854" s="242">
        <v>40.1</v>
      </c>
      <c r="E854" s="845">
        <f t="shared" si="28"/>
        <v>4.5000000000000009</v>
      </c>
    </row>
    <row r="855" spans="2:5">
      <c r="B855" s="1115">
        <v>44962</v>
      </c>
      <c r="C855" s="242">
        <f t="shared" si="27"/>
        <v>2</v>
      </c>
      <c r="D855" s="242">
        <v>39.9</v>
      </c>
      <c r="E855" s="845">
        <f t="shared" si="28"/>
        <v>4.3888888888888884</v>
      </c>
    </row>
    <row r="856" spans="2:5">
      <c r="B856" s="1115">
        <v>44962</v>
      </c>
      <c r="C856" s="242">
        <f t="shared" si="27"/>
        <v>2</v>
      </c>
      <c r="D856" s="242">
        <v>39.4</v>
      </c>
      <c r="E856" s="845">
        <f t="shared" si="28"/>
        <v>4.1111111111111098</v>
      </c>
    </row>
    <row r="857" spans="2:5">
      <c r="B857" s="1115">
        <v>44962</v>
      </c>
      <c r="C857" s="242">
        <f t="shared" si="27"/>
        <v>2</v>
      </c>
      <c r="D857" s="242" t="s">
        <v>1839</v>
      </c>
      <c r="E857" s="845">
        <f t="shared" si="28"/>
        <v>3.8888888888888888</v>
      </c>
    </row>
    <row r="858" spans="2:5">
      <c r="B858" s="1115">
        <v>44962</v>
      </c>
      <c r="C858" s="242">
        <f t="shared" si="27"/>
        <v>2</v>
      </c>
      <c r="D858" s="242">
        <v>37.9</v>
      </c>
      <c r="E858" s="845">
        <f t="shared" si="28"/>
        <v>3.2777777777777768</v>
      </c>
    </row>
    <row r="859" spans="2:5">
      <c r="B859" s="1115">
        <v>44962</v>
      </c>
      <c r="C859" s="242">
        <f t="shared" si="27"/>
        <v>2</v>
      </c>
      <c r="D859" s="242">
        <v>36.299999999999997</v>
      </c>
      <c r="E859" s="845">
        <f t="shared" si="28"/>
        <v>2.3888888888888871</v>
      </c>
    </row>
    <row r="860" spans="2:5">
      <c r="B860" s="1115">
        <v>44962</v>
      </c>
      <c r="C860" s="242">
        <f t="shared" si="27"/>
        <v>2</v>
      </c>
      <c r="D860" s="242">
        <v>35.200000000000003</v>
      </c>
      <c r="E860" s="845">
        <f t="shared" si="28"/>
        <v>1.7777777777777792</v>
      </c>
    </row>
    <row r="861" spans="2:5">
      <c r="B861" s="1115">
        <v>44962</v>
      </c>
      <c r="C861" s="242">
        <f t="shared" si="27"/>
        <v>2</v>
      </c>
      <c r="D861" s="242">
        <v>35.200000000000003</v>
      </c>
      <c r="E861" s="845">
        <f t="shared" si="28"/>
        <v>1.7777777777777792</v>
      </c>
    </row>
    <row r="862" spans="2:5">
      <c r="B862" s="1115">
        <v>44962</v>
      </c>
      <c r="C862" s="242">
        <f t="shared" si="27"/>
        <v>2</v>
      </c>
      <c r="D862" s="242">
        <v>36.299999999999997</v>
      </c>
      <c r="E862" s="845">
        <f t="shared" si="28"/>
        <v>2.3888888888888871</v>
      </c>
    </row>
    <row r="863" spans="2:5">
      <c r="B863" s="1115">
        <v>44962</v>
      </c>
      <c r="C863" s="242">
        <f t="shared" si="27"/>
        <v>2</v>
      </c>
      <c r="D863" s="242">
        <v>37.9</v>
      </c>
      <c r="E863" s="845">
        <f t="shared" si="28"/>
        <v>3.2777777777777768</v>
      </c>
    </row>
    <row r="864" spans="2:5">
      <c r="B864" s="1115">
        <v>44962</v>
      </c>
      <c r="C864" s="242">
        <f t="shared" si="27"/>
        <v>2</v>
      </c>
      <c r="D864" s="242" t="s">
        <v>1839</v>
      </c>
      <c r="E864" s="845">
        <f t="shared" si="28"/>
        <v>3.8888888888888888</v>
      </c>
    </row>
    <row r="865" spans="2:5">
      <c r="B865" s="1115">
        <v>44962</v>
      </c>
      <c r="C865" s="242">
        <f t="shared" si="27"/>
        <v>2</v>
      </c>
      <c r="D865" s="242">
        <v>39.9</v>
      </c>
      <c r="E865" s="845">
        <f t="shared" si="28"/>
        <v>4.3888888888888884</v>
      </c>
    </row>
    <row r="866" spans="2:5">
      <c r="B866" s="1115">
        <v>44962</v>
      </c>
      <c r="C866" s="242">
        <f t="shared" si="27"/>
        <v>2</v>
      </c>
      <c r="D866" s="242">
        <v>40.5</v>
      </c>
      <c r="E866" s="845">
        <f t="shared" si="28"/>
        <v>4.7222222222222223</v>
      </c>
    </row>
    <row r="867" spans="2:5">
      <c r="B867" s="1115">
        <v>44962</v>
      </c>
      <c r="C867" s="242">
        <f t="shared" si="27"/>
        <v>2</v>
      </c>
      <c r="D867" s="242">
        <v>40.799999999999997</v>
      </c>
      <c r="E867" s="845">
        <f t="shared" si="28"/>
        <v>4.8888888888888875</v>
      </c>
    </row>
    <row r="868" spans="2:5">
      <c r="B868" s="1115">
        <v>44962</v>
      </c>
      <c r="C868" s="242">
        <f t="shared" si="27"/>
        <v>2</v>
      </c>
      <c r="D868" s="242">
        <v>40.799999999999997</v>
      </c>
      <c r="E868" s="845">
        <f t="shared" si="28"/>
        <v>4.8888888888888875</v>
      </c>
    </row>
    <row r="869" spans="2:5">
      <c r="B869" s="1115">
        <v>44962</v>
      </c>
      <c r="C869" s="242">
        <f t="shared" si="27"/>
        <v>2</v>
      </c>
      <c r="D869" s="242">
        <v>40.299999999999997</v>
      </c>
      <c r="E869" s="845">
        <f t="shared" si="28"/>
        <v>4.6111111111111098</v>
      </c>
    </row>
    <row r="870" spans="2:5">
      <c r="B870" s="1115">
        <v>44962</v>
      </c>
      <c r="C870" s="242">
        <f t="shared" si="27"/>
        <v>2</v>
      </c>
      <c r="D870" s="242">
        <v>39.200000000000003</v>
      </c>
      <c r="E870" s="845">
        <f t="shared" si="28"/>
        <v>4.0000000000000018</v>
      </c>
    </row>
    <row r="871" spans="2:5">
      <c r="B871" s="1115">
        <v>44962</v>
      </c>
      <c r="C871" s="242">
        <f t="shared" si="27"/>
        <v>2</v>
      </c>
      <c r="D871" s="242">
        <v>37.6</v>
      </c>
      <c r="E871" s="845">
        <f t="shared" si="28"/>
        <v>3.1111111111111116</v>
      </c>
    </row>
    <row r="872" spans="2:5">
      <c r="B872" s="1115">
        <v>44962</v>
      </c>
      <c r="C872" s="242">
        <f t="shared" si="27"/>
        <v>2</v>
      </c>
      <c r="D872" s="242">
        <v>36.5</v>
      </c>
      <c r="E872" s="845">
        <f t="shared" si="28"/>
        <v>2.5</v>
      </c>
    </row>
    <row r="873" spans="2:5">
      <c r="B873" s="1115">
        <v>44963</v>
      </c>
      <c r="C873" s="242">
        <f t="shared" si="27"/>
        <v>2</v>
      </c>
      <c r="D873" s="242">
        <v>35.799999999999997</v>
      </c>
      <c r="E873" s="845">
        <f t="shared" si="28"/>
        <v>2.1111111111111094</v>
      </c>
    </row>
    <row r="874" spans="2:5">
      <c r="B874" s="1115">
        <v>44963</v>
      </c>
      <c r="C874" s="242">
        <f t="shared" si="27"/>
        <v>2</v>
      </c>
      <c r="D874" s="242">
        <v>35.799999999999997</v>
      </c>
      <c r="E874" s="845">
        <f t="shared" si="28"/>
        <v>2.1111111111111094</v>
      </c>
    </row>
    <row r="875" spans="2:5">
      <c r="B875" s="1115">
        <v>44963</v>
      </c>
      <c r="C875" s="242">
        <f t="shared" si="27"/>
        <v>2</v>
      </c>
      <c r="D875" s="242">
        <v>37.200000000000003</v>
      </c>
      <c r="E875" s="845">
        <f t="shared" si="28"/>
        <v>2.8888888888888906</v>
      </c>
    </row>
    <row r="876" spans="2:5">
      <c r="B876" s="1115">
        <v>44963</v>
      </c>
      <c r="C876" s="242">
        <f t="shared" si="27"/>
        <v>2</v>
      </c>
      <c r="D876" s="242">
        <v>38.700000000000003</v>
      </c>
      <c r="E876" s="845">
        <f t="shared" si="28"/>
        <v>3.7222222222222237</v>
      </c>
    </row>
    <row r="877" spans="2:5">
      <c r="B877" s="1115">
        <v>44963</v>
      </c>
      <c r="C877" s="242">
        <f t="shared" si="27"/>
        <v>2</v>
      </c>
      <c r="D877" s="242">
        <v>39.6</v>
      </c>
      <c r="E877" s="845">
        <f t="shared" si="28"/>
        <v>4.2222222222222232</v>
      </c>
    </row>
    <row r="878" spans="2:5">
      <c r="B878" s="1115">
        <v>44963</v>
      </c>
      <c r="C878" s="242">
        <f t="shared" si="27"/>
        <v>2</v>
      </c>
      <c r="D878" s="242">
        <v>40.299999999999997</v>
      </c>
      <c r="E878" s="845">
        <f t="shared" si="28"/>
        <v>4.6111111111111098</v>
      </c>
    </row>
    <row r="879" spans="2:5">
      <c r="B879" s="1115">
        <v>44963</v>
      </c>
      <c r="C879" s="242">
        <f t="shared" si="27"/>
        <v>2</v>
      </c>
      <c r="D879" s="242" t="s">
        <v>1837</v>
      </c>
      <c r="E879" s="845">
        <f t="shared" si="28"/>
        <v>5</v>
      </c>
    </row>
    <row r="880" spans="2:5">
      <c r="B880" s="1115">
        <v>44963</v>
      </c>
      <c r="C880" s="242">
        <f t="shared" si="27"/>
        <v>2</v>
      </c>
      <c r="D880" s="242">
        <v>40.799999999999997</v>
      </c>
      <c r="E880" s="845">
        <f t="shared" si="28"/>
        <v>4.8888888888888875</v>
      </c>
    </row>
    <row r="881" spans="2:5">
      <c r="B881" s="1115">
        <v>44963</v>
      </c>
      <c r="C881" s="242">
        <f t="shared" si="27"/>
        <v>2</v>
      </c>
      <c r="D881" s="242">
        <v>40.799999999999997</v>
      </c>
      <c r="E881" s="845">
        <f t="shared" si="28"/>
        <v>4.8888888888888875</v>
      </c>
    </row>
    <row r="882" spans="2:5">
      <c r="B882" s="1115">
        <v>44963</v>
      </c>
      <c r="C882" s="242">
        <f t="shared" si="27"/>
        <v>2</v>
      </c>
      <c r="D882" s="242">
        <v>39.700000000000003</v>
      </c>
      <c r="E882" s="845">
        <f t="shared" si="28"/>
        <v>4.2777777777777795</v>
      </c>
    </row>
    <row r="883" spans="2:5">
      <c r="B883" s="1115">
        <v>44963</v>
      </c>
      <c r="C883" s="242">
        <f t="shared" si="27"/>
        <v>2</v>
      </c>
      <c r="D883" s="242">
        <v>37.9</v>
      </c>
      <c r="E883" s="845">
        <f t="shared" si="28"/>
        <v>3.2777777777777768</v>
      </c>
    </row>
    <row r="884" spans="2:5">
      <c r="B884" s="1115">
        <v>44963</v>
      </c>
      <c r="C884" s="242">
        <f t="shared" si="27"/>
        <v>2</v>
      </c>
      <c r="D884" s="242">
        <v>36.700000000000003</v>
      </c>
      <c r="E884" s="845">
        <f t="shared" si="28"/>
        <v>2.6111111111111125</v>
      </c>
    </row>
    <row r="885" spans="2:5">
      <c r="B885" s="1115">
        <v>44963</v>
      </c>
      <c r="C885" s="242">
        <f t="shared" si="27"/>
        <v>2</v>
      </c>
      <c r="D885" s="242" t="s">
        <v>1841</v>
      </c>
      <c r="E885" s="845">
        <f t="shared" si="28"/>
        <v>2.2222222222222223</v>
      </c>
    </row>
    <row r="886" spans="2:5">
      <c r="B886" s="1115">
        <v>44963</v>
      </c>
      <c r="C886" s="242">
        <f t="shared" si="27"/>
        <v>2</v>
      </c>
      <c r="D886" s="242" t="s">
        <v>1841</v>
      </c>
      <c r="E886" s="845">
        <f t="shared" si="28"/>
        <v>2.2222222222222223</v>
      </c>
    </row>
    <row r="887" spans="2:5">
      <c r="B887" s="1115">
        <v>44963</v>
      </c>
      <c r="C887" s="242">
        <f t="shared" si="27"/>
        <v>2</v>
      </c>
      <c r="D887" s="242">
        <v>37.4</v>
      </c>
      <c r="E887" s="845">
        <f t="shared" si="28"/>
        <v>2.9999999999999991</v>
      </c>
    </row>
    <row r="888" spans="2:5">
      <c r="B888" s="1115">
        <v>44963</v>
      </c>
      <c r="C888" s="242">
        <f t="shared" si="27"/>
        <v>2</v>
      </c>
      <c r="D888" s="242">
        <v>38.799999999999997</v>
      </c>
      <c r="E888" s="845">
        <f t="shared" si="28"/>
        <v>3.7777777777777759</v>
      </c>
    </row>
    <row r="889" spans="2:5">
      <c r="B889" s="1115">
        <v>44963</v>
      </c>
      <c r="C889" s="242">
        <f t="shared" si="27"/>
        <v>2</v>
      </c>
      <c r="D889" s="242">
        <v>40.1</v>
      </c>
      <c r="E889" s="845">
        <f t="shared" si="28"/>
        <v>4.5000000000000009</v>
      </c>
    </row>
    <row r="890" spans="2:5">
      <c r="B890" s="1115">
        <v>44963</v>
      </c>
      <c r="C890" s="242">
        <f t="shared" si="27"/>
        <v>2</v>
      </c>
      <c r="D890" s="242">
        <v>41.2</v>
      </c>
      <c r="E890" s="845">
        <f t="shared" si="28"/>
        <v>5.1111111111111125</v>
      </c>
    </row>
    <row r="891" spans="2:5">
      <c r="B891" s="1115">
        <v>44963</v>
      </c>
      <c r="C891" s="242">
        <f t="shared" si="27"/>
        <v>2</v>
      </c>
      <c r="D891" s="242">
        <v>41.4</v>
      </c>
      <c r="E891" s="845">
        <f t="shared" si="28"/>
        <v>5.2222222222222214</v>
      </c>
    </row>
    <row r="892" spans="2:5">
      <c r="B892" s="1115">
        <v>44963</v>
      </c>
      <c r="C892" s="242">
        <f t="shared" si="27"/>
        <v>2</v>
      </c>
      <c r="D892" s="242">
        <v>41.5</v>
      </c>
      <c r="E892" s="845">
        <f t="shared" si="28"/>
        <v>5.2777777777777777</v>
      </c>
    </row>
    <row r="893" spans="2:5">
      <c r="B893" s="1115">
        <v>44963</v>
      </c>
      <c r="C893" s="242">
        <f t="shared" si="27"/>
        <v>2</v>
      </c>
      <c r="D893" s="242">
        <v>41.2</v>
      </c>
      <c r="E893" s="845">
        <f t="shared" si="28"/>
        <v>5.1111111111111125</v>
      </c>
    </row>
    <row r="894" spans="2:5">
      <c r="B894" s="1115">
        <v>44963</v>
      </c>
      <c r="C894" s="242">
        <f t="shared" si="27"/>
        <v>2</v>
      </c>
      <c r="D894" s="242">
        <v>40.5</v>
      </c>
      <c r="E894" s="845">
        <f t="shared" si="28"/>
        <v>4.7222222222222223</v>
      </c>
    </row>
    <row r="895" spans="2:5">
      <c r="B895" s="1115">
        <v>44963</v>
      </c>
      <c r="C895" s="242">
        <f t="shared" si="27"/>
        <v>2</v>
      </c>
      <c r="D895" s="242">
        <v>38.799999999999997</v>
      </c>
      <c r="E895" s="845">
        <f t="shared" si="28"/>
        <v>3.7777777777777759</v>
      </c>
    </row>
    <row r="896" spans="2:5">
      <c r="B896" s="1115">
        <v>44963</v>
      </c>
      <c r="C896" s="242">
        <f t="shared" si="27"/>
        <v>2</v>
      </c>
      <c r="D896" s="242">
        <v>37.6</v>
      </c>
      <c r="E896" s="845">
        <f t="shared" si="28"/>
        <v>3.1111111111111116</v>
      </c>
    </row>
    <row r="897" spans="2:5">
      <c r="B897" s="1115">
        <v>44964</v>
      </c>
      <c r="C897" s="242">
        <f t="shared" si="27"/>
        <v>2</v>
      </c>
      <c r="D897" s="242">
        <v>36.700000000000003</v>
      </c>
      <c r="E897" s="845">
        <f t="shared" si="28"/>
        <v>2.6111111111111125</v>
      </c>
    </row>
    <row r="898" spans="2:5">
      <c r="B898" s="1115">
        <v>44964</v>
      </c>
      <c r="C898" s="242">
        <f t="shared" si="27"/>
        <v>2</v>
      </c>
      <c r="D898" s="242">
        <v>36.1</v>
      </c>
      <c r="E898" s="845">
        <f t="shared" si="28"/>
        <v>2.2777777777777786</v>
      </c>
    </row>
    <row r="899" spans="2:5">
      <c r="B899" s="1115">
        <v>44964</v>
      </c>
      <c r="C899" s="242">
        <f t="shared" si="27"/>
        <v>2</v>
      </c>
      <c r="D899" s="242">
        <v>36.9</v>
      </c>
      <c r="E899" s="845">
        <f t="shared" si="28"/>
        <v>2.7222222222222214</v>
      </c>
    </row>
    <row r="900" spans="2:5">
      <c r="B900" s="1115">
        <v>44964</v>
      </c>
      <c r="C900" s="242">
        <f t="shared" si="27"/>
        <v>2</v>
      </c>
      <c r="D900" s="242">
        <v>38.700000000000003</v>
      </c>
      <c r="E900" s="845">
        <f t="shared" si="28"/>
        <v>3.7222222222222237</v>
      </c>
    </row>
    <row r="901" spans="2:5">
      <c r="B901" s="1115">
        <v>44964</v>
      </c>
      <c r="C901" s="242">
        <f t="shared" si="27"/>
        <v>2</v>
      </c>
      <c r="D901" s="242">
        <v>39.4</v>
      </c>
      <c r="E901" s="845">
        <f t="shared" si="28"/>
        <v>4.1111111111111098</v>
      </c>
    </row>
    <row r="902" spans="2:5">
      <c r="B902" s="1115">
        <v>44964</v>
      </c>
      <c r="C902" s="242">
        <f t="shared" si="27"/>
        <v>2</v>
      </c>
      <c r="D902" s="242">
        <v>40.299999999999997</v>
      </c>
      <c r="E902" s="845">
        <f t="shared" si="28"/>
        <v>4.6111111111111098</v>
      </c>
    </row>
    <row r="903" spans="2:5">
      <c r="B903" s="1115">
        <v>44964</v>
      </c>
      <c r="C903" s="242">
        <f t="shared" si="27"/>
        <v>2</v>
      </c>
      <c r="D903" s="242">
        <v>40.5</v>
      </c>
      <c r="E903" s="845">
        <f t="shared" si="28"/>
        <v>4.7222222222222223</v>
      </c>
    </row>
    <row r="904" spans="2:5">
      <c r="B904" s="1115">
        <v>44964</v>
      </c>
      <c r="C904" s="242">
        <f t="shared" si="27"/>
        <v>2</v>
      </c>
      <c r="D904" s="242">
        <v>40.5</v>
      </c>
      <c r="E904" s="845">
        <f t="shared" si="28"/>
        <v>4.7222222222222223</v>
      </c>
    </row>
    <row r="905" spans="2:5">
      <c r="B905" s="1115">
        <v>44964</v>
      </c>
      <c r="C905" s="242">
        <f t="shared" si="27"/>
        <v>2</v>
      </c>
      <c r="D905" s="242">
        <v>40.299999999999997</v>
      </c>
      <c r="E905" s="845">
        <f t="shared" si="28"/>
        <v>4.6111111111111098</v>
      </c>
    </row>
    <row r="906" spans="2:5">
      <c r="B906" s="1115">
        <v>44964</v>
      </c>
      <c r="C906" s="242">
        <f t="shared" ref="C906:C969" si="29">MONTH(B906)</f>
        <v>2</v>
      </c>
      <c r="D906" s="242">
        <v>39.9</v>
      </c>
      <c r="E906" s="845">
        <f t="shared" ref="E906:E969" si="30">CONVERT(D906,"F","C")</f>
        <v>4.3888888888888884</v>
      </c>
    </row>
    <row r="907" spans="2:5">
      <c r="B907" s="1115">
        <v>44964</v>
      </c>
      <c r="C907" s="242">
        <f t="shared" si="29"/>
        <v>2</v>
      </c>
      <c r="D907" s="242" t="s">
        <v>1839</v>
      </c>
      <c r="E907" s="845">
        <f t="shared" si="30"/>
        <v>3.8888888888888888</v>
      </c>
    </row>
    <row r="908" spans="2:5">
      <c r="B908" s="1115">
        <v>44964</v>
      </c>
      <c r="C908" s="242">
        <f t="shared" si="29"/>
        <v>2</v>
      </c>
      <c r="D908" s="242">
        <v>37.6</v>
      </c>
      <c r="E908" s="845">
        <f t="shared" si="30"/>
        <v>3.1111111111111116</v>
      </c>
    </row>
    <row r="909" spans="2:5">
      <c r="B909" s="1115">
        <v>44964</v>
      </c>
      <c r="C909" s="242">
        <f t="shared" si="29"/>
        <v>2</v>
      </c>
      <c r="D909" s="242">
        <v>36.9</v>
      </c>
      <c r="E909" s="845">
        <f t="shared" si="30"/>
        <v>2.7222222222222214</v>
      </c>
    </row>
    <row r="910" spans="2:5">
      <c r="B910" s="1115">
        <v>44964</v>
      </c>
      <c r="C910" s="242">
        <f t="shared" si="29"/>
        <v>2</v>
      </c>
      <c r="D910" s="242">
        <v>36.299999999999997</v>
      </c>
      <c r="E910" s="845">
        <f t="shared" si="30"/>
        <v>2.3888888888888871</v>
      </c>
    </row>
    <row r="911" spans="2:5">
      <c r="B911" s="1115">
        <v>44964</v>
      </c>
      <c r="C911" s="242">
        <f t="shared" si="29"/>
        <v>2</v>
      </c>
      <c r="D911" s="242" t="s">
        <v>1840</v>
      </c>
      <c r="E911" s="845">
        <f t="shared" si="30"/>
        <v>2.7777777777777777</v>
      </c>
    </row>
    <row r="912" spans="2:5">
      <c r="B912" s="1115">
        <v>44964</v>
      </c>
      <c r="C912" s="242">
        <f t="shared" si="29"/>
        <v>2</v>
      </c>
      <c r="D912" s="242">
        <v>38.700000000000003</v>
      </c>
      <c r="E912" s="845">
        <f t="shared" si="30"/>
        <v>3.7222222222222237</v>
      </c>
    </row>
    <row r="913" spans="2:5">
      <c r="B913" s="1115">
        <v>44964</v>
      </c>
      <c r="C913" s="242">
        <f t="shared" si="29"/>
        <v>2</v>
      </c>
      <c r="D913" s="242">
        <v>39.200000000000003</v>
      </c>
      <c r="E913" s="845">
        <f t="shared" si="30"/>
        <v>4.0000000000000018</v>
      </c>
    </row>
    <row r="914" spans="2:5">
      <c r="B914" s="1115">
        <v>44964</v>
      </c>
      <c r="C914" s="242">
        <f t="shared" si="29"/>
        <v>2</v>
      </c>
      <c r="D914" s="242">
        <v>39.6</v>
      </c>
      <c r="E914" s="845">
        <f t="shared" si="30"/>
        <v>4.2222222222222232</v>
      </c>
    </row>
    <row r="915" spans="2:5">
      <c r="B915" s="1115">
        <v>44964</v>
      </c>
      <c r="C915" s="242">
        <f t="shared" si="29"/>
        <v>2</v>
      </c>
      <c r="D915" s="242">
        <v>39.6</v>
      </c>
      <c r="E915" s="845">
        <f t="shared" si="30"/>
        <v>4.2222222222222232</v>
      </c>
    </row>
    <row r="916" spans="2:5">
      <c r="B916" s="1115">
        <v>44964</v>
      </c>
      <c r="C916" s="242">
        <f t="shared" si="29"/>
        <v>2</v>
      </c>
      <c r="D916" s="242">
        <v>39.6</v>
      </c>
      <c r="E916" s="845">
        <f t="shared" si="30"/>
        <v>4.2222222222222232</v>
      </c>
    </row>
    <row r="917" spans="2:5">
      <c r="B917" s="1115">
        <v>44964</v>
      </c>
      <c r="C917" s="242">
        <f t="shared" si="29"/>
        <v>2</v>
      </c>
      <c r="D917" s="242">
        <v>39.4</v>
      </c>
      <c r="E917" s="845">
        <f t="shared" si="30"/>
        <v>4.1111111111111098</v>
      </c>
    </row>
    <row r="918" spans="2:5">
      <c r="B918" s="1115">
        <v>44964</v>
      </c>
      <c r="C918" s="242">
        <f t="shared" si="29"/>
        <v>2</v>
      </c>
      <c r="D918" s="242">
        <v>39.4</v>
      </c>
      <c r="E918" s="845">
        <f t="shared" si="30"/>
        <v>4.1111111111111098</v>
      </c>
    </row>
    <row r="919" spans="2:5">
      <c r="B919" s="1115">
        <v>44964</v>
      </c>
      <c r="C919" s="242">
        <f t="shared" si="29"/>
        <v>2</v>
      </c>
      <c r="D919" s="242">
        <v>39.200000000000003</v>
      </c>
      <c r="E919" s="845">
        <f t="shared" si="30"/>
        <v>4.0000000000000018</v>
      </c>
    </row>
    <row r="920" spans="2:5">
      <c r="B920" s="1115">
        <v>44964</v>
      </c>
      <c r="C920" s="242">
        <f t="shared" si="29"/>
        <v>2</v>
      </c>
      <c r="D920" s="242">
        <v>38.299999999999997</v>
      </c>
      <c r="E920" s="845">
        <f t="shared" si="30"/>
        <v>3.4999999999999982</v>
      </c>
    </row>
    <row r="921" spans="2:5">
      <c r="B921" s="1115">
        <v>44965</v>
      </c>
      <c r="C921" s="242">
        <f t="shared" si="29"/>
        <v>2</v>
      </c>
      <c r="D921" s="242">
        <v>37.6</v>
      </c>
      <c r="E921" s="845">
        <f t="shared" si="30"/>
        <v>3.1111111111111116</v>
      </c>
    </row>
    <row r="922" spans="2:5">
      <c r="B922" s="1115">
        <v>44965</v>
      </c>
      <c r="C922" s="242">
        <f t="shared" si="29"/>
        <v>2</v>
      </c>
      <c r="D922" s="242">
        <v>36.9</v>
      </c>
      <c r="E922" s="845">
        <f t="shared" si="30"/>
        <v>2.7222222222222214</v>
      </c>
    </row>
    <row r="923" spans="2:5">
      <c r="B923" s="1115">
        <v>44965</v>
      </c>
      <c r="C923" s="242">
        <f t="shared" si="29"/>
        <v>2</v>
      </c>
      <c r="D923" s="242">
        <v>36.5</v>
      </c>
      <c r="E923" s="845">
        <f t="shared" si="30"/>
        <v>2.5</v>
      </c>
    </row>
    <row r="924" spans="2:5">
      <c r="B924" s="1115">
        <v>44965</v>
      </c>
      <c r="C924" s="242">
        <f t="shared" si="29"/>
        <v>2</v>
      </c>
      <c r="D924" s="242" t="s">
        <v>1840</v>
      </c>
      <c r="E924" s="845">
        <f t="shared" si="30"/>
        <v>2.7777777777777777</v>
      </c>
    </row>
    <row r="925" spans="2:5">
      <c r="B925" s="1115">
        <v>44965</v>
      </c>
      <c r="C925" s="242">
        <f t="shared" si="29"/>
        <v>2</v>
      </c>
      <c r="D925" s="242">
        <v>38.1</v>
      </c>
      <c r="E925" s="845">
        <f t="shared" si="30"/>
        <v>3.3888888888888897</v>
      </c>
    </row>
    <row r="926" spans="2:5">
      <c r="B926" s="1115">
        <v>44965</v>
      </c>
      <c r="C926" s="242">
        <f t="shared" si="29"/>
        <v>2</v>
      </c>
      <c r="D926" s="242">
        <v>38.5</v>
      </c>
      <c r="E926" s="845">
        <f t="shared" si="30"/>
        <v>3.6111111111111112</v>
      </c>
    </row>
    <row r="927" spans="2:5">
      <c r="B927" s="1115">
        <v>44965</v>
      </c>
      <c r="C927" s="242">
        <f t="shared" si="29"/>
        <v>2</v>
      </c>
      <c r="D927" s="242">
        <v>38.700000000000003</v>
      </c>
      <c r="E927" s="845">
        <f t="shared" si="30"/>
        <v>3.7222222222222237</v>
      </c>
    </row>
    <row r="928" spans="2:5">
      <c r="B928" s="1115">
        <v>44965</v>
      </c>
      <c r="C928" s="242">
        <f t="shared" si="29"/>
        <v>2</v>
      </c>
      <c r="D928" s="242">
        <v>38.799999999999997</v>
      </c>
      <c r="E928" s="845">
        <f t="shared" si="30"/>
        <v>3.7777777777777759</v>
      </c>
    </row>
    <row r="929" spans="2:5">
      <c r="B929" s="1115">
        <v>44965</v>
      </c>
      <c r="C929" s="242">
        <f t="shared" si="29"/>
        <v>2</v>
      </c>
      <c r="D929" s="242" t="s">
        <v>1839</v>
      </c>
      <c r="E929" s="845">
        <f t="shared" si="30"/>
        <v>3.8888888888888888</v>
      </c>
    </row>
    <row r="930" spans="2:5">
      <c r="B930" s="1115">
        <v>44965</v>
      </c>
      <c r="C930" s="242">
        <f t="shared" si="29"/>
        <v>2</v>
      </c>
      <c r="D930" s="242">
        <v>38.799999999999997</v>
      </c>
      <c r="E930" s="845">
        <f t="shared" si="30"/>
        <v>3.7777777777777759</v>
      </c>
    </row>
    <row r="931" spans="2:5">
      <c r="B931" s="1115">
        <v>44965</v>
      </c>
      <c r="C931" s="242">
        <f t="shared" si="29"/>
        <v>2</v>
      </c>
      <c r="D931" s="242">
        <v>38.299999999999997</v>
      </c>
      <c r="E931" s="845">
        <f t="shared" si="30"/>
        <v>3.4999999999999982</v>
      </c>
    </row>
    <row r="932" spans="2:5">
      <c r="B932" s="1115">
        <v>44965</v>
      </c>
      <c r="C932" s="242">
        <f t="shared" si="29"/>
        <v>2</v>
      </c>
      <c r="D932" s="242">
        <v>37.4</v>
      </c>
      <c r="E932" s="845">
        <f t="shared" si="30"/>
        <v>2.9999999999999991</v>
      </c>
    </row>
    <row r="933" spans="2:5">
      <c r="B933" s="1115">
        <v>44965</v>
      </c>
      <c r="C933" s="242">
        <f t="shared" si="29"/>
        <v>2</v>
      </c>
      <c r="D933" s="242">
        <v>36.5</v>
      </c>
      <c r="E933" s="845">
        <f t="shared" si="30"/>
        <v>2.5</v>
      </c>
    </row>
    <row r="934" spans="2:5">
      <c r="B934" s="1115">
        <v>44965</v>
      </c>
      <c r="C934" s="242">
        <f t="shared" si="29"/>
        <v>2</v>
      </c>
      <c r="D934" s="242" t="s">
        <v>1841</v>
      </c>
      <c r="E934" s="845">
        <f t="shared" si="30"/>
        <v>2.2222222222222223</v>
      </c>
    </row>
    <row r="935" spans="2:5">
      <c r="B935" s="1115">
        <v>44965</v>
      </c>
      <c r="C935" s="242">
        <f t="shared" si="29"/>
        <v>2</v>
      </c>
      <c r="D935" s="242">
        <v>35.799999999999997</v>
      </c>
      <c r="E935" s="845">
        <f t="shared" si="30"/>
        <v>2.1111111111111094</v>
      </c>
    </row>
    <row r="936" spans="2:5">
      <c r="B936" s="1115">
        <v>44965</v>
      </c>
      <c r="C936" s="242">
        <f t="shared" si="29"/>
        <v>2</v>
      </c>
      <c r="D936" s="242">
        <v>36.1</v>
      </c>
      <c r="E936" s="845">
        <f t="shared" si="30"/>
        <v>2.2777777777777786</v>
      </c>
    </row>
    <row r="937" spans="2:5">
      <c r="B937" s="1115">
        <v>44965</v>
      </c>
      <c r="C937" s="242">
        <f t="shared" si="29"/>
        <v>2</v>
      </c>
      <c r="D937" s="242">
        <v>37.6</v>
      </c>
      <c r="E937" s="845">
        <f t="shared" si="30"/>
        <v>3.1111111111111116</v>
      </c>
    </row>
    <row r="938" spans="2:5">
      <c r="B938" s="1115">
        <v>44965</v>
      </c>
      <c r="C938" s="242">
        <f t="shared" si="29"/>
        <v>2</v>
      </c>
      <c r="D938" s="242">
        <v>38.1</v>
      </c>
      <c r="E938" s="845">
        <f t="shared" si="30"/>
        <v>3.3888888888888897</v>
      </c>
    </row>
    <row r="939" spans="2:5">
      <c r="B939" s="1115">
        <v>44965</v>
      </c>
      <c r="C939" s="242">
        <f t="shared" si="29"/>
        <v>2</v>
      </c>
      <c r="D939" s="242">
        <v>38.700000000000003</v>
      </c>
      <c r="E939" s="845">
        <f t="shared" si="30"/>
        <v>3.7222222222222237</v>
      </c>
    </row>
    <row r="940" spans="2:5">
      <c r="B940" s="1115">
        <v>44965</v>
      </c>
      <c r="C940" s="242">
        <f t="shared" si="29"/>
        <v>2</v>
      </c>
      <c r="D940" s="242">
        <v>39.200000000000003</v>
      </c>
      <c r="E940" s="845">
        <f t="shared" si="30"/>
        <v>4.0000000000000018</v>
      </c>
    </row>
    <row r="941" spans="2:5">
      <c r="B941" s="1115">
        <v>44965</v>
      </c>
      <c r="C941" s="242">
        <f t="shared" si="29"/>
        <v>2</v>
      </c>
      <c r="D941" s="242">
        <v>39.4</v>
      </c>
      <c r="E941" s="845">
        <f t="shared" si="30"/>
        <v>4.1111111111111098</v>
      </c>
    </row>
    <row r="942" spans="2:5">
      <c r="B942" s="1115">
        <v>44965</v>
      </c>
      <c r="C942" s="242">
        <f t="shared" si="29"/>
        <v>2</v>
      </c>
      <c r="D942" s="242">
        <v>39.200000000000003</v>
      </c>
      <c r="E942" s="845">
        <f t="shared" si="30"/>
        <v>4.0000000000000018</v>
      </c>
    </row>
    <row r="943" spans="2:5">
      <c r="B943" s="1115">
        <v>44965</v>
      </c>
      <c r="C943" s="242">
        <f t="shared" si="29"/>
        <v>2</v>
      </c>
      <c r="D943" s="242">
        <v>38.700000000000003</v>
      </c>
      <c r="E943" s="845">
        <f t="shared" si="30"/>
        <v>3.7222222222222237</v>
      </c>
    </row>
    <row r="944" spans="2:5">
      <c r="B944" s="1115">
        <v>44965</v>
      </c>
      <c r="C944" s="242">
        <f t="shared" si="29"/>
        <v>2</v>
      </c>
      <c r="D944" s="242">
        <v>37.799999999999997</v>
      </c>
      <c r="E944" s="845">
        <f t="shared" si="30"/>
        <v>3.2222222222222205</v>
      </c>
    </row>
    <row r="945" spans="2:5">
      <c r="B945" s="1115">
        <v>44966</v>
      </c>
      <c r="C945" s="242">
        <f t="shared" si="29"/>
        <v>2</v>
      </c>
      <c r="D945" s="242">
        <v>36.9</v>
      </c>
      <c r="E945" s="845">
        <f t="shared" si="30"/>
        <v>2.7222222222222214</v>
      </c>
    </row>
    <row r="946" spans="2:5">
      <c r="B946" s="1115">
        <v>44966</v>
      </c>
      <c r="C946" s="242">
        <f t="shared" si="29"/>
        <v>2</v>
      </c>
      <c r="D946" s="242">
        <v>36.299999999999997</v>
      </c>
      <c r="E946" s="845">
        <f t="shared" si="30"/>
        <v>2.3888888888888871</v>
      </c>
    </row>
    <row r="947" spans="2:5">
      <c r="B947" s="1115">
        <v>44966</v>
      </c>
      <c r="C947" s="242">
        <f t="shared" si="29"/>
        <v>2</v>
      </c>
      <c r="D947" s="242" t="s">
        <v>1841</v>
      </c>
      <c r="E947" s="845">
        <f t="shared" si="30"/>
        <v>2.2222222222222223</v>
      </c>
    </row>
    <row r="948" spans="2:5">
      <c r="B948" s="1115">
        <v>44966</v>
      </c>
      <c r="C948" s="242">
        <f t="shared" si="29"/>
        <v>2</v>
      </c>
      <c r="D948" s="242">
        <v>36.5</v>
      </c>
      <c r="E948" s="845">
        <f t="shared" si="30"/>
        <v>2.5</v>
      </c>
    </row>
    <row r="949" spans="2:5">
      <c r="B949" s="1115">
        <v>44966</v>
      </c>
      <c r="C949" s="242">
        <f t="shared" si="29"/>
        <v>2</v>
      </c>
      <c r="D949" s="242">
        <v>37.4</v>
      </c>
      <c r="E949" s="845">
        <f t="shared" si="30"/>
        <v>2.9999999999999991</v>
      </c>
    </row>
    <row r="950" spans="2:5">
      <c r="B950" s="1115">
        <v>44966</v>
      </c>
      <c r="C950" s="242">
        <f t="shared" si="29"/>
        <v>2</v>
      </c>
      <c r="D950" s="242">
        <v>38.299999999999997</v>
      </c>
      <c r="E950" s="845">
        <f t="shared" si="30"/>
        <v>3.4999999999999982</v>
      </c>
    </row>
    <row r="951" spans="2:5">
      <c r="B951" s="1115">
        <v>44966</v>
      </c>
      <c r="C951" s="242">
        <f t="shared" si="29"/>
        <v>2</v>
      </c>
      <c r="D951" s="242">
        <v>38.700000000000003</v>
      </c>
      <c r="E951" s="845">
        <f t="shared" si="30"/>
        <v>3.7222222222222237</v>
      </c>
    </row>
    <row r="952" spans="2:5">
      <c r="B952" s="1115">
        <v>44966</v>
      </c>
      <c r="C952" s="242">
        <f t="shared" si="29"/>
        <v>2</v>
      </c>
      <c r="D952" s="242">
        <v>39.200000000000003</v>
      </c>
      <c r="E952" s="845">
        <f t="shared" si="30"/>
        <v>4.0000000000000018</v>
      </c>
    </row>
    <row r="953" spans="2:5">
      <c r="B953" s="1115">
        <v>44966</v>
      </c>
      <c r="C953" s="242">
        <f t="shared" si="29"/>
        <v>2</v>
      </c>
      <c r="D953" s="242">
        <v>39.6</v>
      </c>
      <c r="E953" s="845">
        <f t="shared" si="30"/>
        <v>4.2222222222222232</v>
      </c>
    </row>
    <row r="954" spans="2:5">
      <c r="B954" s="1115">
        <v>44966</v>
      </c>
      <c r="C954" s="242">
        <f t="shared" si="29"/>
        <v>2</v>
      </c>
      <c r="D954" s="242">
        <v>39.200000000000003</v>
      </c>
      <c r="E954" s="845">
        <f t="shared" si="30"/>
        <v>4.0000000000000018</v>
      </c>
    </row>
    <row r="955" spans="2:5">
      <c r="B955" s="1115">
        <v>44966</v>
      </c>
      <c r="C955" s="242">
        <f t="shared" si="29"/>
        <v>2</v>
      </c>
      <c r="D955" s="242" t="s">
        <v>1839</v>
      </c>
      <c r="E955" s="845">
        <f t="shared" si="30"/>
        <v>3.8888888888888888</v>
      </c>
    </row>
    <row r="956" spans="2:5">
      <c r="B956" s="1115">
        <v>44966</v>
      </c>
      <c r="C956" s="242">
        <f t="shared" si="29"/>
        <v>2</v>
      </c>
      <c r="D956" s="242">
        <v>38.299999999999997</v>
      </c>
      <c r="E956" s="845">
        <f t="shared" si="30"/>
        <v>3.4999999999999982</v>
      </c>
    </row>
    <row r="957" spans="2:5">
      <c r="B957" s="1115">
        <v>44966</v>
      </c>
      <c r="C957" s="242">
        <f t="shared" si="29"/>
        <v>2</v>
      </c>
      <c r="D957" s="242">
        <v>37.200000000000003</v>
      </c>
      <c r="E957" s="845">
        <f t="shared" si="30"/>
        <v>2.8888888888888906</v>
      </c>
    </row>
    <row r="958" spans="2:5">
      <c r="B958" s="1115">
        <v>44966</v>
      </c>
      <c r="C958" s="242">
        <f t="shared" si="29"/>
        <v>2</v>
      </c>
      <c r="D958" s="242">
        <v>36.5</v>
      </c>
      <c r="E958" s="845">
        <f t="shared" si="30"/>
        <v>2.5</v>
      </c>
    </row>
    <row r="959" spans="2:5">
      <c r="B959" s="1115">
        <v>44966</v>
      </c>
      <c r="C959" s="242">
        <f t="shared" si="29"/>
        <v>2</v>
      </c>
      <c r="D959" s="242">
        <v>36.1</v>
      </c>
      <c r="E959" s="845">
        <f t="shared" si="30"/>
        <v>2.2777777777777786</v>
      </c>
    </row>
    <row r="960" spans="2:5">
      <c r="B960" s="1115">
        <v>44966</v>
      </c>
      <c r="C960" s="242">
        <f t="shared" si="29"/>
        <v>2</v>
      </c>
      <c r="D960" s="242">
        <v>36.5</v>
      </c>
      <c r="E960" s="845">
        <f t="shared" si="30"/>
        <v>2.5</v>
      </c>
    </row>
    <row r="961" spans="2:5">
      <c r="B961" s="1115">
        <v>44966</v>
      </c>
      <c r="C961" s="242">
        <f t="shared" si="29"/>
        <v>2</v>
      </c>
      <c r="D961" s="242">
        <v>37.4</v>
      </c>
      <c r="E961" s="845">
        <f t="shared" si="30"/>
        <v>2.9999999999999991</v>
      </c>
    </row>
    <row r="962" spans="2:5">
      <c r="B962" s="1115">
        <v>44966</v>
      </c>
      <c r="C962" s="242">
        <f t="shared" si="29"/>
        <v>2</v>
      </c>
      <c r="D962" s="242">
        <v>38.5</v>
      </c>
      <c r="E962" s="845">
        <f t="shared" si="30"/>
        <v>3.6111111111111112</v>
      </c>
    </row>
    <row r="963" spans="2:5">
      <c r="B963" s="1115">
        <v>44966</v>
      </c>
      <c r="C963" s="242">
        <f t="shared" si="29"/>
        <v>2</v>
      </c>
      <c r="D963" s="242">
        <v>39.200000000000003</v>
      </c>
      <c r="E963" s="845">
        <f t="shared" si="30"/>
        <v>4.0000000000000018</v>
      </c>
    </row>
    <row r="964" spans="2:5">
      <c r="B964" s="1115">
        <v>44966</v>
      </c>
      <c r="C964" s="242">
        <f t="shared" si="29"/>
        <v>2</v>
      </c>
      <c r="D964" s="242">
        <v>39.9</v>
      </c>
      <c r="E964" s="845">
        <f t="shared" si="30"/>
        <v>4.3888888888888884</v>
      </c>
    </row>
    <row r="965" spans="2:5">
      <c r="B965" s="1115">
        <v>44966</v>
      </c>
      <c r="C965" s="242">
        <f t="shared" si="29"/>
        <v>2</v>
      </c>
      <c r="D965" s="242">
        <v>40.299999999999997</v>
      </c>
      <c r="E965" s="845">
        <f t="shared" si="30"/>
        <v>4.6111111111111098</v>
      </c>
    </row>
    <row r="966" spans="2:5">
      <c r="B966" s="1115">
        <v>44966</v>
      </c>
      <c r="C966" s="242">
        <f t="shared" si="29"/>
        <v>2</v>
      </c>
      <c r="D966" s="242">
        <v>40.299999999999997</v>
      </c>
      <c r="E966" s="845">
        <f t="shared" si="30"/>
        <v>4.6111111111111098</v>
      </c>
    </row>
    <row r="967" spans="2:5">
      <c r="B967" s="1115">
        <v>44966</v>
      </c>
      <c r="C967" s="242">
        <f t="shared" si="29"/>
        <v>2</v>
      </c>
      <c r="D967" s="242">
        <v>40.1</v>
      </c>
      <c r="E967" s="845">
        <f t="shared" si="30"/>
        <v>4.5000000000000009</v>
      </c>
    </row>
    <row r="968" spans="2:5">
      <c r="B968" s="1115">
        <v>44966</v>
      </c>
      <c r="C968" s="242">
        <f t="shared" si="29"/>
        <v>2</v>
      </c>
      <c r="D968" s="242">
        <v>39.4</v>
      </c>
      <c r="E968" s="845">
        <f t="shared" si="30"/>
        <v>4.1111111111111098</v>
      </c>
    </row>
    <row r="969" spans="2:5">
      <c r="B969" s="1115">
        <v>44967</v>
      </c>
      <c r="C969" s="242">
        <f t="shared" si="29"/>
        <v>2</v>
      </c>
      <c r="D969" s="242">
        <v>38.299999999999997</v>
      </c>
      <c r="E969" s="845">
        <f t="shared" si="30"/>
        <v>3.4999999999999982</v>
      </c>
    </row>
    <row r="970" spans="2:5">
      <c r="B970" s="1115">
        <v>44967</v>
      </c>
      <c r="C970" s="242">
        <f t="shared" ref="C970:C1033" si="31">MONTH(B970)</f>
        <v>2</v>
      </c>
      <c r="D970" s="242">
        <v>37.4</v>
      </c>
      <c r="E970" s="845">
        <f t="shared" ref="E970:E1033" si="32">CONVERT(D970,"F","C")</f>
        <v>2.9999999999999991</v>
      </c>
    </row>
    <row r="971" spans="2:5">
      <c r="B971" s="1115">
        <v>44967</v>
      </c>
      <c r="C971" s="242">
        <f t="shared" si="31"/>
        <v>2</v>
      </c>
      <c r="D971" s="242">
        <v>36.9</v>
      </c>
      <c r="E971" s="845">
        <f t="shared" si="32"/>
        <v>2.7222222222222214</v>
      </c>
    </row>
    <row r="972" spans="2:5">
      <c r="B972" s="1115">
        <v>44967</v>
      </c>
      <c r="C972" s="242">
        <f t="shared" si="31"/>
        <v>2</v>
      </c>
      <c r="D972" s="242">
        <v>36.700000000000003</v>
      </c>
      <c r="E972" s="845">
        <f t="shared" si="32"/>
        <v>2.6111111111111125</v>
      </c>
    </row>
    <row r="973" spans="2:5">
      <c r="B973" s="1115">
        <v>44967</v>
      </c>
      <c r="C973" s="242">
        <f t="shared" si="31"/>
        <v>2</v>
      </c>
      <c r="D973" s="242">
        <v>37.200000000000003</v>
      </c>
      <c r="E973" s="845">
        <f t="shared" si="32"/>
        <v>2.8888888888888906</v>
      </c>
    </row>
    <row r="974" spans="2:5">
      <c r="B974" s="1115">
        <v>44967</v>
      </c>
      <c r="C974" s="242">
        <f t="shared" si="31"/>
        <v>2</v>
      </c>
      <c r="D974" s="242">
        <v>38.700000000000003</v>
      </c>
      <c r="E974" s="845">
        <f t="shared" si="32"/>
        <v>3.7222222222222237</v>
      </c>
    </row>
    <row r="975" spans="2:5">
      <c r="B975" s="1115">
        <v>44967</v>
      </c>
      <c r="C975" s="242">
        <f t="shared" si="31"/>
        <v>2</v>
      </c>
      <c r="D975" s="242">
        <v>39.4</v>
      </c>
      <c r="E975" s="845">
        <f t="shared" si="32"/>
        <v>4.1111111111111098</v>
      </c>
    </row>
    <row r="976" spans="2:5">
      <c r="B976" s="1115">
        <v>44967</v>
      </c>
      <c r="C976" s="242">
        <f t="shared" si="31"/>
        <v>2</v>
      </c>
      <c r="D976" s="242">
        <v>40.299999999999997</v>
      </c>
      <c r="E976" s="845">
        <f t="shared" si="32"/>
        <v>4.6111111111111098</v>
      </c>
    </row>
    <row r="977" spans="2:5">
      <c r="B977" s="1115">
        <v>44967</v>
      </c>
      <c r="C977" s="242">
        <f t="shared" si="31"/>
        <v>2</v>
      </c>
      <c r="D977" s="242">
        <v>40.5</v>
      </c>
      <c r="E977" s="845">
        <f t="shared" si="32"/>
        <v>4.7222222222222223</v>
      </c>
    </row>
    <row r="978" spans="2:5">
      <c r="B978" s="1115">
        <v>44967</v>
      </c>
      <c r="C978" s="242">
        <f t="shared" si="31"/>
        <v>2</v>
      </c>
      <c r="D978" s="242">
        <v>40.5</v>
      </c>
      <c r="E978" s="845">
        <f t="shared" si="32"/>
        <v>4.7222222222222223</v>
      </c>
    </row>
    <row r="979" spans="2:5">
      <c r="B979" s="1115">
        <v>44967</v>
      </c>
      <c r="C979" s="242">
        <f t="shared" si="31"/>
        <v>2</v>
      </c>
      <c r="D979" s="242">
        <v>40.299999999999997</v>
      </c>
      <c r="E979" s="845">
        <f t="shared" si="32"/>
        <v>4.6111111111111098</v>
      </c>
    </row>
    <row r="980" spans="2:5">
      <c r="B980" s="1115">
        <v>44967</v>
      </c>
      <c r="C980" s="242">
        <f t="shared" si="31"/>
        <v>2</v>
      </c>
      <c r="D980" s="242">
        <v>39.9</v>
      </c>
      <c r="E980" s="845">
        <f t="shared" si="32"/>
        <v>4.3888888888888884</v>
      </c>
    </row>
    <row r="981" spans="2:5">
      <c r="B981" s="1115">
        <v>44967</v>
      </c>
      <c r="C981" s="242">
        <f t="shared" si="31"/>
        <v>2</v>
      </c>
      <c r="D981" s="242" t="s">
        <v>1839</v>
      </c>
      <c r="E981" s="845">
        <f t="shared" si="32"/>
        <v>3.8888888888888888</v>
      </c>
    </row>
    <row r="982" spans="2:5">
      <c r="B982" s="1115">
        <v>44967</v>
      </c>
      <c r="C982" s="242">
        <f t="shared" si="31"/>
        <v>2</v>
      </c>
      <c r="D982" s="242">
        <v>37.9</v>
      </c>
      <c r="E982" s="845">
        <f t="shared" si="32"/>
        <v>3.2777777777777768</v>
      </c>
    </row>
    <row r="983" spans="2:5">
      <c r="B983" s="1115">
        <v>44967</v>
      </c>
      <c r="C983" s="242">
        <f t="shared" si="31"/>
        <v>2</v>
      </c>
      <c r="D983" s="242">
        <v>37.4</v>
      </c>
      <c r="E983" s="845">
        <f t="shared" si="32"/>
        <v>2.9999999999999991</v>
      </c>
    </row>
    <row r="984" spans="2:5">
      <c r="B984" s="1115">
        <v>44967</v>
      </c>
      <c r="C984" s="242">
        <f t="shared" si="31"/>
        <v>2</v>
      </c>
      <c r="D984" s="242" t="s">
        <v>1840</v>
      </c>
      <c r="E984" s="845">
        <f t="shared" si="32"/>
        <v>2.7777777777777777</v>
      </c>
    </row>
    <row r="985" spans="2:5">
      <c r="B985" s="1115">
        <v>44967</v>
      </c>
      <c r="C985" s="242">
        <f t="shared" si="31"/>
        <v>2</v>
      </c>
      <c r="D985" s="242">
        <v>37.6</v>
      </c>
      <c r="E985" s="845">
        <f t="shared" si="32"/>
        <v>3.1111111111111116</v>
      </c>
    </row>
    <row r="986" spans="2:5">
      <c r="B986" s="1115">
        <v>44967</v>
      </c>
      <c r="C986" s="242">
        <f t="shared" si="31"/>
        <v>2</v>
      </c>
      <c r="D986" s="242">
        <v>38.700000000000003</v>
      </c>
      <c r="E986" s="845">
        <f t="shared" si="32"/>
        <v>3.7222222222222237</v>
      </c>
    </row>
    <row r="987" spans="2:5">
      <c r="B987" s="1115">
        <v>44967</v>
      </c>
      <c r="C987" s="242">
        <f t="shared" si="31"/>
        <v>2</v>
      </c>
      <c r="D987" s="242">
        <v>39.4</v>
      </c>
      <c r="E987" s="845">
        <f t="shared" si="32"/>
        <v>4.1111111111111098</v>
      </c>
    </row>
    <row r="988" spans="2:5">
      <c r="B988" s="1115">
        <v>44967</v>
      </c>
      <c r="C988" s="242">
        <f t="shared" si="31"/>
        <v>2</v>
      </c>
      <c r="D988" s="242">
        <v>40.1</v>
      </c>
      <c r="E988" s="845">
        <f t="shared" si="32"/>
        <v>4.5000000000000009</v>
      </c>
    </row>
    <row r="989" spans="2:5">
      <c r="B989" s="1115">
        <v>44967</v>
      </c>
      <c r="C989" s="242">
        <f t="shared" si="31"/>
        <v>2</v>
      </c>
      <c r="D989" s="242">
        <v>40.5</v>
      </c>
      <c r="E989" s="845">
        <f t="shared" si="32"/>
        <v>4.7222222222222223</v>
      </c>
    </row>
    <row r="990" spans="2:5">
      <c r="B990" s="1115">
        <v>44967</v>
      </c>
      <c r="C990" s="242">
        <f t="shared" si="31"/>
        <v>2</v>
      </c>
      <c r="D990" s="242">
        <v>40.6</v>
      </c>
      <c r="E990" s="845">
        <f t="shared" si="32"/>
        <v>4.7777777777777786</v>
      </c>
    </row>
    <row r="991" spans="2:5">
      <c r="B991" s="1115">
        <v>44967</v>
      </c>
      <c r="C991" s="242">
        <f t="shared" si="31"/>
        <v>2</v>
      </c>
      <c r="D991" s="242">
        <v>40.6</v>
      </c>
      <c r="E991" s="845">
        <f t="shared" si="32"/>
        <v>4.7777777777777786</v>
      </c>
    </row>
    <row r="992" spans="2:5">
      <c r="B992" s="1115">
        <v>44967</v>
      </c>
      <c r="C992" s="242">
        <f t="shared" si="31"/>
        <v>2</v>
      </c>
      <c r="D992" s="242">
        <v>40.1</v>
      </c>
      <c r="E992" s="845">
        <f t="shared" si="32"/>
        <v>4.5000000000000009</v>
      </c>
    </row>
    <row r="993" spans="2:5">
      <c r="B993" s="1115">
        <v>44968</v>
      </c>
      <c r="C993" s="242">
        <f t="shared" si="31"/>
        <v>2</v>
      </c>
      <c r="D993" s="242">
        <v>39.4</v>
      </c>
      <c r="E993" s="845">
        <f t="shared" si="32"/>
        <v>4.1111111111111098</v>
      </c>
    </row>
    <row r="994" spans="2:5">
      <c r="B994" s="1115">
        <v>44968</v>
      </c>
      <c r="C994" s="242">
        <f t="shared" si="31"/>
        <v>2</v>
      </c>
      <c r="D994" s="242">
        <v>38.5</v>
      </c>
      <c r="E994" s="845">
        <f t="shared" si="32"/>
        <v>3.6111111111111112</v>
      </c>
    </row>
    <row r="995" spans="2:5">
      <c r="B995" s="1115">
        <v>44968</v>
      </c>
      <c r="C995" s="242">
        <f t="shared" si="31"/>
        <v>2</v>
      </c>
      <c r="D995" s="242">
        <v>37.799999999999997</v>
      </c>
      <c r="E995" s="845">
        <f t="shared" si="32"/>
        <v>3.2222222222222205</v>
      </c>
    </row>
    <row r="996" spans="2:5">
      <c r="B996" s="1115">
        <v>44968</v>
      </c>
      <c r="C996" s="242">
        <f t="shared" si="31"/>
        <v>2</v>
      </c>
      <c r="D996" s="242">
        <v>37.4</v>
      </c>
      <c r="E996" s="845">
        <f t="shared" si="32"/>
        <v>2.9999999999999991</v>
      </c>
    </row>
    <row r="997" spans="2:5">
      <c r="B997" s="1115">
        <v>44968</v>
      </c>
      <c r="C997" s="242">
        <f t="shared" si="31"/>
        <v>2</v>
      </c>
      <c r="D997" s="242">
        <v>37.6</v>
      </c>
      <c r="E997" s="845">
        <f t="shared" si="32"/>
        <v>3.1111111111111116</v>
      </c>
    </row>
    <row r="998" spans="2:5">
      <c r="B998" s="1115">
        <v>44968</v>
      </c>
      <c r="C998" s="242">
        <f t="shared" si="31"/>
        <v>2</v>
      </c>
      <c r="D998" s="242">
        <v>38.5</v>
      </c>
      <c r="E998" s="845">
        <f t="shared" si="32"/>
        <v>3.6111111111111112</v>
      </c>
    </row>
    <row r="999" spans="2:5">
      <c r="B999" s="1115">
        <v>44968</v>
      </c>
      <c r="C999" s="242">
        <f t="shared" si="31"/>
        <v>2</v>
      </c>
      <c r="D999" s="242">
        <v>39.4</v>
      </c>
      <c r="E999" s="845">
        <f t="shared" si="32"/>
        <v>4.1111111111111098</v>
      </c>
    </row>
    <row r="1000" spans="2:5">
      <c r="B1000" s="1115">
        <v>44968</v>
      </c>
      <c r="C1000" s="242">
        <f t="shared" si="31"/>
        <v>2</v>
      </c>
      <c r="D1000" s="242">
        <v>40.1</v>
      </c>
      <c r="E1000" s="845">
        <f t="shared" si="32"/>
        <v>4.5000000000000009</v>
      </c>
    </row>
    <row r="1001" spans="2:5">
      <c r="B1001" s="1115">
        <v>44968</v>
      </c>
      <c r="C1001" s="242">
        <f t="shared" si="31"/>
        <v>2</v>
      </c>
      <c r="D1001" s="242">
        <v>40.5</v>
      </c>
      <c r="E1001" s="845">
        <f t="shared" si="32"/>
        <v>4.7222222222222223</v>
      </c>
    </row>
    <row r="1002" spans="2:5">
      <c r="B1002" s="1115">
        <v>44968</v>
      </c>
      <c r="C1002" s="242">
        <f t="shared" si="31"/>
        <v>2</v>
      </c>
      <c r="D1002" s="242">
        <v>40.6</v>
      </c>
      <c r="E1002" s="845">
        <f t="shared" si="32"/>
        <v>4.7777777777777786</v>
      </c>
    </row>
    <row r="1003" spans="2:5">
      <c r="B1003" s="1115">
        <v>44968</v>
      </c>
      <c r="C1003" s="242">
        <f t="shared" si="31"/>
        <v>2</v>
      </c>
      <c r="D1003" s="242">
        <v>40.6</v>
      </c>
      <c r="E1003" s="845">
        <f t="shared" si="32"/>
        <v>4.7777777777777786</v>
      </c>
    </row>
    <row r="1004" spans="2:5">
      <c r="B1004" s="1115">
        <v>44968</v>
      </c>
      <c r="C1004" s="242">
        <f t="shared" si="31"/>
        <v>2</v>
      </c>
      <c r="D1004" s="242">
        <v>40.5</v>
      </c>
      <c r="E1004" s="845">
        <f t="shared" si="32"/>
        <v>4.7222222222222223</v>
      </c>
    </row>
    <row r="1005" spans="2:5">
      <c r="B1005" s="1115">
        <v>44968</v>
      </c>
      <c r="C1005" s="242">
        <f t="shared" si="31"/>
        <v>2</v>
      </c>
      <c r="D1005" s="242">
        <v>39.6</v>
      </c>
      <c r="E1005" s="845">
        <f t="shared" si="32"/>
        <v>4.2222222222222232</v>
      </c>
    </row>
    <row r="1006" spans="2:5">
      <c r="B1006" s="1115">
        <v>44968</v>
      </c>
      <c r="C1006" s="242">
        <f t="shared" si="31"/>
        <v>2</v>
      </c>
      <c r="D1006" s="242">
        <v>38.700000000000003</v>
      </c>
      <c r="E1006" s="845">
        <f t="shared" si="32"/>
        <v>3.7222222222222237</v>
      </c>
    </row>
    <row r="1007" spans="2:5">
      <c r="B1007" s="1115">
        <v>44968</v>
      </c>
      <c r="C1007" s="242">
        <f t="shared" si="31"/>
        <v>2</v>
      </c>
      <c r="D1007" s="242">
        <v>37.9</v>
      </c>
      <c r="E1007" s="845">
        <f t="shared" si="32"/>
        <v>3.2777777777777768</v>
      </c>
    </row>
    <row r="1008" spans="2:5">
      <c r="B1008" s="1115">
        <v>44968</v>
      </c>
      <c r="C1008" s="242">
        <f t="shared" si="31"/>
        <v>2</v>
      </c>
      <c r="D1008" s="242">
        <v>37.4</v>
      </c>
      <c r="E1008" s="845">
        <f t="shared" si="32"/>
        <v>2.9999999999999991</v>
      </c>
    </row>
    <row r="1009" spans="2:5">
      <c r="B1009" s="1115">
        <v>44968</v>
      </c>
      <c r="C1009" s="242">
        <f t="shared" si="31"/>
        <v>2</v>
      </c>
      <c r="D1009" s="242">
        <v>37.4</v>
      </c>
      <c r="E1009" s="845">
        <f t="shared" si="32"/>
        <v>2.9999999999999991</v>
      </c>
    </row>
    <row r="1010" spans="2:5">
      <c r="B1010" s="1115">
        <v>44968</v>
      </c>
      <c r="C1010" s="242">
        <f t="shared" si="31"/>
        <v>2</v>
      </c>
      <c r="D1010" s="242">
        <v>37.799999999999997</v>
      </c>
      <c r="E1010" s="845">
        <f t="shared" si="32"/>
        <v>3.2222222222222205</v>
      </c>
    </row>
    <row r="1011" spans="2:5">
      <c r="B1011" s="1115">
        <v>44968</v>
      </c>
      <c r="C1011" s="242">
        <f t="shared" si="31"/>
        <v>2</v>
      </c>
      <c r="D1011" s="242" t="s">
        <v>1839</v>
      </c>
      <c r="E1011" s="845">
        <f t="shared" si="32"/>
        <v>3.8888888888888888</v>
      </c>
    </row>
    <row r="1012" spans="2:5">
      <c r="B1012" s="1115">
        <v>44968</v>
      </c>
      <c r="C1012" s="242">
        <f t="shared" si="31"/>
        <v>2</v>
      </c>
      <c r="D1012" s="242">
        <v>39.6</v>
      </c>
      <c r="E1012" s="845">
        <f t="shared" si="32"/>
        <v>4.2222222222222232</v>
      </c>
    </row>
    <row r="1013" spans="2:5">
      <c r="B1013" s="1115">
        <v>44968</v>
      </c>
      <c r="C1013" s="242">
        <f t="shared" si="31"/>
        <v>2</v>
      </c>
      <c r="D1013" s="242">
        <v>40.5</v>
      </c>
      <c r="E1013" s="845">
        <f t="shared" si="32"/>
        <v>4.7222222222222223</v>
      </c>
    </row>
    <row r="1014" spans="2:5">
      <c r="B1014" s="1115">
        <v>44968</v>
      </c>
      <c r="C1014" s="242">
        <f t="shared" si="31"/>
        <v>2</v>
      </c>
      <c r="D1014" s="242" t="s">
        <v>1837</v>
      </c>
      <c r="E1014" s="845">
        <f t="shared" si="32"/>
        <v>5</v>
      </c>
    </row>
    <row r="1015" spans="2:5">
      <c r="B1015" s="1115">
        <v>44968</v>
      </c>
      <c r="C1015" s="242">
        <f t="shared" si="31"/>
        <v>2</v>
      </c>
      <c r="D1015" s="242" t="s">
        <v>1837</v>
      </c>
      <c r="E1015" s="845">
        <f t="shared" si="32"/>
        <v>5</v>
      </c>
    </row>
    <row r="1016" spans="2:5">
      <c r="B1016" s="1115">
        <v>44968</v>
      </c>
      <c r="C1016" s="242">
        <f t="shared" si="31"/>
        <v>2</v>
      </c>
      <c r="D1016" s="242">
        <v>40.799999999999997</v>
      </c>
      <c r="E1016" s="845">
        <f t="shared" si="32"/>
        <v>4.8888888888888875</v>
      </c>
    </row>
    <row r="1017" spans="2:5">
      <c r="B1017" s="1115">
        <v>44969</v>
      </c>
      <c r="C1017" s="242">
        <f t="shared" si="31"/>
        <v>2</v>
      </c>
      <c r="D1017" s="242">
        <v>40.299999999999997</v>
      </c>
      <c r="E1017" s="845">
        <f t="shared" si="32"/>
        <v>4.6111111111111098</v>
      </c>
    </row>
    <row r="1018" spans="2:5">
      <c r="B1018" s="1115">
        <v>44969</v>
      </c>
      <c r="C1018" s="242">
        <f t="shared" si="31"/>
        <v>2</v>
      </c>
      <c r="D1018" s="242">
        <v>39.4</v>
      </c>
      <c r="E1018" s="845">
        <f t="shared" si="32"/>
        <v>4.1111111111111098</v>
      </c>
    </row>
    <row r="1019" spans="2:5">
      <c r="B1019" s="1115">
        <v>44969</v>
      </c>
      <c r="C1019" s="242">
        <f t="shared" si="31"/>
        <v>2</v>
      </c>
      <c r="D1019" s="242">
        <v>38.5</v>
      </c>
      <c r="E1019" s="845">
        <f t="shared" si="32"/>
        <v>3.6111111111111112</v>
      </c>
    </row>
    <row r="1020" spans="2:5">
      <c r="B1020" s="1115">
        <v>44969</v>
      </c>
      <c r="C1020" s="242">
        <f t="shared" si="31"/>
        <v>2</v>
      </c>
      <c r="D1020" s="242">
        <v>37.9</v>
      </c>
      <c r="E1020" s="845">
        <f t="shared" si="32"/>
        <v>3.2777777777777768</v>
      </c>
    </row>
    <row r="1021" spans="2:5">
      <c r="B1021" s="1115">
        <v>44969</v>
      </c>
      <c r="C1021" s="242">
        <f t="shared" si="31"/>
        <v>2</v>
      </c>
      <c r="D1021" s="242">
        <v>37.6</v>
      </c>
      <c r="E1021" s="845">
        <f t="shared" si="32"/>
        <v>3.1111111111111116</v>
      </c>
    </row>
    <row r="1022" spans="2:5">
      <c r="B1022" s="1115">
        <v>44969</v>
      </c>
      <c r="C1022" s="242">
        <f t="shared" si="31"/>
        <v>2</v>
      </c>
      <c r="D1022" s="242">
        <v>38.1</v>
      </c>
      <c r="E1022" s="845">
        <f t="shared" si="32"/>
        <v>3.3888888888888897</v>
      </c>
    </row>
    <row r="1023" spans="2:5">
      <c r="B1023" s="1115">
        <v>44969</v>
      </c>
      <c r="C1023" s="242">
        <f t="shared" si="31"/>
        <v>2</v>
      </c>
      <c r="D1023" s="242" t="s">
        <v>1839</v>
      </c>
      <c r="E1023" s="845">
        <f t="shared" si="32"/>
        <v>3.8888888888888888</v>
      </c>
    </row>
    <row r="1024" spans="2:5">
      <c r="B1024" s="1115">
        <v>44969</v>
      </c>
      <c r="C1024" s="242">
        <f t="shared" si="31"/>
        <v>2</v>
      </c>
      <c r="D1024" s="242">
        <v>39.9</v>
      </c>
      <c r="E1024" s="845">
        <f t="shared" si="32"/>
        <v>4.3888888888888884</v>
      </c>
    </row>
    <row r="1025" spans="2:5">
      <c r="B1025" s="1115">
        <v>44969</v>
      </c>
      <c r="C1025" s="242">
        <f t="shared" si="31"/>
        <v>2</v>
      </c>
      <c r="D1025" s="242">
        <v>40.299999999999997</v>
      </c>
      <c r="E1025" s="845">
        <f t="shared" si="32"/>
        <v>4.6111111111111098</v>
      </c>
    </row>
    <row r="1026" spans="2:5">
      <c r="B1026" s="1115">
        <v>44969</v>
      </c>
      <c r="C1026" s="242">
        <f t="shared" si="31"/>
        <v>2</v>
      </c>
      <c r="D1026" s="242">
        <v>40.799999999999997</v>
      </c>
      <c r="E1026" s="845">
        <f t="shared" si="32"/>
        <v>4.8888888888888875</v>
      </c>
    </row>
    <row r="1027" spans="2:5">
      <c r="B1027" s="1115">
        <v>44969</v>
      </c>
      <c r="C1027" s="242">
        <f t="shared" si="31"/>
        <v>2</v>
      </c>
      <c r="D1027" s="242" t="s">
        <v>1837</v>
      </c>
      <c r="E1027" s="845">
        <f t="shared" si="32"/>
        <v>5</v>
      </c>
    </row>
    <row r="1028" spans="2:5">
      <c r="B1028" s="1115">
        <v>44969</v>
      </c>
      <c r="C1028" s="242">
        <f t="shared" si="31"/>
        <v>2</v>
      </c>
      <c r="D1028" s="242">
        <v>40.799999999999997</v>
      </c>
      <c r="E1028" s="845">
        <f t="shared" si="32"/>
        <v>4.8888888888888875</v>
      </c>
    </row>
    <row r="1029" spans="2:5">
      <c r="B1029" s="1115">
        <v>44969</v>
      </c>
      <c r="C1029" s="242">
        <f t="shared" si="31"/>
        <v>2</v>
      </c>
      <c r="D1029" s="242">
        <v>40.5</v>
      </c>
      <c r="E1029" s="845">
        <f t="shared" si="32"/>
        <v>4.7222222222222223</v>
      </c>
    </row>
    <row r="1030" spans="2:5">
      <c r="B1030" s="1115">
        <v>44969</v>
      </c>
      <c r="C1030" s="242">
        <f t="shared" si="31"/>
        <v>2</v>
      </c>
      <c r="D1030" s="242">
        <v>39.700000000000003</v>
      </c>
      <c r="E1030" s="845">
        <f t="shared" si="32"/>
        <v>4.2777777777777795</v>
      </c>
    </row>
    <row r="1031" spans="2:5">
      <c r="B1031" s="1115">
        <v>44969</v>
      </c>
      <c r="C1031" s="242">
        <f t="shared" si="31"/>
        <v>2</v>
      </c>
      <c r="D1031" s="242">
        <v>38.700000000000003</v>
      </c>
      <c r="E1031" s="845">
        <f t="shared" si="32"/>
        <v>3.7222222222222237</v>
      </c>
    </row>
    <row r="1032" spans="2:5">
      <c r="B1032" s="1115">
        <v>44969</v>
      </c>
      <c r="C1032" s="242">
        <f t="shared" si="31"/>
        <v>2</v>
      </c>
      <c r="D1032" s="242">
        <v>37.9</v>
      </c>
      <c r="E1032" s="845">
        <f t="shared" si="32"/>
        <v>3.2777777777777768</v>
      </c>
    </row>
    <row r="1033" spans="2:5">
      <c r="B1033" s="1115">
        <v>44969</v>
      </c>
      <c r="C1033" s="242">
        <f t="shared" si="31"/>
        <v>2</v>
      </c>
      <c r="D1033" s="242">
        <v>37.799999999999997</v>
      </c>
      <c r="E1033" s="845">
        <f t="shared" si="32"/>
        <v>3.2222222222222205</v>
      </c>
    </row>
    <row r="1034" spans="2:5">
      <c r="B1034" s="1115">
        <v>44969</v>
      </c>
      <c r="C1034" s="242">
        <f t="shared" ref="C1034:C1097" si="33">MONTH(B1034)</f>
        <v>2</v>
      </c>
      <c r="D1034" s="242">
        <v>37.799999999999997</v>
      </c>
      <c r="E1034" s="845">
        <f t="shared" ref="E1034:E1097" si="34">CONVERT(D1034,"F","C")</f>
        <v>3.2222222222222205</v>
      </c>
    </row>
    <row r="1035" spans="2:5">
      <c r="B1035" s="1115">
        <v>44969</v>
      </c>
      <c r="C1035" s="242">
        <f t="shared" si="33"/>
        <v>2</v>
      </c>
      <c r="D1035" s="242">
        <v>38.299999999999997</v>
      </c>
      <c r="E1035" s="845">
        <f t="shared" si="34"/>
        <v>3.4999999999999982</v>
      </c>
    </row>
    <row r="1036" spans="2:5">
      <c r="B1036" s="1115">
        <v>44969</v>
      </c>
      <c r="C1036" s="242">
        <f t="shared" si="33"/>
        <v>2</v>
      </c>
      <c r="D1036" s="242">
        <v>39.6</v>
      </c>
      <c r="E1036" s="845">
        <f t="shared" si="34"/>
        <v>4.2222222222222232</v>
      </c>
    </row>
    <row r="1037" spans="2:5">
      <c r="B1037" s="1115">
        <v>44969</v>
      </c>
      <c r="C1037" s="242">
        <f t="shared" si="33"/>
        <v>2</v>
      </c>
      <c r="D1037" s="242">
        <v>40.1</v>
      </c>
      <c r="E1037" s="845">
        <f t="shared" si="34"/>
        <v>4.5000000000000009</v>
      </c>
    </row>
    <row r="1038" spans="2:5">
      <c r="B1038" s="1115">
        <v>44969</v>
      </c>
      <c r="C1038" s="242">
        <f t="shared" si="33"/>
        <v>2</v>
      </c>
      <c r="D1038" s="242">
        <v>40.799999999999997</v>
      </c>
      <c r="E1038" s="845">
        <f t="shared" si="34"/>
        <v>4.8888888888888875</v>
      </c>
    </row>
    <row r="1039" spans="2:5">
      <c r="B1039" s="1115">
        <v>44969</v>
      </c>
      <c r="C1039" s="242">
        <f t="shared" si="33"/>
        <v>2</v>
      </c>
      <c r="D1039" s="242">
        <v>41.2</v>
      </c>
      <c r="E1039" s="845">
        <f t="shared" si="34"/>
        <v>5.1111111111111125</v>
      </c>
    </row>
    <row r="1040" spans="2:5">
      <c r="B1040" s="1115">
        <v>44969</v>
      </c>
      <c r="C1040" s="242">
        <f t="shared" si="33"/>
        <v>2</v>
      </c>
      <c r="D1040" s="242" t="s">
        <v>1837</v>
      </c>
      <c r="E1040" s="845">
        <f t="shared" si="34"/>
        <v>5</v>
      </c>
    </row>
    <row r="1041" spans="2:5">
      <c r="B1041" s="1115">
        <v>44970</v>
      </c>
      <c r="C1041" s="242">
        <f t="shared" si="33"/>
        <v>2</v>
      </c>
      <c r="D1041" s="242" t="s">
        <v>1837</v>
      </c>
      <c r="E1041" s="845">
        <f t="shared" si="34"/>
        <v>5</v>
      </c>
    </row>
    <row r="1042" spans="2:5">
      <c r="B1042" s="1115">
        <v>44970</v>
      </c>
      <c r="C1042" s="242">
        <f t="shared" si="33"/>
        <v>2</v>
      </c>
      <c r="D1042" s="242">
        <v>40.5</v>
      </c>
      <c r="E1042" s="845">
        <f t="shared" si="34"/>
        <v>4.7222222222222223</v>
      </c>
    </row>
    <row r="1043" spans="2:5">
      <c r="B1043" s="1115">
        <v>44970</v>
      </c>
      <c r="C1043" s="242">
        <f t="shared" si="33"/>
        <v>2</v>
      </c>
      <c r="D1043" s="242">
        <v>39.4</v>
      </c>
      <c r="E1043" s="845">
        <f t="shared" si="34"/>
        <v>4.1111111111111098</v>
      </c>
    </row>
    <row r="1044" spans="2:5">
      <c r="B1044" s="1115">
        <v>44970</v>
      </c>
      <c r="C1044" s="242">
        <f t="shared" si="33"/>
        <v>2</v>
      </c>
      <c r="D1044" s="242">
        <v>38.700000000000003</v>
      </c>
      <c r="E1044" s="845">
        <f t="shared" si="34"/>
        <v>3.7222222222222237</v>
      </c>
    </row>
    <row r="1045" spans="2:5">
      <c r="B1045" s="1115">
        <v>44970</v>
      </c>
      <c r="C1045" s="242">
        <f t="shared" si="33"/>
        <v>2</v>
      </c>
      <c r="D1045" s="242">
        <v>38.1</v>
      </c>
      <c r="E1045" s="845">
        <f t="shared" si="34"/>
        <v>3.3888888888888897</v>
      </c>
    </row>
    <row r="1046" spans="2:5">
      <c r="B1046" s="1115">
        <v>44970</v>
      </c>
      <c r="C1046" s="242">
        <f t="shared" si="33"/>
        <v>2</v>
      </c>
      <c r="D1046" s="242">
        <v>38.1</v>
      </c>
      <c r="E1046" s="845">
        <f t="shared" si="34"/>
        <v>3.3888888888888897</v>
      </c>
    </row>
    <row r="1047" spans="2:5">
      <c r="B1047" s="1115">
        <v>44970</v>
      </c>
      <c r="C1047" s="242">
        <f t="shared" si="33"/>
        <v>2</v>
      </c>
      <c r="D1047" s="242">
        <v>38.5</v>
      </c>
      <c r="E1047" s="845">
        <f t="shared" si="34"/>
        <v>3.6111111111111112</v>
      </c>
    </row>
    <row r="1048" spans="2:5">
      <c r="B1048" s="1115">
        <v>44970</v>
      </c>
      <c r="C1048" s="242">
        <f t="shared" si="33"/>
        <v>2</v>
      </c>
      <c r="D1048" s="242">
        <v>39.700000000000003</v>
      </c>
      <c r="E1048" s="845">
        <f t="shared" si="34"/>
        <v>4.2777777777777795</v>
      </c>
    </row>
    <row r="1049" spans="2:5">
      <c r="B1049" s="1115">
        <v>44970</v>
      </c>
      <c r="C1049" s="242">
        <f t="shared" si="33"/>
        <v>2</v>
      </c>
      <c r="D1049" s="242">
        <v>40.5</v>
      </c>
      <c r="E1049" s="845">
        <f t="shared" si="34"/>
        <v>4.7222222222222223</v>
      </c>
    </row>
    <row r="1050" spans="2:5">
      <c r="B1050" s="1115">
        <v>44970</v>
      </c>
      <c r="C1050" s="242">
        <f t="shared" si="33"/>
        <v>2</v>
      </c>
      <c r="D1050" s="242" t="s">
        <v>1837</v>
      </c>
      <c r="E1050" s="845">
        <f t="shared" si="34"/>
        <v>5</v>
      </c>
    </row>
    <row r="1051" spans="2:5">
      <c r="B1051" s="1115">
        <v>44970</v>
      </c>
      <c r="C1051" s="242">
        <f t="shared" si="33"/>
        <v>2</v>
      </c>
      <c r="D1051" s="242">
        <v>41.2</v>
      </c>
      <c r="E1051" s="845">
        <f t="shared" si="34"/>
        <v>5.1111111111111125</v>
      </c>
    </row>
    <row r="1052" spans="2:5">
      <c r="B1052" s="1115">
        <v>44970</v>
      </c>
      <c r="C1052" s="242">
        <f t="shared" si="33"/>
        <v>2</v>
      </c>
      <c r="D1052" s="242">
        <v>41.4</v>
      </c>
      <c r="E1052" s="845">
        <f t="shared" si="34"/>
        <v>5.2222222222222214</v>
      </c>
    </row>
    <row r="1053" spans="2:5">
      <c r="B1053" s="1115">
        <v>44970</v>
      </c>
      <c r="C1053" s="242">
        <f t="shared" si="33"/>
        <v>2</v>
      </c>
      <c r="D1053" s="242">
        <v>41.2</v>
      </c>
      <c r="E1053" s="845">
        <f t="shared" si="34"/>
        <v>5.1111111111111125</v>
      </c>
    </row>
    <row r="1054" spans="2:5">
      <c r="B1054" s="1115">
        <v>44970</v>
      </c>
      <c r="C1054" s="242">
        <f t="shared" si="33"/>
        <v>2</v>
      </c>
      <c r="D1054" s="242">
        <v>40.799999999999997</v>
      </c>
      <c r="E1054" s="845">
        <f t="shared" si="34"/>
        <v>4.8888888888888875</v>
      </c>
    </row>
    <row r="1055" spans="2:5">
      <c r="B1055" s="1115">
        <v>44970</v>
      </c>
      <c r="C1055" s="242">
        <f t="shared" si="33"/>
        <v>2</v>
      </c>
      <c r="D1055" s="242">
        <v>40.299999999999997</v>
      </c>
      <c r="E1055" s="845">
        <f t="shared" si="34"/>
        <v>4.6111111111111098</v>
      </c>
    </row>
    <row r="1056" spans="2:5">
      <c r="B1056" s="1115">
        <v>44970</v>
      </c>
      <c r="C1056" s="242">
        <f t="shared" si="33"/>
        <v>2</v>
      </c>
      <c r="D1056" s="242">
        <v>39.200000000000003</v>
      </c>
      <c r="E1056" s="845">
        <f t="shared" si="34"/>
        <v>4.0000000000000018</v>
      </c>
    </row>
    <row r="1057" spans="2:5">
      <c r="B1057" s="1115">
        <v>44970</v>
      </c>
      <c r="C1057" s="242">
        <f t="shared" si="33"/>
        <v>2</v>
      </c>
      <c r="D1057" s="242">
        <v>38.700000000000003</v>
      </c>
      <c r="E1057" s="845">
        <f t="shared" si="34"/>
        <v>3.7222222222222237</v>
      </c>
    </row>
    <row r="1058" spans="2:5">
      <c r="B1058" s="1115">
        <v>44970</v>
      </c>
      <c r="C1058" s="242">
        <f t="shared" si="33"/>
        <v>2</v>
      </c>
      <c r="D1058" s="242">
        <v>38.5</v>
      </c>
      <c r="E1058" s="845">
        <f t="shared" si="34"/>
        <v>3.6111111111111112</v>
      </c>
    </row>
    <row r="1059" spans="2:5">
      <c r="B1059" s="1115">
        <v>44970</v>
      </c>
      <c r="C1059" s="242">
        <f t="shared" si="33"/>
        <v>2</v>
      </c>
      <c r="D1059" s="242">
        <v>38.700000000000003</v>
      </c>
      <c r="E1059" s="845">
        <f t="shared" si="34"/>
        <v>3.7222222222222237</v>
      </c>
    </row>
    <row r="1060" spans="2:5">
      <c r="B1060" s="1115">
        <v>44970</v>
      </c>
      <c r="C1060" s="242">
        <f t="shared" si="33"/>
        <v>2</v>
      </c>
      <c r="D1060" s="242">
        <v>39.6</v>
      </c>
      <c r="E1060" s="845">
        <f t="shared" si="34"/>
        <v>4.2222222222222232</v>
      </c>
    </row>
    <row r="1061" spans="2:5">
      <c r="B1061" s="1115">
        <v>44970</v>
      </c>
      <c r="C1061" s="242">
        <f t="shared" si="33"/>
        <v>2</v>
      </c>
      <c r="D1061" s="242">
        <v>40.299999999999997</v>
      </c>
      <c r="E1061" s="845">
        <f t="shared" si="34"/>
        <v>4.6111111111111098</v>
      </c>
    </row>
    <row r="1062" spans="2:5">
      <c r="B1062" s="1115">
        <v>44970</v>
      </c>
      <c r="C1062" s="242">
        <f t="shared" si="33"/>
        <v>2</v>
      </c>
      <c r="D1062" s="242">
        <v>40.799999999999997</v>
      </c>
      <c r="E1062" s="845">
        <f t="shared" si="34"/>
        <v>4.8888888888888875</v>
      </c>
    </row>
    <row r="1063" spans="2:5">
      <c r="B1063" s="1115">
        <v>44970</v>
      </c>
      <c r="C1063" s="242">
        <f t="shared" si="33"/>
        <v>2</v>
      </c>
      <c r="D1063" s="242">
        <v>41.2</v>
      </c>
      <c r="E1063" s="845">
        <f t="shared" si="34"/>
        <v>5.1111111111111125</v>
      </c>
    </row>
    <row r="1064" spans="2:5">
      <c r="B1064" s="1115">
        <v>44970</v>
      </c>
      <c r="C1064" s="242">
        <f t="shared" si="33"/>
        <v>2</v>
      </c>
      <c r="D1064" s="242">
        <v>41.4</v>
      </c>
      <c r="E1064" s="845">
        <f t="shared" si="34"/>
        <v>5.2222222222222214</v>
      </c>
    </row>
    <row r="1065" spans="2:5">
      <c r="B1065" s="1115">
        <v>44971</v>
      </c>
      <c r="C1065" s="242">
        <f t="shared" si="33"/>
        <v>2</v>
      </c>
      <c r="D1065" s="242">
        <v>41.2</v>
      </c>
      <c r="E1065" s="845">
        <f t="shared" si="34"/>
        <v>5.1111111111111125</v>
      </c>
    </row>
    <row r="1066" spans="2:5">
      <c r="B1066" s="1115">
        <v>44971</v>
      </c>
      <c r="C1066" s="242">
        <f t="shared" si="33"/>
        <v>2</v>
      </c>
      <c r="D1066" s="242">
        <v>41.2</v>
      </c>
      <c r="E1066" s="845">
        <f t="shared" si="34"/>
        <v>5.1111111111111125</v>
      </c>
    </row>
    <row r="1067" spans="2:5">
      <c r="B1067" s="1115">
        <v>44971</v>
      </c>
      <c r="C1067" s="242">
        <f t="shared" si="33"/>
        <v>2</v>
      </c>
      <c r="D1067" s="242">
        <v>40.6</v>
      </c>
      <c r="E1067" s="845">
        <f t="shared" si="34"/>
        <v>4.7777777777777786</v>
      </c>
    </row>
    <row r="1068" spans="2:5">
      <c r="B1068" s="1115">
        <v>44971</v>
      </c>
      <c r="C1068" s="242">
        <f t="shared" si="33"/>
        <v>2</v>
      </c>
      <c r="D1068" s="242">
        <v>39.700000000000003</v>
      </c>
      <c r="E1068" s="845">
        <f t="shared" si="34"/>
        <v>4.2777777777777795</v>
      </c>
    </row>
    <row r="1069" spans="2:5">
      <c r="B1069" s="1115">
        <v>44971</v>
      </c>
      <c r="C1069" s="242">
        <f t="shared" si="33"/>
        <v>2</v>
      </c>
      <c r="D1069" s="242">
        <v>39.200000000000003</v>
      </c>
      <c r="E1069" s="845">
        <f t="shared" si="34"/>
        <v>4.0000000000000018</v>
      </c>
    </row>
    <row r="1070" spans="2:5">
      <c r="B1070" s="1115">
        <v>44971</v>
      </c>
      <c r="C1070" s="242">
        <f t="shared" si="33"/>
        <v>2</v>
      </c>
      <c r="D1070" s="242">
        <v>38.700000000000003</v>
      </c>
      <c r="E1070" s="845">
        <f t="shared" si="34"/>
        <v>3.7222222222222237</v>
      </c>
    </row>
    <row r="1071" spans="2:5">
      <c r="B1071" s="1115">
        <v>44971</v>
      </c>
      <c r="C1071" s="242">
        <f t="shared" si="33"/>
        <v>2</v>
      </c>
      <c r="D1071" s="242">
        <v>38.799999999999997</v>
      </c>
      <c r="E1071" s="845">
        <f t="shared" si="34"/>
        <v>3.7777777777777759</v>
      </c>
    </row>
    <row r="1072" spans="2:5">
      <c r="B1072" s="1115">
        <v>44971</v>
      </c>
      <c r="C1072" s="242">
        <f t="shared" si="33"/>
        <v>2</v>
      </c>
      <c r="D1072" s="242">
        <v>39.6</v>
      </c>
      <c r="E1072" s="845">
        <f t="shared" si="34"/>
        <v>4.2222222222222232</v>
      </c>
    </row>
    <row r="1073" spans="2:5">
      <c r="B1073" s="1115">
        <v>44971</v>
      </c>
      <c r="C1073" s="242">
        <f t="shared" si="33"/>
        <v>2</v>
      </c>
      <c r="D1073" s="242">
        <v>40.299999999999997</v>
      </c>
      <c r="E1073" s="845">
        <f t="shared" si="34"/>
        <v>4.6111111111111098</v>
      </c>
    </row>
    <row r="1074" spans="2:5">
      <c r="B1074" s="1115">
        <v>44971</v>
      </c>
      <c r="C1074" s="242">
        <f t="shared" si="33"/>
        <v>2</v>
      </c>
      <c r="D1074" s="242">
        <v>40.5</v>
      </c>
      <c r="E1074" s="845">
        <f t="shared" si="34"/>
        <v>4.7222222222222223</v>
      </c>
    </row>
    <row r="1075" spans="2:5">
      <c r="B1075" s="1115">
        <v>44971</v>
      </c>
      <c r="C1075" s="242">
        <f t="shared" si="33"/>
        <v>2</v>
      </c>
      <c r="D1075" s="242">
        <v>40.5</v>
      </c>
      <c r="E1075" s="845">
        <f t="shared" si="34"/>
        <v>4.7222222222222223</v>
      </c>
    </row>
    <row r="1076" spans="2:5">
      <c r="B1076" s="1115">
        <v>44971</v>
      </c>
      <c r="C1076" s="242">
        <f t="shared" si="33"/>
        <v>2</v>
      </c>
      <c r="D1076" s="242">
        <v>40.5</v>
      </c>
      <c r="E1076" s="845">
        <f t="shared" si="34"/>
        <v>4.7222222222222223</v>
      </c>
    </row>
    <row r="1077" spans="2:5">
      <c r="B1077" s="1115">
        <v>44971</v>
      </c>
      <c r="C1077" s="242">
        <f t="shared" si="33"/>
        <v>2</v>
      </c>
      <c r="D1077" s="242">
        <v>40.5</v>
      </c>
      <c r="E1077" s="845">
        <f t="shared" si="34"/>
        <v>4.7222222222222223</v>
      </c>
    </row>
    <row r="1078" spans="2:5">
      <c r="B1078" s="1115">
        <v>44971</v>
      </c>
      <c r="C1078" s="242">
        <f t="shared" si="33"/>
        <v>2</v>
      </c>
      <c r="D1078" s="242">
        <v>40.5</v>
      </c>
      <c r="E1078" s="845">
        <f t="shared" si="34"/>
        <v>4.7222222222222223</v>
      </c>
    </row>
    <row r="1079" spans="2:5">
      <c r="B1079" s="1115">
        <v>44971</v>
      </c>
      <c r="C1079" s="242">
        <f t="shared" si="33"/>
        <v>2</v>
      </c>
      <c r="D1079" s="242">
        <v>40.299999999999997</v>
      </c>
      <c r="E1079" s="845">
        <f t="shared" si="34"/>
        <v>4.6111111111111098</v>
      </c>
    </row>
    <row r="1080" spans="2:5">
      <c r="B1080" s="1115">
        <v>44971</v>
      </c>
      <c r="C1080" s="242">
        <f t="shared" si="33"/>
        <v>2</v>
      </c>
      <c r="D1080" s="242">
        <v>39.9</v>
      </c>
      <c r="E1080" s="845">
        <f t="shared" si="34"/>
        <v>4.3888888888888884</v>
      </c>
    </row>
    <row r="1081" spans="2:5">
      <c r="B1081" s="1115">
        <v>44971</v>
      </c>
      <c r="C1081" s="242">
        <f t="shared" si="33"/>
        <v>2</v>
      </c>
      <c r="D1081" s="242">
        <v>39.4</v>
      </c>
      <c r="E1081" s="845">
        <f t="shared" si="34"/>
        <v>4.1111111111111098</v>
      </c>
    </row>
    <row r="1082" spans="2:5">
      <c r="B1082" s="1115">
        <v>44971</v>
      </c>
      <c r="C1082" s="242">
        <f t="shared" si="33"/>
        <v>2</v>
      </c>
      <c r="D1082" s="242" t="s">
        <v>1839</v>
      </c>
      <c r="E1082" s="845">
        <f t="shared" si="34"/>
        <v>3.8888888888888888</v>
      </c>
    </row>
    <row r="1083" spans="2:5">
      <c r="B1083" s="1115">
        <v>44971</v>
      </c>
      <c r="C1083" s="242">
        <f t="shared" si="33"/>
        <v>2</v>
      </c>
      <c r="D1083" s="242">
        <v>38.799999999999997</v>
      </c>
      <c r="E1083" s="845">
        <f t="shared" si="34"/>
        <v>3.7777777777777759</v>
      </c>
    </row>
    <row r="1084" spans="2:5">
      <c r="B1084" s="1115">
        <v>44971</v>
      </c>
      <c r="C1084" s="242">
        <f t="shared" si="33"/>
        <v>2</v>
      </c>
      <c r="D1084" s="242">
        <v>38.799999999999997</v>
      </c>
      <c r="E1084" s="845">
        <f t="shared" si="34"/>
        <v>3.7777777777777759</v>
      </c>
    </row>
    <row r="1085" spans="2:5">
      <c r="B1085" s="1115">
        <v>44971</v>
      </c>
      <c r="C1085" s="242">
        <f t="shared" si="33"/>
        <v>2</v>
      </c>
      <c r="D1085" s="242">
        <v>39.200000000000003</v>
      </c>
      <c r="E1085" s="845">
        <f t="shared" si="34"/>
        <v>4.0000000000000018</v>
      </c>
    </row>
    <row r="1086" spans="2:5">
      <c r="B1086" s="1115">
        <v>44971</v>
      </c>
      <c r="C1086" s="242">
        <f t="shared" si="33"/>
        <v>2</v>
      </c>
      <c r="D1086" s="242">
        <v>39.700000000000003</v>
      </c>
      <c r="E1086" s="845">
        <f t="shared" si="34"/>
        <v>4.2777777777777795</v>
      </c>
    </row>
    <row r="1087" spans="2:5">
      <c r="B1087" s="1115">
        <v>44971</v>
      </c>
      <c r="C1087" s="242">
        <f t="shared" si="33"/>
        <v>2</v>
      </c>
      <c r="D1087" s="242">
        <v>40.1</v>
      </c>
      <c r="E1087" s="845">
        <f t="shared" si="34"/>
        <v>4.5000000000000009</v>
      </c>
    </row>
    <row r="1088" spans="2:5">
      <c r="B1088" s="1115">
        <v>44971</v>
      </c>
      <c r="C1088" s="242">
        <f t="shared" si="33"/>
        <v>2</v>
      </c>
      <c r="D1088" s="242">
        <v>40.5</v>
      </c>
      <c r="E1088" s="845">
        <f t="shared" si="34"/>
        <v>4.7222222222222223</v>
      </c>
    </row>
    <row r="1089" spans="2:5">
      <c r="B1089" s="1115">
        <v>44972</v>
      </c>
      <c r="C1089" s="242">
        <f t="shared" si="33"/>
        <v>2</v>
      </c>
      <c r="D1089" s="242">
        <v>40.6</v>
      </c>
      <c r="E1089" s="845">
        <f t="shared" si="34"/>
        <v>4.7777777777777786</v>
      </c>
    </row>
    <row r="1090" spans="2:5">
      <c r="B1090" s="1115">
        <v>44972</v>
      </c>
      <c r="C1090" s="242">
        <f t="shared" si="33"/>
        <v>2</v>
      </c>
      <c r="D1090" s="242">
        <v>40.5</v>
      </c>
      <c r="E1090" s="845">
        <f t="shared" si="34"/>
        <v>4.7222222222222223</v>
      </c>
    </row>
    <row r="1091" spans="2:5">
      <c r="B1091" s="1115">
        <v>44972</v>
      </c>
      <c r="C1091" s="242">
        <f t="shared" si="33"/>
        <v>2</v>
      </c>
      <c r="D1091" s="242">
        <v>40.5</v>
      </c>
      <c r="E1091" s="845">
        <f t="shared" si="34"/>
        <v>4.7222222222222223</v>
      </c>
    </row>
    <row r="1092" spans="2:5">
      <c r="B1092" s="1115">
        <v>44972</v>
      </c>
      <c r="C1092" s="242">
        <f t="shared" si="33"/>
        <v>2</v>
      </c>
      <c r="D1092" s="242">
        <v>39.9</v>
      </c>
      <c r="E1092" s="845">
        <f t="shared" si="34"/>
        <v>4.3888888888888884</v>
      </c>
    </row>
    <row r="1093" spans="2:5">
      <c r="B1093" s="1115">
        <v>44972</v>
      </c>
      <c r="C1093" s="242">
        <f t="shared" si="33"/>
        <v>2</v>
      </c>
      <c r="D1093" s="242">
        <v>39.4</v>
      </c>
      <c r="E1093" s="845">
        <f t="shared" si="34"/>
        <v>4.1111111111111098</v>
      </c>
    </row>
    <row r="1094" spans="2:5">
      <c r="B1094" s="1115">
        <v>44972</v>
      </c>
      <c r="C1094" s="242">
        <f t="shared" si="33"/>
        <v>2</v>
      </c>
      <c r="D1094" s="242" t="s">
        <v>1839</v>
      </c>
      <c r="E1094" s="845">
        <f t="shared" si="34"/>
        <v>3.8888888888888888</v>
      </c>
    </row>
    <row r="1095" spans="2:5">
      <c r="B1095" s="1115">
        <v>44972</v>
      </c>
      <c r="C1095" s="242">
        <f t="shared" si="33"/>
        <v>2</v>
      </c>
      <c r="D1095" s="242">
        <v>38.700000000000003</v>
      </c>
      <c r="E1095" s="845">
        <f t="shared" si="34"/>
        <v>3.7222222222222237</v>
      </c>
    </row>
    <row r="1096" spans="2:5">
      <c r="B1096" s="1115">
        <v>44972</v>
      </c>
      <c r="C1096" s="242">
        <f t="shared" si="33"/>
        <v>2</v>
      </c>
      <c r="D1096" s="242">
        <v>38.799999999999997</v>
      </c>
      <c r="E1096" s="845">
        <f t="shared" si="34"/>
        <v>3.7777777777777759</v>
      </c>
    </row>
    <row r="1097" spans="2:5">
      <c r="B1097" s="1115">
        <v>44972</v>
      </c>
      <c r="C1097" s="242">
        <f t="shared" si="33"/>
        <v>2</v>
      </c>
      <c r="D1097" s="242">
        <v>39.200000000000003</v>
      </c>
      <c r="E1097" s="845">
        <f t="shared" si="34"/>
        <v>4.0000000000000018</v>
      </c>
    </row>
    <row r="1098" spans="2:5">
      <c r="B1098" s="1115">
        <v>44972</v>
      </c>
      <c r="C1098" s="242">
        <f t="shared" ref="C1098:C1161" si="35">MONTH(B1098)</f>
        <v>2</v>
      </c>
      <c r="D1098" s="242">
        <v>39.9</v>
      </c>
      <c r="E1098" s="845">
        <f t="shared" ref="E1098:E1161" si="36">CONVERT(D1098,"F","C")</f>
        <v>4.3888888888888884</v>
      </c>
    </row>
    <row r="1099" spans="2:5">
      <c r="B1099" s="1115">
        <v>44972</v>
      </c>
      <c r="C1099" s="242">
        <f t="shared" si="35"/>
        <v>2</v>
      </c>
      <c r="D1099" s="242">
        <v>40.1</v>
      </c>
      <c r="E1099" s="845">
        <f t="shared" si="36"/>
        <v>4.5000000000000009</v>
      </c>
    </row>
    <row r="1100" spans="2:5">
      <c r="B1100" s="1115">
        <v>44972</v>
      </c>
      <c r="C1100" s="242">
        <f t="shared" si="35"/>
        <v>2</v>
      </c>
      <c r="D1100" s="242">
        <v>40.299999999999997</v>
      </c>
      <c r="E1100" s="845">
        <f t="shared" si="36"/>
        <v>4.6111111111111098</v>
      </c>
    </row>
    <row r="1101" spans="2:5">
      <c r="B1101" s="1115">
        <v>44972</v>
      </c>
      <c r="C1101" s="242">
        <f t="shared" si="35"/>
        <v>2</v>
      </c>
      <c r="D1101" s="242">
        <v>40.5</v>
      </c>
      <c r="E1101" s="845">
        <f t="shared" si="36"/>
        <v>4.7222222222222223</v>
      </c>
    </row>
    <row r="1102" spans="2:5">
      <c r="B1102" s="1115">
        <v>44972</v>
      </c>
      <c r="C1102" s="242">
        <f t="shared" si="35"/>
        <v>2</v>
      </c>
      <c r="D1102" s="242">
        <v>40.5</v>
      </c>
      <c r="E1102" s="845">
        <f t="shared" si="36"/>
        <v>4.7222222222222223</v>
      </c>
    </row>
    <row r="1103" spans="2:5">
      <c r="B1103" s="1115">
        <v>44972</v>
      </c>
      <c r="C1103" s="242">
        <f t="shared" si="35"/>
        <v>2</v>
      </c>
      <c r="D1103" s="242">
        <v>40.5</v>
      </c>
      <c r="E1103" s="845">
        <f t="shared" si="36"/>
        <v>4.7222222222222223</v>
      </c>
    </row>
    <row r="1104" spans="2:5">
      <c r="B1104" s="1115">
        <v>44972</v>
      </c>
      <c r="C1104" s="242">
        <f t="shared" si="35"/>
        <v>2</v>
      </c>
      <c r="D1104" s="242">
        <v>40.299999999999997</v>
      </c>
      <c r="E1104" s="845">
        <f t="shared" si="36"/>
        <v>4.6111111111111098</v>
      </c>
    </row>
    <row r="1105" spans="2:5">
      <c r="B1105" s="1115">
        <v>44972</v>
      </c>
      <c r="C1105" s="242">
        <f t="shared" si="35"/>
        <v>2</v>
      </c>
      <c r="D1105" s="242">
        <v>39.700000000000003</v>
      </c>
      <c r="E1105" s="845">
        <f t="shared" si="36"/>
        <v>4.2777777777777795</v>
      </c>
    </row>
    <row r="1106" spans="2:5">
      <c r="B1106" s="1115">
        <v>44972</v>
      </c>
      <c r="C1106" s="242">
        <f t="shared" si="35"/>
        <v>2</v>
      </c>
      <c r="D1106" s="242">
        <v>39.200000000000003</v>
      </c>
      <c r="E1106" s="845">
        <f t="shared" si="36"/>
        <v>4.0000000000000018</v>
      </c>
    </row>
    <row r="1107" spans="2:5">
      <c r="B1107" s="1115">
        <v>44972</v>
      </c>
      <c r="C1107" s="242">
        <f t="shared" si="35"/>
        <v>2</v>
      </c>
      <c r="D1107" s="242" t="s">
        <v>1839</v>
      </c>
      <c r="E1107" s="845">
        <f t="shared" si="36"/>
        <v>3.8888888888888888</v>
      </c>
    </row>
    <row r="1108" spans="2:5">
      <c r="B1108" s="1115">
        <v>44972</v>
      </c>
      <c r="C1108" s="242">
        <f t="shared" si="35"/>
        <v>2</v>
      </c>
      <c r="D1108" s="242">
        <v>38.799999999999997</v>
      </c>
      <c r="E1108" s="845">
        <f t="shared" si="36"/>
        <v>3.7777777777777759</v>
      </c>
    </row>
    <row r="1109" spans="2:5">
      <c r="B1109" s="1115">
        <v>44972</v>
      </c>
      <c r="C1109" s="242">
        <f t="shared" si="35"/>
        <v>2</v>
      </c>
      <c r="D1109" s="242">
        <v>38.799999999999997</v>
      </c>
      <c r="E1109" s="845">
        <f t="shared" si="36"/>
        <v>3.7777777777777759</v>
      </c>
    </row>
    <row r="1110" spans="2:5">
      <c r="B1110" s="1115">
        <v>44972</v>
      </c>
      <c r="C1110" s="242">
        <f t="shared" si="35"/>
        <v>2</v>
      </c>
      <c r="D1110" s="242">
        <v>39.200000000000003</v>
      </c>
      <c r="E1110" s="845">
        <f t="shared" si="36"/>
        <v>4.0000000000000018</v>
      </c>
    </row>
    <row r="1111" spans="2:5">
      <c r="B1111" s="1115">
        <v>44972</v>
      </c>
      <c r="C1111" s="242">
        <f t="shared" si="35"/>
        <v>2</v>
      </c>
      <c r="D1111" s="242">
        <v>39.700000000000003</v>
      </c>
      <c r="E1111" s="845">
        <f t="shared" si="36"/>
        <v>4.2777777777777795</v>
      </c>
    </row>
    <row r="1112" spans="2:5">
      <c r="B1112" s="1115">
        <v>44972</v>
      </c>
      <c r="C1112" s="242">
        <f t="shared" si="35"/>
        <v>2</v>
      </c>
      <c r="D1112" s="242">
        <v>40.1</v>
      </c>
      <c r="E1112" s="845">
        <f t="shared" si="36"/>
        <v>4.5000000000000009</v>
      </c>
    </row>
    <row r="1113" spans="2:5">
      <c r="B1113" s="1115">
        <v>44973</v>
      </c>
      <c r="C1113" s="242">
        <f t="shared" si="35"/>
        <v>2</v>
      </c>
      <c r="D1113" s="242">
        <v>40.299999999999997</v>
      </c>
      <c r="E1113" s="845">
        <f t="shared" si="36"/>
        <v>4.6111111111111098</v>
      </c>
    </row>
    <row r="1114" spans="2:5">
      <c r="B1114" s="1115">
        <v>44973</v>
      </c>
      <c r="C1114" s="242">
        <f t="shared" si="35"/>
        <v>2</v>
      </c>
      <c r="D1114" s="242">
        <v>40.5</v>
      </c>
      <c r="E1114" s="845">
        <f t="shared" si="36"/>
        <v>4.7222222222222223</v>
      </c>
    </row>
    <row r="1115" spans="2:5">
      <c r="B1115" s="1115">
        <v>44973</v>
      </c>
      <c r="C1115" s="242">
        <f t="shared" si="35"/>
        <v>2</v>
      </c>
      <c r="D1115" s="242">
        <v>40.5</v>
      </c>
      <c r="E1115" s="845">
        <f t="shared" si="36"/>
        <v>4.7222222222222223</v>
      </c>
    </row>
    <row r="1116" spans="2:5">
      <c r="B1116" s="1115">
        <v>44973</v>
      </c>
      <c r="C1116" s="242">
        <f t="shared" si="35"/>
        <v>2</v>
      </c>
      <c r="D1116" s="242">
        <v>40.5</v>
      </c>
      <c r="E1116" s="845">
        <f t="shared" si="36"/>
        <v>4.7222222222222223</v>
      </c>
    </row>
    <row r="1117" spans="2:5">
      <c r="B1117" s="1115">
        <v>44973</v>
      </c>
      <c r="C1117" s="242">
        <f t="shared" si="35"/>
        <v>2</v>
      </c>
      <c r="D1117" s="242">
        <v>40.299999999999997</v>
      </c>
      <c r="E1117" s="845">
        <f t="shared" si="36"/>
        <v>4.6111111111111098</v>
      </c>
    </row>
    <row r="1118" spans="2:5">
      <c r="B1118" s="1115">
        <v>44973</v>
      </c>
      <c r="C1118" s="242">
        <f t="shared" si="35"/>
        <v>2</v>
      </c>
      <c r="D1118" s="242">
        <v>39.700000000000003</v>
      </c>
      <c r="E1118" s="845">
        <f t="shared" si="36"/>
        <v>4.2777777777777795</v>
      </c>
    </row>
    <row r="1119" spans="2:5">
      <c r="B1119" s="1115">
        <v>44973</v>
      </c>
      <c r="C1119" s="242">
        <f t="shared" si="35"/>
        <v>2</v>
      </c>
      <c r="D1119" s="242">
        <v>39.4</v>
      </c>
      <c r="E1119" s="845">
        <f t="shared" si="36"/>
        <v>4.1111111111111098</v>
      </c>
    </row>
    <row r="1120" spans="2:5">
      <c r="B1120" s="1115">
        <v>44973</v>
      </c>
      <c r="C1120" s="242">
        <f t="shared" si="35"/>
        <v>2</v>
      </c>
      <c r="D1120" s="242">
        <v>39.200000000000003</v>
      </c>
      <c r="E1120" s="845">
        <f t="shared" si="36"/>
        <v>4.0000000000000018</v>
      </c>
    </row>
    <row r="1121" spans="2:5">
      <c r="B1121" s="1115">
        <v>44973</v>
      </c>
      <c r="C1121" s="242">
        <f t="shared" si="35"/>
        <v>2</v>
      </c>
      <c r="D1121" s="242" t="s">
        <v>1839</v>
      </c>
      <c r="E1121" s="845">
        <f t="shared" si="36"/>
        <v>3.8888888888888888</v>
      </c>
    </row>
    <row r="1122" spans="2:5">
      <c r="B1122" s="1115">
        <v>44973</v>
      </c>
      <c r="C1122" s="242">
        <f t="shared" si="35"/>
        <v>2</v>
      </c>
      <c r="D1122" s="242">
        <v>39.4</v>
      </c>
      <c r="E1122" s="845">
        <f t="shared" si="36"/>
        <v>4.1111111111111098</v>
      </c>
    </row>
    <row r="1123" spans="2:5">
      <c r="B1123" s="1115">
        <v>44973</v>
      </c>
      <c r="C1123" s="242">
        <f t="shared" si="35"/>
        <v>2</v>
      </c>
      <c r="D1123" s="242">
        <v>40.1</v>
      </c>
      <c r="E1123" s="845">
        <f t="shared" si="36"/>
        <v>4.5000000000000009</v>
      </c>
    </row>
    <row r="1124" spans="2:5">
      <c r="B1124" s="1115">
        <v>44973</v>
      </c>
      <c r="C1124" s="242">
        <f t="shared" si="35"/>
        <v>2</v>
      </c>
      <c r="D1124" s="242">
        <v>40.299999999999997</v>
      </c>
      <c r="E1124" s="845">
        <f t="shared" si="36"/>
        <v>4.6111111111111098</v>
      </c>
    </row>
    <row r="1125" spans="2:5">
      <c r="B1125" s="1115">
        <v>44973</v>
      </c>
      <c r="C1125" s="242">
        <f t="shared" si="35"/>
        <v>2</v>
      </c>
      <c r="D1125" s="242">
        <v>40.6</v>
      </c>
      <c r="E1125" s="845">
        <f t="shared" si="36"/>
        <v>4.7777777777777786</v>
      </c>
    </row>
    <row r="1126" spans="2:5">
      <c r="B1126" s="1115">
        <v>44973</v>
      </c>
      <c r="C1126" s="242">
        <f t="shared" si="35"/>
        <v>2</v>
      </c>
      <c r="D1126" s="242">
        <v>40.799999999999997</v>
      </c>
      <c r="E1126" s="845">
        <f t="shared" si="36"/>
        <v>4.8888888888888875</v>
      </c>
    </row>
    <row r="1127" spans="2:5">
      <c r="B1127" s="1115">
        <v>44973</v>
      </c>
      <c r="C1127" s="242">
        <f t="shared" si="35"/>
        <v>2</v>
      </c>
      <c r="D1127" s="242">
        <v>40.799999999999997</v>
      </c>
      <c r="E1127" s="845">
        <f t="shared" si="36"/>
        <v>4.8888888888888875</v>
      </c>
    </row>
    <row r="1128" spans="2:5">
      <c r="B1128" s="1115">
        <v>44973</v>
      </c>
      <c r="C1128" s="242">
        <f t="shared" si="35"/>
        <v>2</v>
      </c>
      <c r="D1128" s="242">
        <v>40.799999999999997</v>
      </c>
      <c r="E1128" s="845">
        <f t="shared" si="36"/>
        <v>4.8888888888888875</v>
      </c>
    </row>
    <row r="1129" spans="2:5">
      <c r="B1129" s="1115">
        <v>44973</v>
      </c>
      <c r="C1129" s="242">
        <f t="shared" si="35"/>
        <v>2</v>
      </c>
      <c r="D1129" s="242">
        <v>40.6</v>
      </c>
      <c r="E1129" s="845">
        <f t="shared" si="36"/>
        <v>4.7777777777777786</v>
      </c>
    </row>
    <row r="1130" spans="2:5">
      <c r="B1130" s="1115">
        <v>44973</v>
      </c>
      <c r="C1130" s="242">
        <f t="shared" si="35"/>
        <v>2</v>
      </c>
      <c r="D1130" s="242">
        <v>40.299999999999997</v>
      </c>
      <c r="E1130" s="845">
        <f t="shared" si="36"/>
        <v>4.6111111111111098</v>
      </c>
    </row>
    <row r="1131" spans="2:5">
      <c r="B1131" s="1115">
        <v>44973</v>
      </c>
      <c r="C1131" s="242">
        <f t="shared" si="35"/>
        <v>2</v>
      </c>
      <c r="D1131" s="242">
        <v>39.9</v>
      </c>
      <c r="E1131" s="845">
        <f t="shared" si="36"/>
        <v>4.3888888888888884</v>
      </c>
    </row>
    <row r="1132" spans="2:5">
      <c r="B1132" s="1115">
        <v>44973</v>
      </c>
      <c r="C1132" s="242">
        <f t="shared" si="35"/>
        <v>2</v>
      </c>
      <c r="D1132" s="242">
        <v>39.700000000000003</v>
      </c>
      <c r="E1132" s="845">
        <f t="shared" si="36"/>
        <v>4.2777777777777795</v>
      </c>
    </row>
    <row r="1133" spans="2:5">
      <c r="B1133" s="1115">
        <v>44973</v>
      </c>
      <c r="C1133" s="242">
        <f t="shared" si="35"/>
        <v>2</v>
      </c>
      <c r="D1133" s="242">
        <v>39.6</v>
      </c>
      <c r="E1133" s="845">
        <f t="shared" si="36"/>
        <v>4.2222222222222232</v>
      </c>
    </row>
    <row r="1134" spans="2:5">
      <c r="B1134" s="1115">
        <v>44973</v>
      </c>
      <c r="C1134" s="242">
        <f t="shared" si="35"/>
        <v>2</v>
      </c>
      <c r="D1134" s="242">
        <v>39.6</v>
      </c>
      <c r="E1134" s="845">
        <f t="shared" si="36"/>
        <v>4.2222222222222232</v>
      </c>
    </row>
    <row r="1135" spans="2:5">
      <c r="B1135" s="1115">
        <v>44973</v>
      </c>
      <c r="C1135" s="242">
        <f t="shared" si="35"/>
        <v>2</v>
      </c>
      <c r="D1135" s="242">
        <v>39.6</v>
      </c>
      <c r="E1135" s="845">
        <f t="shared" si="36"/>
        <v>4.2222222222222232</v>
      </c>
    </row>
    <row r="1136" spans="2:5">
      <c r="B1136" s="1115">
        <v>44973</v>
      </c>
      <c r="C1136" s="242">
        <f t="shared" si="35"/>
        <v>2</v>
      </c>
      <c r="D1136" s="242">
        <v>40.299999999999997</v>
      </c>
      <c r="E1136" s="845">
        <f t="shared" si="36"/>
        <v>4.6111111111111098</v>
      </c>
    </row>
    <row r="1137" spans="2:5">
      <c r="B1137" s="1115">
        <v>44974</v>
      </c>
      <c r="C1137" s="242">
        <f t="shared" si="35"/>
        <v>2</v>
      </c>
      <c r="D1137" s="242">
        <v>40.6</v>
      </c>
      <c r="E1137" s="845">
        <f t="shared" si="36"/>
        <v>4.7777777777777786</v>
      </c>
    </row>
    <row r="1138" spans="2:5">
      <c r="B1138" s="1115">
        <v>44974</v>
      </c>
      <c r="C1138" s="242">
        <f t="shared" si="35"/>
        <v>2</v>
      </c>
      <c r="D1138" s="242">
        <v>40.799999999999997</v>
      </c>
      <c r="E1138" s="845">
        <f t="shared" si="36"/>
        <v>4.8888888888888875</v>
      </c>
    </row>
    <row r="1139" spans="2:5">
      <c r="B1139" s="1115">
        <v>44974</v>
      </c>
      <c r="C1139" s="242">
        <f t="shared" si="35"/>
        <v>2</v>
      </c>
      <c r="D1139" s="242" t="s">
        <v>1837</v>
      </c>
      <c r="E1139" s="845">
        <f t="shared" si="36"/>
        <v>5</v>
      </c>
    </row>
    <row r="1140" spans="2:5">
      <c r="B1140" s="1115">
        <v>44974</v>
      </c>
      <c r="C1140" s="242">
        <f t="shared" si="35"/>
        <v>2</v>
      </c>
      <c r="D1140" s="242" t="s">
        <v>1837</v>
      </c>
      <c r="E1140" s="845">
        <f t="shared" si="36"/>
        <v>5</v>
      </c>
    </row>
    <row r="1141" spans="2:5">
      <c r="B1141" s="1115">
        <v>44974</v>
      </c>
      <c r="C1141" s="242">
        <f t="shared" si="35"/>
        <v>2</v>
      </c>
      <c r="D1141" s="242" t="s">
        <v>1837</v>
      </c>
      <c r="E1141" s="845">
        <f t="shared" si="36"/>
        <v>5</v>
      </c>
    </row>
    <row r="1142" spans="2:5">
      <c r="B1142" s="1115">
        <v>44974</v>
      </c>
      <c r="C1142" s="242">
        <f t="shared" si="35"/>
        <v>2</v>
      </c>
      <c r="D1142" s="242">
        <v>40.799999999999997</v>
      </c>
      <c r="E1142" s="845">
        <f t="shared" si="36"/>
        <v>4.8888888888888875</v>
      </c>
    </row>
    <row r="1143" spans="2:5">
      <c r="B1143" s="1115">
        <v>44974</v>
      </c>
      <c r="C1143" s="242">
        <f t="shared" si="35"/>
        <v>2</v>
      </c>
      <c r="D1143" s="242">
        <v>40.5</v>
      </c>
      <c r="E1143" s="845">
        <f t="shared" si="36"/>
        <v>4.7222222222222223</v>
      </c>
    </row>
    <row r="1144" spans="2:5">
      <c r="B1144" s="1115">
        <v>44974</v>
      </c>
      <c r="C1144" s="242">
        <f t="shared" si="35"/>
        <v>2</v>
      </c>
      <c r="D1144" s="242">
        <v>40.1</v>
      </c>
      <c r="E1144" s="845">
        <f t="shared" si="36"/>
        <v>4.5000000000000009</v>
      </c>
    </row>
    <row r="1145" spans="2:5">
      <c r="B1145" s="1115">
        <v>44974</v>
      </c>
      <c r="C1145" s="242">
        <f t="shared" si="35"/>
        <v>2</v>
      </c>
      <c r="D1145" s="242">
        <v>39.9</v>
      </c>
      <c r="E1145" s="845">
        <f t="shared" si="36"/>
        <v>4.3888888888888884</v>
      </c>
    </row>
    <row r="1146" spans="2:5">
      <c r="B1146" s="1115">
        <v>44974</v>
      </c>
      <c r="C1146" s="242">
        <f t="shared" si="35"/>
        <v>2</v>
      </c>
      <c r="D1146" s="242">
        <v>39.700000000000003</v>
      </c>
      <c r="E1146" s="845">
        <f t="shared" si="36"/>
        <v>4.2777777777777795</v>
      </c>
    </row>
    <row r="1147" spans="2:5">
      <c r="B1147" s="1115">
        <v>44974</v>
      </c>
      <c r="C1147" s="242">
        <f t="shared" si="35"/>
        <v>2</v>
      </c>
      <c r="D1147" s="242">
        <v>40.299999999999997</v>
      </c>
      <c r="E1147" s="845">
        <f t="shared" si="36"/>
        <v>4.6111111111111098</v>
      </c>
    </row>
    <row r="1148" spans="2:5">
      <c r="B1148" s="1115">
        <v>44974</v>
      </c>
      <c r="C1148" s="242">
        <f t="shared" si="35"/>
        <v>2</v>
      </c>
      <c r="D1148" s="242">
        <v>40.6</v>
      </c>
      <c r="E1148" s="845">
        <f t="shared" si="36"/>
        <v>4.7777777777777786</v>
      </c>
    </row>
    <row r="1149" spans="2:5">
      <c r="B1149" s="1115">
        <v>44974</v>
      </c>
      <c r="C1149" s="242">
        <f t="shared" si="35"/>
        <v>2</v>
      </c>
      <c r="D1149" s="242">
        <v>40.799999999999997</v>
      </c>
      <c r="E1149" s="845">
        <f t="shared" si="36"/>
        <v>4.8888888888888875</v>
      </c>
    </row>
    <row r="1150" spans="2:5">
      <c r="B1150" s="1115">
        <v>44974</v>
      </c>
      <c r="C1150" s="242">
        <f t="shared" si="35"/>
        <v>2</v>
      </c>
      <c r="D1150" s="242">
        <v>41.2</v>
      </c>
      <c r="E1150" s="845">
        <f t="shared" si="36"/>
        <v>5.1111111111111125</v>
      </c>
    </row>
    <row r="1151" spans="2:5">
      <c r="B1151" s="1115">
        <v>44974</v>
      </c>
      <c r="C1151" s="242">
        <f t="shared" si="35"/>
        <v>2</v>
      </c>
      <c r="D1151" s="242">
        <v>41.2</v>
      </c>
      <c r="E1151" s="845">
        <f t="shared" si="36"/>
        <v>5.1111111111111125</v>
      </c>
    </row>
    <row r="1152" spans="2:5">
      <c r="B1152" s="1115">
        <v>44974</v>
      </c>
      <c r="C1152" s="242">
        <f t="shared" si="35"/>
        <v>2</v>
      </c>
      <c r="D1152" s="242">
        <v>41.4</v>
      </c>
      <c r="E1152" s="845">
        <f t="shared" si="36"/>
        <v>5.2222222222222214</v>
      </c>
    </row>
    <row r="1153" spans="2:5">
      <c r="B1153" s="1115">
        <v>44974</v>
      </c>
      <c r="C1153" s="242">
        <f t="shared" si="35"/>
        <v>2</v>
      </c>
      <c r="D1153" s="242">
        <v>41.4</v>
      </c>
      <c r="E1153" s="845">
        <f t="shared" si="36"/>
        <v>5.2222222222222214</v>
      </c>
    </row>
    <row r="1154" spans="2:5">
      <c r="B1154" s="1115">
        <v>44974</v>
      </c>
      <c r="C1154" s="242">
        <f t="shared" si="35"/>
        <v>2</v>
      </c>
      <c r="D1154" s="242">
        <v>41.2</v>
      </c>
      <c r="E1154" s="845">
        <f t="shared" si="36"/>
        <v>5.1111111111111125</v>
      </c>
    </row>
    <row r="1155" spans="2:5">
      <c r="B1155" s="1115">
        <v>44974</v>
      </c>
      <c r="C1155" s="242">
        <f t="shared" si="35"/>
        <v>2</v>
      </c>
      <c r="D1155" s="242" t="s">
        <v>1837</v>
      </c>
      <c r="E1155" s="845">
        <f t="shared" si="36"/>
        <v>5</v>
      </c>
    </row>
    <row r="1156" spans="2:5">
      <c r="B1156" s="1115">
        <v>44974</v>
      </c>
      <c r="C1156" s="242">
        <f t="shared" si="35"/>
        <v>2</v>
      </c>
      <c r="D1156" s="242">
        <v>40.6</v>
      </c>
      <c r="E1156" s="845">
        <f t="shared" si="36"/>
        <v>4.7777777777777786</v>
      </c>
    </row>
    <row r="1157" spans="2:5">
      <c r="B1157" s="1115">
        <v>44974</v>
      </c>
      <c r="C1157" s="242">
        <f t="shared" si="35"/>
        <v>2</v>
      </c>
      <c r="D1157" s="242">
        <v>40.299999999999997</v>
      </c>
      <c r="E1157" s="845">
        <f t="shared" si="36"/>
        <v>4.6111111111111098</v>
      </c>
    </row>
    <row r="1158" spans="2:5">
      <c r="B1158" s="1115">
        <v>44974</v>
      </c>
      <c r="C1158" s="242">
        <f t="shared" si="35"/>
        <v>2</v>
      </c>
      <c r="D1158" s="242">
        <v>40.1</v>
      </c>
      <c r="E1158" s="845">
        <f t="shared" si="36"/>
        <v>4.5000000000000009</v>
      </c>
    </row>
    <row r="1159" spans="2:5">
      <c r="B1159" s="1115">
        <v>44974</v>
      </c>
      <c r="C1159" s="242">
        <f t="shared" si="35"/>
        <v>2</v>
      </c>
      <c r="D1159" s="242">
        <v>40.1</v>
      </c>
      <c r="E1159" s="845">
        <f t="shared" si="36"/>
        <v>4.5000000000000009</v>
      </c>
    </row>
    <row r="1160" spans="2:5">
      <c r="B1160" s="1115">
        <v>44974</v>
      </c>
      <c r="C1160" s="242">
        <f t="shared" si="35"/>
        <v>2</v>
      </c>
      <c r="D1160" s="242">
        <v>40.1</v>
      </c>
      <c r="E1160" s="845">
        <f t="shared" si="36"/>
        <v>4.5000000000000009</v>
      </c>
    </row>
    <row r="1161" spans="2:5">
      <c r="B1161" s="1115">
        <v>44975</v>
      </c>
      <c r="C1161" s="242">
        <f t="shared" si="35"/>
        <v>2</v>
      </c>
      <c r="D1161" s="242">
        <v>40.6</v>
      </c>
      <c r="E1161" s="845">
        <f t="shared" si="36"/>
        <v>4.7777777777777786</v>
      </c>
    </row>
    <row r="1162" spans="2:5">
      <c r="B1162" s="1115">
        <v>44975</v>
      </c>
      <c r="C1162" s="242">
        <f t="shared" ref="C1162:C1225" si="37">MONTH(B1162)</f>
        <v>2</v>
      </c>
      <c r="D1162" s="242">
        <v>40.799999999999997</v>
      </c>
      <c r="E1162" s="845">
        <f t="shared" ref="E1162:E1225" si="38">CONVERT(D1162,"F","C")</f>
        <v>4.8888888888888875</v>
      </c>
    </row>
    <row r="1163" spans="2:5">
      <c r="B1163" s="1115">
        <v>44975</v>
      </c>
      <c r="C1163" s="242">
        <f t="shared" si="37"/>
        <v>2</v>
      </c>
      <c r="D1163" s="242">
        <v>41.2</v>
      </c>
      <c r="E1163" s="845">
        <f t="shared" si="38"/>
        <v>5.1111111111111125</v>
      </c>
    </row>
    <row r="1164" spans="2:5">
      <c r="B1164" s="1115">
        <v>44975</v>
      </c>
      <c r="C1164" s="242">
        <f t="shared" si="37"/>
        <v>2</v>
      </c>
      <c r="D1164" s="242">
        <v>41.2</v>
      </c>
      <c r="E1164" s="845">
        <f t="shared" si="38"/>
        <v>5.1111111111111125</v>
      </c>
    </row>
    <row r="1165" spans="2:5">
      <c r="B1165" s="1115">
        <v>44975</v>
      </c>
      <c r="C1165" s="242">
        <f t="shared" si="37"/>
        <v>2</v>
      </c>
      <c r="D1165" s="242">
        <v>41.4</v>
      </c>
      <c r="E1165" s="845">
        <f t="shared" si="38"/>
        <v>5.2222222222222214</v>
      </c>
    </row>
    <row r="1166" spans="2:5">
      <c r="B1166" s="1115">
        <v>44975</v>
      </c>
      <c r="C1166" s="242">
        <f t="shared" si="37"/>
        <v>2</v>
      </c>
      <c r="D1166" s="242">
        <v>41.2</v>
      </c>
      <c r="E1166" s="845">
        <f t="shared" si="38"/>
        <v>5.1111111111111125</v>
      </c>
    </row>
    <row r="1167" spans="2:5">
      <c r="B1167" s="1115">
        <v>44975</v>
      </c>
      <c r="C1167" s="242">
        <f t="shared" si="37"/>
        <v>2</v>
      </c>
      <c r="D1167" s="242">
        <v>40.6</v>
      </c>
      <c r="E1167" s="845">
        <f t="shared" si="38"/>
        <v>4.7777777777777786</v>
      </c>
    </row>
    <row r="1168" spans="2:5">
      <c r="B1168" s="1115">
        <v>44975</v>
      </c>
      <c r="C1168" s="242">
        <f t="shared" si="37"/>
        <v>2</v>
      </c>
      <c r="D1168" s="242">
        <v>40.1</v>
      </c>
      <c r="E1168" s="845">
        <f t="shared" si="38"/>
        <v>4.5000000000000009</v>
      </c>
    </row>
    <row r="1169" spans="2:5">
      <c r="B1169" s="1115">
        <v>44975</v>
      </c>
      <c r="C1169" s="242">
        <f t="shared" si="37"/>
        <v>2</v>
      </c>
      <c r="D1169" s="242">
        <v>39.700000000000003</v>
      </c>
      <c r="E1169" s="845">
        <f t="shared" si="38"/>
        <v>4.2777777777777795</v>
      </c>
    </row>
    <row r="1170" spans="2:5">
      <c r="B1170" s="1115">
        <v>44975</v>
      </c>
      <c r="C1170" s="242">
        <f t="shared" si="37"/>
        <v>2</v>
      </c>
      <c r="D1170" s="242">
        <v>39.6</v>
      </c>
      <c r="E1170" s="845">
        <f t="shared" si="38"/>
        <v>4.2222222222222232</v>
      </c>
    </row>
    <row r="1171" spans="2:5">
      <c r="B1171" s="1115">
        <v>44975</v>
      </c>
      <c r="C1171" s="242">
        <f t="shared" si="37"/>
        <v>2</v>
      </c>
      <c r="D1171" s="242">
        <v>39.4</v>
      </c>
      <c r="E1171" s="845">
        <f t="shared" si="38"/>
        <v>4.1111111111111098</v>
      </c>
    </row>
    <row r="1172" spans="2:5">
      <c r="B1172" s="1115">
        <v>44975</v>
      </c>
      <c r="C1172" s="242">
        <f t="shared" si="37"/>
        <v>2</v>
      </c>
      <c r="D1172" s="242">
        <v>39.6</v>
      </c>
      <c r="E1172" s="845">
        <f t="shared" si="38"/>
        <v>4.2222222222222232</v>
      </c>
    </row>
    <row r="1173" spans="2:5">
      <c r="B1173" s="1115">
        <v>44975</v>
      </c>
      <c r="C1173" s="242">
        <f t="shared" si="37"/>
        <v>2</v>
      </c>
      <c r="D1173" s="242">
        <v>40.299999999999997</v>
      </c>
      <c r="E1173" s="845">
        <f t="shared" si="38"/>
        <v>4.6111111111111098</v>
      </c>
    </row>
    <row r="1174" spans="2:5">
      <c r="B1174" s="1115">
        <v>44975</v>
      </c>
      <c r="C1174" s="242">
        <f t="shared" si="37"/>
        <v>2</v>
      </c>
      <c r="D1174" s="242">
        <v>40.6</v>
      </c>
      <c r="E1174" s="845">
        <f t="shared" si="38"/>
        <v>4.7777777777777786</v>
      </c>
    </row>
    <row r="1175" spans="2:5">
      <c r="B1175" s="1115">
        <v>44975</v>
      </c>
      <c r="C1175" s="242">
        <f t="shared" si="37"/>
        <v>2</v>
      </c>
      <c r="D1175" s="242" t="s">
        <v>1837</v>
      </c>
      <c r="E1175" s="845">
        <f t="shared" si="38"/>
        <v>5</v>
      </c>
    </row>
    <row r="1176" spans="2:5">
      <c r="B1176" s="1115">
        <v>44975</v>
      </c>
      <c r="C1176" s="242">
        <f t="shared" si="37"/>
        <v>2</v>
      </c>
      <c r="D1176" s="242">
        <v>41.2</v>
      </c>
      <c r="E1176" s="845">
        <f t="shared" si="38"/>
        <v>5.1111111111111125</v>
      </c>
    </row>
    <row r="1177" spans="2:5">
      <c r="B1177" s="1115">
        <v>44975</v>
      </c>
      <c r="C1177" s="242">
        <f t="shared" si="37"/>
        <v>2</v>
      </c>
      <c r="D1177" s="242">
        <v>41.2</v>
      </c>
      <c r="E1177" s="845">
        <f t="shared" si="38"/>
        <v>5.1111111111111125</v>
      </c>
    </row>
    <row r="1178" spans="2:5">
      <c r="B1178" s="1115">
        <v>44975</v>
      </c>
      <c r="C1178" s="242">
        <f t="shared" si="37"/>
        <v>2</v>
      </c>
      <c r="D1178" s="242">
        <v>41.2</v>
      </c>
      <c r="E1178" s="845">
        <f t="shared" si="38"/>
        <v>5.1111111111111125</v>
      </c>
    </row>
    <row r="1179" spans="2:5">
      <c r="B1179" s="1115">
        <v>44975</v>
      </c>
      <c r="C1179" s="242">
        <f t="shared" si="37"/>
        <v>2</v>
      </c>
      <c r="D1179" s="242" t="s">
        <v>1837</v>
      </c>
      <c r="E1179" s="845">
        <f t="shared" si="38"/>
        <v>5</v>
      </c>
    </row>
    <row r="1180" spans="2:5">
      <c r="B1180" s="1115">
        <v>44975</v>
      </c>
      <c r="C1180" s="242">
        <f t="shared" si="37"/>
        <v>2</v>
      </c>
      <c r="D1180" s="242">
        <v>40.6</v>
      </c>
      <c r="E1180" s="845">
        <f t="shared" si="38"/>
        <v>4.7777777777777786</v>
      </c>
    </row>
    <row r="1181" spans="2:5">
      <c r="B1181" s="1115">
        <v>44975</v>
      </c>
      <c r="C1181" s="242">
        <f t="shared" si="37"/>
        <v>2</v>
      </c>
      <c r="D1181" s="242">
        <v>40.299999999999997</v>
      </c>
      <c r="E1181" s="845">
        <f t="shared" si="38"/>
        <v>4.6111111111111098</v>
      </c>
    </row>
    <row r="1182" spans="2:5">
      <c r="B1182" s="1115">
        <v>44975</v>
      </c>
      <c r="C1182" s="242">
        <f t="shared" si="37"/>
        <v>2</v>
      </c>
      <c r="D1182" s="242">
        <v>40.1</v>
      </c>
      <c r="E1182" s="845">
        <f t="shared" si="38"/>
        <v>4.5000000000000009</v>
      </c>
    </row>
    <row r="1183" spans="2:5">
      <c r="B1183" s="1115">
        <v>44975</v>
      </c>
      <c r="C1183" s="242">
        <f t="shared" si="37"/>
        <v>2</v>
      </c>
      <c r="D1183" s="242">
        <v>39.700000000000003</v>
      </c>
      <c r="E1183" s="845">
        <f t="shared" si="38"/>
        <v>4.2777777777777795</v>
      </c>
    </row>
    <row r="1184" spans="2:5">
      <c r="B1184" s="1115">
        <v>44975</v>
      </c>
      <c r="C1184" s="242">
        <f t="shared" si="37"/>
        <v>2</v>
      </c>
      <c r="D1184" s="242">
        <v>39.6</v>
      </c>
      <c r="E1184" s="845">
        <f t="shared" si="38"/>
        <v>4.2222222222222232</v>
      </c>
    </row>
    <row r="1185" spans="2:5">
      <c r="B1185" s="1115">
        <v>44976</v>
      </c>
      <c r="C1185" s="242">
        <f t="shared" si="37"/>
        <v>2</v>
      </c>
      <c r="D1185" s="242">
        <v>39.700000000000003</v>
      </c>
      <c r="E1185" s="845">
        <f t="shared" si="38"/>
        <v>4.2777777777777795</v>
      </c>
    </row>
    <row r="1186" spans="2:5">
      <c r="B1186" s="1115">
        <v>44976</v>
      </c>
      <c r="C1186" s="242">
        <f t="shared" si="37"/>
        <v>2</v>
      </c>
      <c r="D1186" s="242">
        <v>40.299999999999997</v>
      </c>
      <c r="E1186" s="845">
        <f t="shared" si="38"/>
        <v>4.6111111111111098</v>
      </c>
    </row>
    <row r="1187" spans="2:5">
      <c r="B1187" s="1115">
        <v>44976</v>
      </c>
      <c r="C1187" s="242">
        <f t="shared" si="37"/>
        <v>2</v>
      </c>
      <c r="D1187" s="242">
        <v>40.6</v>
      </c>
      <c r="E1187" s="845">
        <f t="shared" si="38"/>
        <v>4.7777777777777786</v>
      </c>
    </row>
    <row r="1188" spans="2:5">
      <c r="B1188" s="1115">
        <v>44976</v>
      </c>
      <c r="C1188" s="242">
        <f t="shared" si="37"/>
        <v>2</v>
      </c>
      <c r="D1188" s="242" t="s">
        <v>1837</v>
      </c>
      <c r="E1188" s="845">
        <f t="shared" si="38"/>
        <v>5</v>
      </c>
    </row>
    <row r="1189" spans="2:5">
      <c r="B1189" s="1115">
        <v>44976</v>
      </c>
      <c r="C1189" s="242">
        <f t="shared" si="37"/>
        <v>2</v>
      </c>
      <c r="D1189" s="242" t="s">
        <v>1837</v>
      </c>
      <c r="E1189" s="845">
        <f t="shared" si="38"/>
        <v>5</v>
      </c>
    </row>
    <row r="1190" spans="2:5">
      <c r="B1190" s="1115">
        <v>44976</v>
      </c>
      <c r="C1190" s="242">
        <f t="shared" si="37"/>
        <v>2</v>
      </c>
      <c r="D1190" s="242" t="s">
        <v>1837</v>
      </c>
      <c r="E1190" s="845">
        <f t="shared" si="38"/>
        <v>5</v>
      </c>
    </row>
    <row r="1191" spans="2:5">
      <c r="B1191" s="1115">
        <v>44976</v>
      </c>
      <c r="C1191" s="242">
        <f t="shared" si="37"/>
        <v>2</v>
      </c>
      <c r="D1191" s="242">
        <v>40.799999999999997</v>
      </c>
      <c r="E1191" s="845">
        <f t="shared" si="38"/>
        <v>4.8888888888888875</v>
      </c>
    </row>
    <row r="1192" spans="2:5">
      <c r="B1192" s="1115">
        <v>44976</v>
      </c>
      <c r="C1192" s="242">
        <f t="shared" si="37"/>
        <v>2</v>
      </c>
      <c r="D1192" s="242">
        <v>40.6</v>
      </c>
      <c r="E1192" s="845">
        <f t="shared" si="38"/>
        <v>4.7777777777777786</v>
      </c>
    </row>
    <row r="1193" spans="2:5">
      <c r="B1193" s="1115">
        <v>44976</v>
      </c>
      <c r="C1193" s="242">
        <f t="shared" si="37"/>
        <v>2</v>
      </c>
      <c r="D1193" s="242">
        <v>40.1</v>
      </c>
      <c r="E1193" s="845">
        <f t="shared" si="38"/>
        <v>4.5000000000000009</v>
      </c>
    </row>
    <row r="1194" spans="2:5">
      <c r="B1194" s="1115">
        <v>44976</v>
      </c>
      <c r="C1194" s="242">
        <f t="shared" si="37"/>
        <v>2</v>
      </c>
      <c r="D1194" s="242">
        <v>39.700000000000003</v>
      </c>
      <c r="E1194" s="845">
        <f t="shared" si="38"/>
        <v>4.2777777777777795</v>
      </c>
    </row>
    <row r="1195" spans="2:5">
      <c r="B1195" s="1115">
        <v>44976</v>
      </c>
      <c r="C1195" s="242">
        <f t="shared" si="37"/>
        <v>2</v>
      </c>
      <c r="D1195" s="242">
        <v>39.4</v>
      </c>
      <c r="E1195" s="845">
        <f t="shared" si="38"/>
        <v>4.1111111111111098</v>
      </c>
    </row>
    <row r="1196" spans="2:5">
      <c r="B1196" s="1115">
        <v>44976</v>
      </c>
      <c r="C1196" s="242">
        <f t="shared" si="37"/>
        <v>2</v>
      </c>
      <c r="D1196" s="242">
        <v>39.200000000000003</v>
      </c>
      <c r="E1196" s="845">
        <f t="shared" si="38"/>
        <v>4.0000000000000018</v>
      </c>
    </row>
    <row r="1197" spans="2:5">
      <c r="B1197" s="1115">
        <v>44976</v>
      </c>
      <c r="C1197" s="242">
        <f t="shared" si="37"/>
        <v>2</v>
      </c>
      <c r="D1197" s="242">
        <v>39.6</v>
      </c>
      <c r="E1197" s="845">
        <f t="shared" si="38"/>
        <v>4.2222222222222232</v>
      </c>
    </row>
    <row r="1198" spans="2:5">
      <c r="B1198" s="1115">
        <v>44976</v>
      </c>
      <c r="C1198" s="242">
        <f t="shared" si="37"/>
        <v>2</v>
      </c>
      <c r="D1198" s="242">
        <v>40.1</v>
      </c>
      <c r="E1198" s="845">
        <f t="shared" si="38"/>
        <v>4.5000000000000009</v>
      </c>
    </row>
    <row r="1199" spans="2:5">
      <c r="B1199" s="1115">
        <v>44976</v>
      </c>
      <c r="C1199" s="242">
        <f t="shared" si="37"/>
        <v>2</v>
      </c>
      <c r="D1199" s="242">
        <v>40.6</v>
      </c>
      <c r="E1199" s="845">
        <f t="shared" si="38"/>
        <v>4.7777777777777786</v>
      </c>
    </row>
    <row r="1200" spans="2:5">
      <c r="B1200" s="1115">
        <v>44976</v>
      </c>
      <c r="C1200" s="242">
        <f t="shared" si="37"/>
        <v>2</v>
      </c>
      <c r="D1200" s="242" t="s">
        <v>1837</v>
      </c>
      <c r="E1200" s="845">
        <f t="shared" si="38"/>
        <v>5</v>
      </c>
    </row>
    <row r="1201" spans="2:5">
      <c r="B1201" s="1115">
        <v>44976</v>
      </c>
      <c r="C1201" s="242">
        <f t="shared" si="37"/>
        <v>2</v>
      </c>
      <c r="D1201" s="242">
        <v>41.2</v>
      </c>
      <c r="E1201" s="845">
        <f t="shared" si="38"/>
        <v>5.1111111111111125</v>
      </c>
    </row>
    <row r="1202" spans="2:5">
      <c r="B1202" s="1115">
        <v>44976</v>
      </c>
      <c r="C1202" s="242">
        <f t="shared" si="37"/>
        <v>2</v>
      </c>
      <c r="D1202" s="242">
        <v>41.2</v>
      </c>
      <c r="E1202" s="845">
        <f t="shared" si="38"/>
        <v>5.1111111111111125</v>
      </c>
    </row>
    <row r="1203" spans="2:5">
      <c r="B1203" s="1115">
        <v>44976</v>
      </c>
      <c r="C1203" s="242">
        <f t="shared" si="37"/>
        <v>2</v>
      </c>
      <c r="D1203" s="242">
        <v>41.2</v>
      </c>
      <c r="E1203" s="845">
        <f t="shared" si="38"/>
        <v>5.1111111111111125</v>
      </c>
    </row>
    <row r="1204" spans="2:5">
      <c r="B1204" s="1115">
        <v>44976</v>
      </c>
      <c r="C1204" s="242">
        <f t="shared" si="37"/>
        <v>2</v>
      </c>
      <c r="D1204" s="242" t="s">
        <v>1837</v>
      </c>
      <c r="E1204" s="845">
        <f t="shared" si="38"/>
        <v>5</v>
      </c>
    </row>
    <row r="1205" spans="2:5">
      <c r="B1205" s="1115">
        <v>44976</v>
      </c>
      <c r="C1205" s="242">
        <f t="shared" si="37"/>
        <v>2</v>
      </c>
      <c r="D1205" s="242">
        <v>40.6</v>
      </c>
      <c r="E1205" s="845">
        <f t="shared" si="38"/>
        <v>4.7777777777777786</v>
      </c>
    </row>
    <row r="1206" spans="2:5">
      <c r="B1206" s="1115">
        <v>44976</v>
      </c>
      <c r="C1206" s="242">
        <f t="shared" si="37"/>
        <v>2</v>
      </c>
      <c r="D1206" s="242">
        <v>40.299999999999997</v>
      </c>
      <c r="E1206" s="845">
        <f t="shared" si="38"/>
        <v>4.6111111111111098</v>
      </c>
    </row>
    <row r="1207" spans="2:5">
      <c r="B1207" s="1115">
        <v>44976</v>
      </c>
      <c r="C1207" s="242">
        <f t="shared" si="37"/>
        <v>2</v>
      </c>
      <c r="D1207" s="242">
        <v>39.9</v>
      </c>
      <c r="E1207" s="845">
        <f t="shared" si="38"/>
        <v>4.3888888888888884</v>
      </c>
    </row>
    <row r="1208" spans="2:5">
      <c r="B1208" s="1115">
        <v>44976</v>
      </c>
      <c r="C1208" s="242">
        <f t="shared" si="37"/>
        <v>2</v>
      </c>
      <c r="D1208" s="242">
        <v>39.6</v>
      </c>
      <c r="E1208" s="845">
        <f t="shared" si="38"/>
        <v>4.2222222222222232</v>
      </c>
    </row>
    <row r="1209" spans="2:5">
      <c r="B1209" s="1115">
        <v>44977</v>
      </c>
      <c r="C1209" s="242">
        <f t="shared" si="37"/>
        <v>2</v>
      </c>
      <c r="D1209" s="242">
        <v>39.4</v>
      </c>
      <c r="E1209" s="845">
        <f t="shared" si="38"/>
        <v>4.1111111111111098</v>
      </c>
    </row>
    <row r="1210" spans="2:5">
      <c r="B1210" s="1115">
        <v>44977</v>
      </c>
      <c r="C1210" s="242">
        <f t="shared" si="37"/>
        <v>2</v>
      </c>
      <c r="D1210" s="242">
        <v>39.9</v>
      </c>
      <c r="E1210" s="845">
        <f t="shared" si="38"/>
        <v>4.3888888888888884</v>
      </c>
    </row>
    <row r="1211" spans="2:5">
      <c r="B1211" s="1115">
        <v>44977</v>
      </c>
      <c r="C1211" s="242">
        <f t="shared" si="37"/>
        <v>2</v>
      </c>
      <c r="D1211" s="242">
        <v>40.299999999999997</v>
      </c>
      <c r="E1211" s="845">
        <f t="shared" si="38"/>
        <v>4.6111111111111098</v>
      </c>
    </row>
    <row r="1212" spans="2:5">
      <c r="B1212" s="1115">
        <v>44977</v>
      </c>
      <c r="C1212" s="242">
        <f t="shared" si="37"/>
        <v>2</v>
      </c>
      <c r="D1212" s="242">
        <v>40.799999999999997</v>
      </c>
      <c r="E1212" s="845">
        <f t="shared" si="38"/>
        <v>4.8888888888888875</v>
      </c>
    </row>
    <row r="1213" spans="2:5">
      <c r="B1213" s="1115">
        <v>44977</v>
      </c>
      <c r="C1213" s="242">
        <f t="shared" si="37"/>
        <v>2</v>
      </c>
      <c r="D1213" s="242">
        <v>41.2</v>
      </c>
      <c r="E1213" s="845">
        <f t="shared" si="38"/>
        <v>5.1111111111111125</v>
      </c>
    </row>
    <row r="1214" spans="2:5">
      <c r="B1214" s="1115">
        <v>44977</v>
      </c>
      <c r="C1214" s="242">
        <f t="shared" si="37"/>
        <v>2</v>
      </c>
      <c r="D1214" s="242">
        <v>41.2</v>
      </c>
      <c r="E1214" s="845">
        <f t="shared" si="38"/>
        <v>5.1111111111111125</v>
      </c>
    </row>
    <row r="1215" spans="2:5">
      <c r="B1215" s="1115">
        <v>44977</v>
      </c>
      <c r="C1215" s="242">
        <f t="shared" si="37"/>
        <v>2</v>
      </c>
      <c r="D1215" s="242">
        <v>41.2</v>
      </c>
      <c r="E1215" s="845">
        <f t="shared" si="38"/>
        <v>5.1111111111111125</v>
      </c>
    </row>
    <row r="1216" spans="2:5">
      <c r="B1216" s="1115">
        <v>44977</v>
      </c>
      <c r="C1216" s="242">
        <f t="shared" si="37"/>
        <v>2</v>
      </c>
      <c r="D1216" s="242" t="s">
        <v>1837</v>
      </c>
      <c r="E1216" s="845">
        <f t="shared" si="38"/>
        <v>5</v>
      </c>
    </row>
    <row r="1217" spans="2:5">
      <c r="B1217" s="1115">
        <v>44977</v>
      </c>
      <c r="C1217" s="242">
        <f t="shared" si="37"/>
        <v>2</v>
      </c>
      <c r="D1217" s="242">
        <v>40.799999999999997</v>
      </c>
      <c r="E1217" s="845">
        <f t="shared" si="38"/>
        <v>4.8888888888888875</v>
      </c>
    </row>
    <row r="1218" spans="2:5">
      <c r="B1218" s="1115">
        <v>44977</v>
      </c>
      <c r="C1218" s="242">
        <f t="shared" si="37"/>
        <v>2</v>
      </c>
      <c r="D1218" s="242">
        <v>40.5</v>
      </c>
      <c r="E1218" s="845">
        <f t="shared" si="38"/>
        <v>4.7222222222222223</v>
      </c>
    </row>
    <row r="1219" spans="2:5">
      <c r="B1219" s="1115">
        <v>44977</v>
      </c>
      <c r="C1219" s="242">
        <f t="shared" si="37"/>
        <v>2</v>
      </c>
      <c r="D1219" s="242">
        <v>39.9</v>
      </c>
      <c r="E1219" s="845">
        <f t="shared" si="38"/>
        <v>4.3888888888888884</v>
      </c>
    </row>
    <row r="1220" spans="2:5">
      <c r="B1220" s="1115">
        <v>44977</v>
      </c>
      <c r="C1220" s="242">
        <f t="shared" si="37"/>
        <v>2</v>
      </c>
      <c r="D1220" s="242">
        <v>39.6</v>
      </c>
      <c r="E1220" s="845">
        <f t="shared" si="38"/>
        <v>4.2222222222222232</v>
      </c>
    </row>
    <row r="1221" spans="2:5">
      <c r="B1221" s="1115">
        <v>44977</v>
      </c>
      <c r="C1221" s="242">
        <f t="shared" si="37"/>
        <v>2</v>
      </c>
      <c r="D1221" s="242">
        <v>39.6</v>
      </c>
      <c r="E1221" s="845">
        <f t="shared" si="38"/>
        <v>4.2222222222222232</v>
      </c>
    </row>
    <row r="1222" spans="2:5">
      <c r="B1222" s="1115">
        <v>44977</v>
      </c>
      <c r="C1222" s="242">
        <f t="shared" si="37"/>
        <v>2</v>
      </c>
      <c r="D1222" s="242">
        <v>39.9</v>
      </c>
      <c r="E1222" s="845">
        <f t="shared" si="38"/>
        <v>4.3888888888888884</v>
      </c>
    </row>
    <row r="1223" spans="2:5">
      <c r="B1223" s="1115">
        <v>44977</v>
      </c>
      <c r="C1223" s="242">
        <f t="shared" si="37"/>
        <v>2</v>
      </c>
      <c r="D1223" s="242">
        <v>40.5</v>
      </c>
      <c r="E1223" s="845">
        <f t="shared" si="38"/>
        <v>4.7222222222222223</v>
      </c>
    </row>
    <row r="1224" spans="2:5">
      <c r="B1224" s="1115">
        <v>44977</v>
      </c>
      <c r="C1224" s="242">
        <f t="shared" si="37"/>
        <v>2</v>
      </c>
      <c r="D1224" s="242" t="s">
        <v>1837</v>
      </c>
      <c r="E1224" s="845">
        <f t="shared" si="38"/>
        <v>5</v>
      </c>
    </row>
    <row r="1225" spans="2:5">
      <c r="B1225" s="1115">
        <v>44977</v>
      </c>
      <c r="C1225" s="242">
        <f t="shared" si="37"/>
        <v>2</v>
      </c>
      <c r="D1225" s="242">
        <v>41.2</v>
      </c>
      <c r="E1225" s="845">
        <f t="shared" si="38"/>
        <v>5.1111111111111125</v>
      </c>
    </row>
    <row r="1226" spans="2:5">
      <c r="B1226" s="1115">
        <v>44977</v>
      </c>
      <c r="C1226" s="242">
        <f t="shared" ref="C1226:C1289" si="39">MONTH(B1226)</f>
        <v>2</v>
      </c>
      <c r="D1226" s="242">
        <v>41.4</v>
      </c>
      <c r="E1226" s="845">
        <f t="shared" ref="E1226:E1289" si="40">CONVERT(D1226,"F","C")</f>
        <v>5.2222222222222214</v>
      </c>
    </row>
    <row r="1227" spans="2:5">
      <c r="B1227" s="1115">
        <v>44977</v>
      </c>
      <c r="C1227" s="242">
        <f t="shared" si="39"/>
        <v>2</v>
      </c>
      <c r="D1227" s="242">
        <v>41.4</v>
      </c>
      <c r="E1227" s="845">
        <f t="shared" si="40"/>
        <v>5.2222222222222214</v>
      </c>
    </row>
    <row r="1228" spans="2:5">
      <c r="B1228" s="1115">
        <v>44977</v>
      </c>
      <c r="C1228" s="242">
        <f t="shared" si="39"/>
        <v>2</v>
      </c>
      <c r="D1228" s="242">
        <v>41.4</v>
      </c>
      <c r="E1228" s="845">
        <f t="shared" si="40"/>
        <v>5.2222222222222214</v>
      </c>
    </row>
    <row r="1229" spans="2:5">
      <c r="B1229" s="1115">
        <v>44977</v>
      </c>
      <c r="C1229" s="242">
        <f t="shared" si="39"/>
        <v>2</v>
      </c>
      <c r="D1229" s="242">
        <v>41.2</v>
      </c>
      <c r="E1229" s="845">
        <f t="shared" si="40"/>
        <v>5.1111111111111125</v>
      </c>
    </row>
    <row r="1230" spans="2:5">
      <c r="B1230" s="1115">
        <v>44977</v>
      </c>
      <c r="C1230" s="242">
        <f t="shared" si="39"/>
        <v>2</v>
      </c>
      <c r="D1230" s="242" t="s">
        <v>1837</v>
      </c>
      <c r="E1230" s="845">
        <f t="shared" si="40"/>
        <v>5</v>
      </c>
    </row>
    <row r="1231" spans="2:5">
      <c r="B1231" s="1115">
        <v>44977</v>
      </c>
      <c r="C1231" s="242">
        <f t="shared" si="39"/>
        <v>2</v>
      </c>
      <c r="D1231" s="242">
        <v>40.6</v>
      </c>
      <c r="E1231" s="845">
        <f t="shared" si="40"/>
        <v>4.7777777777777786</v>
      </c>
    </row>
    <row r="1232" spans="2:5">
      <c r="B1232" s="1115">
        <v>44977</v>
      </c>
      <c r="C1232" s="242">
        <f t="shared" si="39"/>
        <v>2</v>
      </c>
      <c r="D1232" s="242">
        <v>40.299999999999997</v>
      </c>
      <c r="E1232" s="845">
        <f t="shared" si="40"/>
        <v>4.6111111111111098</v>
      </c>
    </row>
    <row r="1233" spans="2:5">
      <c r="B1233" s="1115">
        <v>44978</v>
      </c>
      <c r="C1233" s="242">
        <f t="shared" si="39"/>
        <v>2</v>
      </c>
      <c r="D1233" s="242">
        <v>39.9</v>
      </c>
      <c r="E1233" s="845">
        <f t="shared" si="40"/>
        <v>4.3888888888888884</v>
      </c>
    </row>
    <row r="1234" spans="2:5">
      <c r="B1234" s="1115">
        <v>44978</v>
      </c>
      <c r="C1234" s="242">
        <f t="shared" si="39"/>
        <v>2</v>
      </c>
      <c r="D1234" s="242">
        <v>39.9</v>
      </c>
      <c r="E1234" s="845">
        <f t="shared" si="40"/>
        <v>4.3888888888888884</v>
      </c>
    </row>
    <row r="1235" spans="2:5">
      <c r="B1235" s="1115">
        <v>44978</v>
      </c>
      <c r="C1235" s="242">
        <f t="shared" si="39"/>
        <v>2</v>
      </c>
      <c r="D1235" s="242">
        <v>40.5</v>
      </c>
      <c r="E1235" s="845">
        <f t="shared" si="40"/>
        <v>4.7222222222222223</v>
      </c>
    </row>
    <row r="1236" spans="2:5">
      <c r="B1236" s="1115">
        <v>44978</v>
      </c>
      <c r="C1236" s="242">
        <f t="shared" si="39"/>
        <v>2</v>
      </c>
      <c r="D1236" s="242">
        <v>40.799999999999997</v>
      </c>
      <c r="E1236" s="845">
        <f t="shared" si="40"/>
        <v>4.8888888888888875</v>
      </c>
    </row>
    <row r="1237" spans="2:5">
      <c r="B1237" s="1115">
        <v>44978</v>
      </c>
      <c r="C1237" s="242">
        <f t="shared" si="39"/>
        <v>2</v>
      </c>
      <c r="D1237" s="242">
        <v>41.2</v>
      </c>
      <c r="E1237" s="845">
        <f t="shared" si="40"/>
        <v>5.1111111111111125</v>
      </c>
    </row>
    <row r="1238" spans="2:5">
      <c r="B1238" s="1115">
        <v>44978</v>
      </c>
      <c r="C1238" s="242">
        <f t="shared" si="39"/>
        <v>2</v>
      </c>
      <c r="D1238" s="242">
        <v>41.4</v>
      </c>
      <c r="E1238" s="845">
        <f t="shared" si="40"/>
        <v>5.2222222222222214</v>
      </c>
    </row>
    <row r="1239" spans="2:5">
      <c r="B1239" s="1115">
        <v>44978</v>
      </c>
      <c r="C1239" s="242">
        <f t="shared" si="39"/>
        <v>2</v>
      </c>
      <c r="D1239" s="242">
        <v>41.4</v>
      </c>
      <c r="E1239" s="845">
        <f t="shared" si="40"/>
        <v>5.2222222222222214</v>
      </c>
    </row>
    <row r="1240" spans="2:5">
      <c r="B1240" s="1115">
        <v>44978</v>
      </c>
      <c r="C1240" s="242">
        <f t="shared" si="39"/>
        <v>2</v>
      </c>
      <c r="D1240" s="242">
        <v>41.2</v>
      </c>
      <c r="E1240" s="845">
        <f t="shared" si="40"/>
        <v>5.1111111111111125</v>
      </c>
    </row>
    <row r="1241" spans="2:5">
      <c r="B1241" s="1115">
        <v>44978</v>
      </c>
      <c r="C1241" s="242">
        <f t="shared" si="39"/>
        <v>2</v>
      </c>
      <c r="D1241" s="242">
        <v>41.2</v>
      </c>
      <c r="E1241" s="845">
        <f t="shared" si="40"/>
        <v>5.1111111111111125</v>
      </c>
    </row>
    <row r="1242" spans="2:5">
      <c r="B1242" s="1115">
        <v>44978</v>
      </c>
      <c r="C1242" s="242">
        <f t="shared" si="39"/>
        <v>2</v>
      </c>
      <c r="D1242" s="242" t="s">
        <v>1837</v>
      </c>
      <c r="E1242" s="845">
        <f t="shared" si="40"/>
        <v>5</v>
      </c>
    </row>
    <row r="1243" spans="2:5">
      <c r="B1243" s="1115">
        <v>44978</v>
      </c>
      <c r="C1243" s="242">
        <f t="shared" si="39"/>
        <v>2</v>
      </c>
      <c r="D1243" s="242">
        <v>40.5</v>
      </c>
      <c r="E1243" s="845">
        <f t="shared" si="40"/>
        <v>4.7222222222222223</v>
      </c>
    </row>
    <row r="1244" spans="2:5">
      <c r="B1244" s="1115">
        <v>44978</v>
      </c>
      <c r="C1244" s="242">
        <f t="shared" si="39"/>
        <v>2</v>
      </c>
      <c r="D1244" s="242">
        <v>40.1</v>
      </c>
      <c r="E1244" s="845">
        <f t="shared" si="40"/>
        <v>4.5000000000000009</v>
      </c>
    </row>
    <row r="1245" spans="2:5">
      <c r="B1245" s="1115">
        <v>44978</v>
      </c>
      <c r="C1245" s="242">
        <f t="shared" si="39"/>
        <v>2</v>
      </c>
      <c r="D1245" s="242">
        <v>39.9</v>
      </c>
      <c r="E1245" s="845">
        <f t="shared" si="40"/>
        <v>4.3888888888888884</v>
      </c>
    </row>
    <row r="1246" spans="2:5">
      <c r="B1246" s="1115">
        <v>44978</v>
      </c>
      <c r="C1246" s="242">
        <f t="shared" si="39"/>
        <v>2</v>
      </c>
      <c r="D1246" s="242">
        <v>39.700000000000003</v>
      </c>
      <c r="E1246" s="845">
        <f t="shared" si="40"/>
        <v>4.2777777777777795</v>
      </c>
    </row>
    <row r="1247" spans="2:5">
      <c r="B1247" s="1115">
        <v>44978</v>
      </c>
      <c r="C1247" s="242">
        <f t="shared" si="39"/>
        <v>2</v>
      </c>
      <c r="D1247" s="242">
        <v>40.299999999999997</v>
      </c>
      <c r="E1247" s="845">
        <f t="shared" si="40"/>
        <v>4.6111111111111098</v>
      </c>
    </row>
    <row r="1248" spans="2:5">
      <c r="B1248" s="1115">
        <v>44978</v>
      </c>
      <c r="C1248" s="242">
        <f t="shared" si="39"/>
        <v>2</v>
      </c>
      <c r="D1248" s="242">
        <v>40.6</v>
      </c>
      <c r="E1248" s="845">
        <f t="shared" si="40"/>
        <v>4.7777777777777786</v>
      </c>
    </row>
    <row r="1249" spans="2:5">
      <c r="B1249" s="1115">
        <v>44978</v>
      </c>
      <c r="C1249" s="242">
        <f t="shared" si="39"/>
        <v>2</v>
      </c>
      <c r="D1249" s="242">
        <v>41.2</v>
      </c>
      <c r="E1249" s="845">
        <f t="shared" si="40"/>
        <v>5.1111111111111125</v>
      </c>
    </row>
    <row r="1250" spans="2:5">
      <c r="B1250" s="1115">
        <v>44978</v>
      </c>
      <c r="C1250" s="242">
        <f t="shared" si="39"/>
        <v>2</v>
      </c>
      <c r="D1250" s="242">
        <v>41.2</v>
      </c>
      <c r="E1250" s="845">
        <f t="shared" si="40"/>
        <v>5.1111111111111125</v>
      </c>
    </row>
    <row r="1251" spans="2:5">
      <c r="B1251" s="1115">
        <v>44978</v>
      </c>
      <c r="C1251" s="242">
        <f t="shared" si="39"/>
        <v>2</v>
      </c>
      <c r="D1251" s="242">
        <v>41.4</v>
      </c>
      <c r="E1251" s="845">
        <f t="shared" si="40"/>
        <v>5.2222222222222214</v>
      </c>
    </row>
    <row r="1252" spans="2:5">
      <c r="B1252" s="1115">
        <v>44978</v>
      </c>
      <c r="C1252" s="242">
        <f t="shared" si="39"/>
        <v>2</v>
      </c>
      <c r="D1252" s="242">
        <v>41.2</v>
      </c>
      <c r="E1252" s="845">
        <f t="shared" si="40"/>
        <v>5.1111111111111125</v>
      </c>
    </row>
    <row r="1253" spans="2:5">
      <c r="B1253" s="1115">
        <v>44978</v>
      </c>
      <c r="C1253" s="242">
        <f t="shared" si="39"/>
        <v>2</v>
      </c>
      <c r="D1253" s="242">
        <v>41.2</v>
      </c>
      <c r="E1253" s="845">
        <f t="shared" si="40"/>
        <v>5.1111111111111125</v>
      </c>
    </row>
    <row r="1254" spans="2:5">
      <c r="B1254" s="1115">
        <v>44978</v>
      </c>
      <c r="C1254" s="242">
        <f t="shared" si="39"/>
        <v>2</v>
      </c>
      <c r="D1254" s="242">
        <v>41.2</v>
      </c>
      <c r="E1254" s="845">
        <f t="shared" si="40"/>
        <v>5.1111111111111125</v>
      </c>
    </row>
    <row r="1255" spans="2:5">
      <c r="B1255" s="1115">
        <v>44978</v>
      </c>
      <c r="C1255" s="242">
        <f t="shared" si="39"/>
        <v>2</v>
      </c>
      <c r="D1255" s="242">
        <v>40.6</v>
      </c>
      <c r="E1255" s="845">
        <f t="shared" si="40"/>
        <v>4.7777777777777786</v>
      </c>
    </row>
    <row r="1256" spans="2:5">
      <c r="B1256" s="1115">
        <v>44978</v>
      </c>
      <c r="C1256" s="242">
        <f t="shared" si="39"/>
        <v>2</v>
      </c>
      <c r="D1256" s="242">
        <v>40.5</v>
      </c>
      <c r="E1256" s="845">
        <f t="shared" si="40"/>
        <v>4.7222222222222223</v>
      </c>
    </row>
    <row r="1257" spans="2:5">
      <c r="B1257" s="1115">
        <v>44979</v>
      </c>
      <c r="C1257" s="242">
        <f t="shared" si="39"/>
        <v>2</v>
      </c>
      <c r="D1257" s="242">
        <v>40.1</v>
      </c>
      <c r="E1257" s="845">
        <f t="shared" si="40"/>
        <v>4.5000000000000009</v>
      </c>
    </row>
    <row r="1258" spans="2:5">
      <c r="B1258" s="1115">
        <v>44979</v>
      </c>
      <c r="C1258" s="242">
        <f t="shared" si="39"/>
        <v>2</v>
      </c>
      <c r="D1258" s="242">
        <v>39.9</v>
      </c>
      <c r="E1258" s="845">
        <f t="shared" si="40"/>
        <v>4.3888888888888884</v>
      </c>
    </row>
    <row r="1259" spans="2:5">
      <c r="B1259" s="1115">
        <v>44979</v>
      </c>
      <c r="C1259" s="242">
        <f t="shared" si="39"/>
        <v>2</v>
      </c>
      <c r="D1259" s="242">
        <v>39.9</v>
      </c>
      <c r="E1259" s="845">
        <f t="shared" si="40"/>
        <v>4.3888888888888884</v>
      </c>
    </row>
    <row r="1260" spans="2:5">
      <c r="B1260" s="1115">
        <v>44979</v>
      </c>
      <c r="C1260" s="242">
        <f t="shared" si="39"/>
        <v>2</v>
      </c>
      <c r="D1260" s="242">
        <v>40.299999999999997</v>
      </c>
      <c r="E1260" s="845">
        <f t="shared" si="40"/>
        <v>4.6111111111111098</v>
      </c>
    </row>
    <row r="1261" spans="2:5">
      <c r="B1261" s="1115">
        <v>44979</v>
      </c>
      <c r="C1261" s="242">
        <f t="shared" si="39"/>
        <v>2</v>
      </c>
      <c r="D1261" s="242">
        <v>40.6</v>
      </c>
      <c r="E1261" s="845">
        <f t="shared" si="40"/>
        <v>4.7777777777777786</v>
      </c>
    </row>
    <row r="1262" spans="2:5">
      <c r="B1262" s="1115">
        <v>44979</v>
      </c>
      <c r="C1262" s="242">
        <f t="shared" si="39"/>
        <v>2</v>
      </c>
      <c r="D1262" s="242" t="s">
        <v>1837</v>
      </c>
      <c r="E1262" s="845">
        <f t="shared" si="40"/>
        <v>5</v>
      </c>
    </row>
    <row r="1263" spans="2:5">
      <c r="B1263" s="1115">
        <v>44979</v>
      </c>
      <c r="C1263" s="242">
        <f t="shared" si="39"/>
        <v>2</v>
      </c>
      <c r="D1263" s="242">
        <v>41.2</v>
      </c>
      <c r="E1263" s="845">
        <f t="shared" si="40"/>
        <v>5.1111111111111125</v>
      </c>
    </row>
    <row r="1264" spans="2:5">
      <c r="B1264" s="1115">
        <v>44979</v>
      </c>
      <c r="C1264" s="242">
        <f t="shared" si="39"/>
        <v>2</v>
      </c>
      <c r="D1264" s="242" t="s">
        <v>1837</v>
      </c>
      <c r="E1264" s="845">
        <f t="shared" si="40"/>
        <v>5</v>
      </c>
    </row>
    <row r="1265" spans="2:5">
      <c r="B1265" s="1115">
        <v>44979</v>
      </c>
      <c r="C1265" s="242">
        <f t="shared" si="39"/>
        <v>2</v>
      </c>
      <c r="D1265" s="242" t="s">
        <v>1837</v>
      </c>
      <c r="E1265" s="845">
        <f t="shared" si="40"/>
        <v>5</v>
      </c>
    </row>
    <row r="1266" spans="2:5">
      <c r="B1266" s="1115">
        <v>44979</v>
      </c>
      <c r="C1266" s="242">
        <f t="shared" si="39"/>
        <v>2</v>
      </c>
      <c r="D1266" s="242" t="s">
        <v>1837</v>
      </c>
      <c r="E1266" s="845">
        <f t="shared" si="40"/>
        <v>5</v>
      </c>
    </row>
    <row r="1267" spans="2:5">
      <c r="B1267" s="1115">
        <v>44979</v>
      </c>
      <c r="C1267" s="242">
        <f t="shared" si="39"/>
        <v>2</v>
      </c>
      <c r="D1267" s="242">
        <v>40.6</v>
      </c>
      <c r="E1267" s="845">
        <f t="shared" si="40"/>
        <v>4.7777777777777786</v>
      </c>
    </row>
    <row r="1268" spans="2:5">
      <c r="B1268" s="1115">
        <v>44979</v>
      </c>
      <c r="C1268" s="242">
        <f t="shared" si="39"/>
        <v>2</v>
      </c>
      <c r="D1268" s="242">
        <v>40.299999999999997</v>
      </c>
      <c r="E1268" s="845">
        <f t="shared" si="40"/>
        <v>4.6111111111111098</v>
      </c>
    </row>
    <row r="1269" spans="2:5">
      <c r="B1269" s="1115">
        <v>44979</v>
      </c>
      <c r="C1269" s="242">
        <f t="shared" si="39"/>
        <v>2</v>
      </c>
      <c r="D1269" s="242">
        <v>39.9</v>
      </c>
      <c r="E1269" s="845">
        <f t="shared" si="40"/>
        <v>4.3888888888888884</v>
      </c>
    </row>
    <row r="1270" spans="2:5">
      <c r="B1270" s="1115">
        <v>44979</v>
      </c>
      <c r="C1270" s="242">
        <f t="shared" si="39"/>
        <v>2</v>
      </c>
      <c r="D1270" s="242">
        <v>39.6</v>
      </c>
      <c r="E1270" s="845">
        <f t="shared" si="40"/>
        <v>4.2222222222222232</v>
      </c>
    </row>
    <row r="1271" spans="2:5">
      <c r="B1271" s="1115">
        <v>44979</v>
      </c>
      <c r="C1271" s="242">
        <f t="shared" si="39"/>
        <v>2</v>
      </c>
      <c r="D1271" s="242">
        <v>39.6</v>
      </c>
      <c r="E1271" s="845">
        <f t="shared" si="40"/>
        <v>4.2222222222222232</v>
      </c>
    </row>
    <row r="1272" spans="2:5">
      <c r="B1272" s="1115">
        <v>44979</v>
      </c>
      <c r="C1272" s="242">
        <f t="shared" si="39"/>
        <v>2</v>
      </c>
      <c r="D1272" s="242">
        <v>40.1</v>
      </c>
      <c r="E1272" s="845">
        <f t="shared" si="40"/>
        <v>4.5000000000000009</v>
      </c>
    </row>
    <row r="1273" spans="2:5">
      <c r="B1273" s="1115">
        <v>44979</v>
      </c>
      <c r="C1273" s="242">
        <f t="shared" si="39"/>
        <v>2</v>
      </c>
      <c r="D1273" s="242">
        <v>40.299999999999997</v>
      </c>
      <c r="E1273" s="845">
        <f t="shared" si="40"/>
        <v>4.6111111111111098</v>
      </c>
    </row>
    <row r="1274" spans="2:5">
      <c r="B1274" s="1115">
        <v>44979</v>
      </c>
      <c r="C1274" s="242">
        <f t="shared" si="39"/>
        <v>2</v>
      </c>
      <c r="D1274" s="242">
        <v>40.799999999999997</v>
      </c>
      <c r="E1274" s="845">
        <f t="shared" si="40"/>
        <v>4.8888888888888875</v>
      </c>
    </row>
    <row r="1275" spans="2:5">
      <c r="B1275" s="1115">
        <v>44979</v>
      </c>
      <c r="C1275" s="242">
        <f t="shared" si="39"/>
        <v>2</v>
      </c>
      <c r="D1275" s="242">
        <v>41.2</v>
      </c>
      <c r="E1275" s="845">
        <f t="shared" si="40"/>
        <v>5.1111111111111125</v>
      </c>
    </row>
    <row r="1276" spans="2:5">
      <c r="B1276" s="1115">
        <v>44979</v>
      </c>
      <c r="C1276" s="242">
        <f t="shared" si="39"/>
        <v>2</v>
      </c>
      <c r="D1276" s="242">
        <v>41.2</v>
      </c>
      <c r="E1276" s="845">
        <f t="shared" si="40"/>
        <v>5.1111111111111125</v>
      </c>
    </row>
    <row r="1277" spans="2:5">
      <c r="B1277" s="1115">
        <v>44979</v>
      </c>
      <c r="C1277" s="242">
        <f t="shared" si="39"/>
        <v>2</v>
      </c>
      <c r="D1277" s="242">
        <v>41.2</v>
      </c>
      <c r="E1277" s="845">
        <f t="shared" si="40"/>
        <v>5.1111111111111125</v>
      </c>
    </row>
    <row r="1278" spans="2:5">
      <c r="B1278" s="1115">
        <v>44979</v>
      </c>
      <c r="C1278" s="242">
        <f t="shared" si="39"/>
        <v>2</v>
      </c>
      <c r="D1278" s="242">
        <v>41.2</v>
      </c>
      <c r="E1278" s="845">
        <f t="shared" si="40"/>
        <v>5.1111111111111125</v>
      </c>
    </row>
    <row r="1279" spans="2:5">
      <c r="B1279" s="1115">
        <v>44979</v>
      </c>
      <c r="C1279" s="242">
        <f t="shared" si="39"/>
        <v>2</v>
      </c>
      <c r="D1279" s="242" t="s">
        <v>1837</v>
      </c>
      <c r="E1279" s="845">
        <f t="shared" si="40"/>
        <v>5</v>
      </c>
    </row>
    <row r="1280" spans="2:5">
      <c r="B1280" s="1115">
        <v>44979</v>
      </c>
      <c r="C1280" s="242">
        <f t="shared" si="39"/>
        <v>2</v>
      </c>
      <c r="D1280" s="242">
        <v>40.6</v>
      </c>
      <c r="E1280" s="845">
        <f t="shared" si="40"/>
        <v>4.7777777777777786</v>
      </c>
    </row>
    <row r="1281" spans="2:5">
      <c r="B1281" s="1115">
        <v>44980</v>
      </c>
      <c r="C1281" s="242">
        <f t="shared" si="39"/>
        <v>2</v>
      </c>
      <c r="D1281" s="242">
        <v>40.299999999999997</v>
      </c>
      <c r="E1281" s="845">
        <f t="shared" si="40"/>
        <v>4.6111111111111098</v>
      </c>
    </row>
    <row r="1282" spans="2:5">
      <c r="B1282" s="1115">
        <v>44980</v>
      </c>
      <c r="C1282" s="242">
        <f t="shared" si="39"/>
        <v>2</v>
      </c>
      <c r="D1282" s="242">
        <v>40.1</v>
      </c>
      <c r="E1282" s="845">
        <f t="shared" si="40"/>
        <v>4.5000000000000009</v>
      </c>
    </row>
    <row r="1283" spans="2:5">
      <c r="B1283" s="1115">
        <v>44980</v>
      </c>
      <c r="C1283" s="242">
        <f t="shared" si="39"/>
        <v>2</v>
      </c>
      <c r="D1283" s="242">
        <v>39.700000000000003</v>
      </c>
      <c r="E1283" s="845">
        <f t="shared" si="40"/>
        <v>4.2777777777777795</v>
      </c>
    </row>
    <row r="1284" spans="2:5">
      <c r="B1284" s="1115">
        <v>44980</v>
      </c>
      <c r="C1284" s="242">
        <f t="shared" si="39"/>
        <v>2</v>
      </c>
      <c r="D1284" s="242">
        <v>39.9</v>
      </c>
      <c r="E1284" s="845">
        <f t="shared" si="40"/>
        <v>4.3888888888888884</v>
      </c>
    </row>
    <row r="1285" spans="2:5">
      <c r="B1285" s="1115">
        <v>44980</v>
      </c>
      <c r="C1285" s="242">
        <f t="shared" si="39"/>
        <v>2</v>
      </c>
      <c r="D1285" s="242">
        <v>40.5</v>
      </c>
      <c r="E1285" s="845">
        <f t="shared" si="40"/>
        <v>4.7222222222222223</v>
      </c>
    </row>
    <row r="1286" spans="2:5">
      <c r="B1286" s="1115">
        <v>44980</v>
      </c>
      <c r="C1286" s="242">
        <f t="shared" si="39"/>
        <v>2</v>
      </c>
      <c r="D1286" s="242">
        <v>40.799999999999997</v>
      </c>
      <c r="E1286" s="845">
        <f t="shared" si="40"/>
        <v>4.8888888888888875</v>
      </c>
    </row>
    <row r="1287" spans="2:5">
      <c r="B1287" s="1115">
        <v>44980</v>
      </c>
      <c r="C1287" s="242">
        <f t="shared" si="39"/>
        <v>2</v>
      </c>
      <c r="D1287" s="242" t="s">
        <v>1837</v>
      </c>
      <c r="E1287" s="845">
        <f t="shared" si="40"/>
        <v>5</v>
      </c>
    </row>
    <row r="1288" spans="2:5">
      <c r="B1288" s="1115">
        <v>44980</v>
      </c>
      <c r="C1288" s="242">
        <f t="shared" si="39"/>
        <v>2</v>
      </c>
      <c r="D1288" s="242">
        <v>41.2</v>
      </c>
      <c r="E1288" s="845">
        <f t="shared" si="40"/>
        <v>5.1111111111111125</v>
      </c>
    </row>
    <row r="1289" spans="2:5">
      <c r="B1289" s="1115">
        <v>44980</v>
      </c>
      <c r="C1289" s="242">
        <f t="shared" si="39"/>
        <v>2</v>
      </c>
      <c r="D1289" s="242">
        <v>41.2</v>
      </c>
      <c r="E1289" s="845">
        <f t="shared" si="40"/>
        <v>5.1111111111111125</v>
      </c>
    </row>
    <row r="1290" spans="2:5">
      <c r="B1290" s="1115">
        <v>44980</v>
      </c>
      <c r="C1290" s="242">
        <f t="shared" ref="C1290:C1353" si="41">MONTH(B1290)</f>
        <v>2</v>
      </c>
      <c r="D1290" s="242" t="s">
        <v>1837</v>
      </c>
      <c r="E1290" s="845">
        <f t="shared" ref="E1290:E1353" si="42">CONVERT(D1290,"F","C")</f>
        <v>5</v>
      </c>
    </row>
    <row r="1291" spans="2:5">
      <c r="B1291" s="1115">
        <v>44980</v>
      </c>
      <c r="C1291" s="242">
        <f t="shared" si="41"/>
        <v>2</v>
      </c>
      <c r="D1291" s="242">
        <v>40.799999999999997</v>
      </c>
      <c r="E1291" s="845">
        <f t="shared" si="42"/>
        <v>4.8888888888888875</v>
      </c>
    </row>
    <row r="1292" spans="2:5">
      <c r="B1292" s="1115">
        <v>44980</v>
      </c>
      <c r="C1292" s="242">
        <f t="shared" si="41"/>
        <v>2</v>
      </c>
      <c r="D1292" s="242">
        <v>40.5</v>
      </c>
      <c r="E1292" s="845">
        <f t="shared" si="42"/>
        <v>4.7222222222222223</v>
      </c>
    </row>
    <row r="1293" spans="2:5">
      <c r="B1293" s="1115">
        <v>44980</v>
      </c>
      <c r="C1293" s="242">
        <f t="shared" si="41"/>
        <v>2</v>
      </c>
      <c r="D1293" s="242">
        <v>39.9</v>
      </c>
      <c r="E1293" s="845">
        <f t="shared" si="42"/>
        <v>4.3888888888888884</v>
      </c>
    </row>
    <row r="1294" spans="2:5">
      <c r="B1294" s="1115">
        <v>44980</v>
      </c>
      <c r="C1294" s="242">
        <f t="shared" si="41"/>
        <v>2</v>
      </c>
      <c r="D1294" s="242">
        <v>39.6</v>
      </c>
      <c r="E1294" s="845">
        <f t="shared" si="42"/>
        <v>4.2222222222222232</v>
      </c>
    </row>
    <row r="1295" spans="2:5">
      <c r="B1295" s="1115">
        <v>44980</v>
      </c>
      <c r="C1295" s="242">
        <f t="shared" si="41"/>
        <v>2</v>
      </c>
      <c r="D1295" s="242">
        <v>39.4</v>
      </c>
      <c r="E1295" s="845">
        <f t="shared" si="42"/>
        <v>4.1111111111111098</v>
      </c>
    </row>
    <row r="1296" spans="2:5">
      <c r="B1296" s="1115">
        <v>44980</v>
      </c>
      <c r="C1296" s="242">
        <f t="shared" si="41"/>
        <v>2</v>
      </c>
      <c r="D1296" s="242">
        <v>39.200000000000003</v>
      </c>
      <c r="E1296" s="845">
        <f t="shared" si="42"/>
        <v>4.0000000000000018</v>
      </c>
    </row>
    <row r="1297" spans="2:5">
      <c r="B1297" s="1115">
        <v>44980</v>
      </c>
      <c r="C1297" s="242">
        <f t="shared" si="41"/>
        <v>2</v>
      </c>
      <c r="D1297" s="242">
        <v>39.9</v>
      </c>
      <c r="E1297" s="845">
        <f t="shared" si="42"/>
        <v>4.3888888888888884</v>
      </c>
    </row>
    <row r="1298" spans="2:5">
      <c r="B1298" s="1115">
        <v>44980</v>
      </c>
      <c r="C1298" s="242">
        <f t="shared" si="41"/>
        <v>2</v>
      </c>
      <c r="D1298" s="242">
        <v>40.1</v>
      </c>
      <c r="E1298" s="845">
        <f t="shared" si="42"/>
        <v>4.5000000000000009</v>
      </c>
    </row>
    <row r="1299" spans="2:5">
      <c r="B1299" s="1115">
        <v>44980</v>
      </c>
      <c r="C1299" s="242">
        <f t="shared" si="41"/>
        <v>2</v>
      </c>
      <c r="D1299" s="242">
        <v>40.299999999999997</v>
      </c>
      <c r="E1299" s="845">
        <f t="shared" si="42"/>
        <v>4.6111111111111098</v>
      </c>
    </row>
    <row r="1300" spans="2:5">
      <c r="B1300" s="1115">
        <v>44980</v>
      </c>
      <c r="C1300" s="242">
        <f t="shared" si="41"/>
        <v>2</v>
      </c>
      <c r="D1300" s="242">
        <v>40.299999999999997</v>
      </c>
      <c r="E1300" s="845">
        <f t="shared" si="42"/>
        <v>4.6111111111111098</v>
      </c>
    </row>
    <row r="1301" spans="2:5">
      <c r="B1301" s="1115">
        <v>44980</v>
      </c>
      <c r="C1301" s="242">
        <f t="shared" si="41"/>
        <v>2</v>
      </c>
      <c r="D1301" s="242">
        <v>40.299999999999997</v>
      </c>
      <c r="E1301" s="845">
        <f t="shared" si="42"/>
        <v>4.6111111111111098</v>
      </c>
    </row>
    <row r="1302" spans="2:5">
      <c r="B1302" s="1115">
        <v>44980</v>
      </c>
      <c r="C1302" s="242">
        <f t="shared" si="41"/>
        <v>2</v>
      </c>
      <c r="D1302" s="242">
        <v>40.299999999999997</v>
      </c>
      <c r="E1302" s="845">
        <f t="shared" si="42"/>
        <v>4.6111111111111098</v>
      </c>
    </row>
    <row r="1303" spans="2:5">
      <c r="B1303" s="1115">
        <v>44980</v>
      </c>
      <c r="C1303" s="242">
        <f t="shared" si="41"/>
        <v>2</v>
      </c>
      <c r="D1303" s="242">
        <v>40.299999999999997</v>
      </c>
      <c r="E1303" s="845">
        <f t="shared" si="42"/>
        <v>4.6111111111111098</v>
      </c>
    </row>
    <row r="1304" spans="2:5">
      <c r="B1304" s="1115">
        <v>44980</v>
      </c>
      <c r="C1304" s="242">
        <f t="shared" si="41"/>
        <v>2</v>
      </c>
      <c r="D1304" s="242">
        <v>39.9</v>
      </c>
      <c r="E1304" s="845">
        <f t="shared" si="42"/>
        <v>4.3888888888888884</v>
      </c>
    </row>
    <row r="1305" spans="2:5">
      <c r="B1305" s="1115">
        <v>44981</v>
      </c>
      <c r="C1305" s="242">
        <f t="shared" si="41"/>
        <v>2</v>
      </c>
      <c r="D1305" s="242">
        <v>39.6</v>
      </c>
      <c r="E1305" s="845">
        <f t="shared" si="42"/>
        <v>4.2222222222222232</v>
      </c>
    </row>
    <row r="1306" spans="2:5">
      <c r="B1306" s="1115">
        <v>44981</v>
      </c>
      <c r="C1306" s="242">
        <f t="shared" si="41"/>
        <v>2</v>
      </c>
      <c r="D1306" s="242">
        <v>39.200000000000003</v>
      </c>
      <c r="E1306" s="845">
        <f t="shared" si="42"/>
        <v>4.0000000000000018</v>
      </c>
    </row>
    <row r="1307" spans="2:5">
      <c r="B1307" s="1115">
        <v>44981</v>
      </c>
      <c r="C1307" s="242">
        <f t="shared" si="41"/>
        <v>2</v>
      </c>
      <c r="D1307" s="242" t="s">
        <v>1839</v>
      </c>
      <c r="E1307" s="845">
        <f t="shared" si="42"/>
        <v>3.8888888888888888</v>
      </c>
    </row>
    <row r="1308" spans="2:5">
      <c r="B1308" s="1115">
        <v>44981</v>
      </c>
      <c r="C1308" s="242">
        <f t="shared" si="41"/>
        <v>2</v>
      </c>
      <c r="D1308" s="242">
        <v>38.700000000000003</v>
      </c>
      <c r="E1308" s="845">
        <f t="shared" si="42"/>
        <v>3.7222222222222237</v>
      </c>
    </row>
    <row r="1309" spans="2:5">
      <c r="B1309" s="1115">
        <v>44981</v>
      </c>
      <c r="C1309" s="242">
        <f t="shared" si="41"/>
        <v>2</v>
      </c>
      <c r="D1309" s="242">
        <v>38.799999999999997</v>
      </c>
      <c r="E1309" s="845">
        <f t="shared" si="42"/>
        <v>3.7777777777777759</v>
      </c>
    </row>
    <row r="1310" spans="2:5">
      <c r="B1310" s="1115">
        <v>44981</v>
      </c>
      <c r="C1310" s="242">
        <f t="shared" si="41"/>
        <v>2</v>
      </c>
      <c r="D1310" s="242">
        <v>39.4</v>
      </c>
      <c r="E1310" s="845">
        <f t="shared" si="42"/>
        <v>4.1111111111111098</v>
      </c>
    </row>
    <row r="1311" spans="2:5">
      <c r="B1311" s="1115">
        <v>44981</v>
      </c>
      <c r="C1311" s="242">
        <f t="shared" si="41"/>
        <v>2</v>
      </c>
      <c r="D1311" s="242">
        <v>39.700000000000003</v>
      </c>
      <c r="E1311" s="845">
        <f t="shared" si="42"/>
        <v>4.2777777777777795</v>
      </c>
    </row>
    <row r="1312" spans="2:5">
      <c r="B1312" s="1115">
        <v>44981</v>
      </c>
      <c r="C1312" s="242">
        <f t="shared" si="41"/>
        <v>2</v>
      </c>
      <c r="D1312" s="242">
        <v>39.9</v>
      </c>
      <c r="E1312" s="845">
        <f t="shared" si="42"/>
        <v>4.3888888888888884</v>
      </c>
    </row>
    <row r="1313" spans="2:5">
      <c r="B1313" s="1115">
        <v>44981</v>
      </c>
      <c r="C1313" s="242">
        <f t="shared" si="41"/>
        <v>2</v>
      </c>
      <c r="D1313" s="242">
        <v>40.1</v>
      </c>
      <c r="E1313" s="845">
        <f t="shared" si="42"/>
        <v>4.5000000000000009</v>
      </c>
    </row>
    <row r="1314" spans="2:5">
      <c r="B1314" s="1115">
        <v>44981</v>
      </c>
      <c r="C1314" s="242">
        <f t="shared" si="41"/>
        <v>2</v>
      </c>
      <c r="D1314" s="242">
        <v>39.9</v>
      </c>
      <c r="E1314" s="845">
        <f t="shared" si="42"/>
        <v>4.3888888888888884</v>
      </c>
    </row>
    <row r="1315" spans="2:5">
      <c r="B1315" s="1115">
        <v>44981</v>
      </c>
      <c r="C1315" s="242">
        <f t="shared" si="41"/>
        <v>2</v>
      </c>
      <c r="D1315" s="242">
        <v>39.9</v>
      </c>
      <c r="E1315" s="845">
        <f t="shared" si="42"/>
        <v>4.3888888888888884</v>
      </c>
    </row>
    <row r="1316" spans="2:5">
      <c r="B1316" s="1115">
        <v>44981</v>
      </c>
      <c r="C1316" s="242">
        <f t="shared" si="41"/>
        <v>2</v>
      </c>
      <c r="D1316" s="242">
        <v>39.700000000000003</v>
      </c>
      <c r="E1316" s="845">
        <f t="shared" si="42"/>
        <v>4.2777777777777795</v>
      </c>
    </row>
    <row r="1317" spans="2:5">
      <c r="B1317" s="1115">
        <v>44981</v>
      </c>
      <c r="C1317" s="242">
        <f t="shared" si="41"/>
        <v>2</v>
      </c>
      <c r="D1317" s="242">
        <v>39.200000000000003</v>
      </c>
      <c r="E1317" s="845">
        <f t="shared" si="42"/>
        <v>4.0000000000000018</v>
      </c>
    </row>
    <row r="1318" spans="2:5">
      <c r="B1318" s="1115">
        <v>44981</v>
      </c>
      <c r="C1318" s="242">
        <f t="shared" si="41"/>
        <v>2</v>
      </c>
      <c r="D1318" s="242" t="s">
        <v>603</v>
      </c>
      <c r="E1318" s="845"/>
    </row>
    <row r="1319" spans="2:5">
      <c r="B1319" s="1115">
        <v>44981</v>
      </c>
      <c r="C1319" s="242">
        <f t="shared" si="41"/>
        <v>2</v>
      </c>
      <c r="D1319" s="242">
        <v>38.700000000000003</v>
      </c>
      <c r="E1319" s="845">
        <f t="shared" si="42"/>
        <v>3.7222222222222237</v>
      </c>
    </row>
    <row r="1320" spans="2:5">
      <c r="B1320" s="1115">
        <v>44981</v>
      </c>
      <c r="C1320" s="242">
        <f t="shared" si="41"/>
        <v>2</v>
      </c>
      <c r="D1320" s="242">
        <v>38.299999999999997</v>
      </c>
      <c r="E1320" s="845">
        <f t="shared" si="42"/>
        <v>3.4999999999999982</v>
      </c>
    </row>
    <row r="1321" spans="2:5">
      <c r="B1321" s="1115">
        <v>44981</v>
      </c>
      <c r="C1321" s="242">
        <f t="shared" si="41"/>
        <v>2</v>
      </c>
      <c r="D1321" s="242">
        <v>38.299999999999997</v>
      </c>
      <c r="E1321" s="845">
        <f t="shared" si="42"/>
        <v>3.4999999999999982</v>
      </c>
    </row>
    <row r="1322" spans="2:5">
      <c r="B1322" s="1115">
        <v>44981</v>
      </c>
      <c r="C1322" s="242">
        <f t="shared" si="41"/>
        <v>2</v>
      </c>
      <c r="D1322" s="242">
        <v>38.799999999999997</v>
      </c>
      <c r="E1322" s="845">
        <f t="shared" si="42"/>
        <v>3.7777777777777759</v>
      </c>
    </row>
    <row r="1323" spans="2:5">
      <c r="B1323" s="1115">
        <v>44981</v>
      </c>
      <c r="C1323" s="242">
        <f t="shared" si="41"/>
        <v>2</v>
      </c>
      <c r="D1323" s="242">
        <v>39.200000000000003</v>
      </c>
      <c r="E1323" s="845">
        <f t="shared" si="42"/>
        <v>4.0000000000000018</v>
      </c>
    </row>
    <row r="1324" spans="2:5">
      <c r="B1324" s="1115">
        <v>44981</v>
      </c>
      <c r="C1324" s="242">
        <f t="shared" si="41"/>
        <v>2</v>
      </c>
      <c r="D1324" s="242">
        <v>39.6</v>
      </c>
      <c r="E1324" s="845">
        <f t="shared" si="42"/>
        <v>4.2222222222222232</v>
      </c>
    </row>
    <row r="1325" spans="2:5">
      <c r="B1325" s="1115">
        <v>44981</v>
      </c>
      <c r="C1325" s="242">
        <f t="shared" si="41"/>
        <v>2</v>
      </c>
      <c r="D1325" s="242">
        <v>39.9</v>
      </c>
      <c r="E1325" s="845">
        <f t="shared" si="42"/>
        <v>4.3888888888888884</v>
      </c>
    </row>
    <row r="1326" spans="2:5">
      <c r="B1326" s="1115">
        <v>44981</v>
      </c>
      <c r="C1326" s="242">
        <f t="shared" si="41"/>
        <v>2</v>
      </c>
      <c r="D1326" s="242">
        <v>39.9</v>
      </c>
      <c r="E1326" s="845">
        <f t="shared" si="42"/>
        <v>4.3888888888888884</v>
      </c>
    </row>
    <row r="1327" spans="2:5">
      <c r="B1327" s="1115">
        <v>44981</v>
      </c>
      <c r="C1327" s="242">
        <f t="shared" si="41"/>
        <v>2</v>
      </c>
      <c r="D1327" s="242">
        <v>39.9</v>
      </c>
      <c r="E1327" s="845">
        <f t="shared" si="42"/>
        <v>4.3888888888888884</v>
      </c>
    </row>
    <row r="1328" spans="2:5">
      <c r="B1328" s="1115">
        <v>44981</v>
      </c>
      <c r="C1328" s="242">
        <f t="shared" si="41"/>
        <v>2</v>
      </c>
      <c r="D1328" s="242">
        <v>39.6</v>
      </c>
      <c r="E1328" s="845">
        <f t="shared" si="42"/>
        <v>4.2222222222222232</v>
      </c>
    </row>
    <row r="1329" spans="2:5">
      <c r="B1329" s="1115">
        <v>44982</v>
      </c>
      <c r="C1329" s="242">
        <f t="shared" si="41"/>
        <v>2</v>
      </c>
      <c r="D1329" s="242">
        <v>39.200000000000003</v>
      </c>
      <c r="E1329" s="845">
        <f t="shared" si="42"/>
        <v>4.0000000000000018</v>
      </c>
    </row>
    <row r="1330" spans="2:5">
      <c r="B1330" s="1115">
        <v>44982</v>
      </c>
      <c r="C1330" s="242">
        <f t="shared" si="41"/>
        <v>2</v>
      </c>
      <c r="D1330" s="242">
        <v>38.700000000000003</v>
      </c>
      <c r="E1330" s="845">
        <f t="shared" si="42"/>
        <v>3.7222222222222237</v>
      </c>
    </row>
    <row r="1331" spans="2:5">
      <c r="B1331" s="1115">
        <v>44982</v>
      </c>
      <c r="C1331" s="242">
        <f t="shared" si="41"/>
        <v>2</v>
      </c>
      <c r="D1331" s="242">
        <v>38.299999999999997</v>
      </c>
      <c r="E1331" s="845">
        <f t="shared" si="42"/>
        <v>3.4999999999999982</v>
      </c>
    </row>
    <row r="1332" spans="2:5">
      <c r="B1332" s="1115">
        <v>44982</v>
      </c>
      <c r="C1332" s="242">
        <f t="shared" si="41"/>
        <v>2</v>
      </c>
      <c r="D1332" s="242">
        <v>37.9</v>
      </c>
      <c r="E1332" s="845">
        <f t="shared" si="42"/>
        <v>3.2777777777777768</v>
      </c>
    </row>
    <row r="1333" spans="2:5">
      <c r="B1333" s="1115">
        <v>44982</v>
      </c>
      <c r="C1333" s="242">
        <f t="shared" si="41"/>
        <v>2</v>
      </c>
      <c r="D1333" s="242">
        <v>37.799999999999997</v>
      </c>
      <c r="E1333" s="845">
        <f t="shared" si="42"/>
        <v>3.2222222222222205</v>
      </c>
    </row>
    <row r="1334" spans="2:5">
      <c r="B1334" s="1115">
        <v>44982</v>
      </c>
      <c r="C1334" s="242">
        <f t="shared" si="41"/>
        <v>2</v>
      </c>
      <c r="D1334" s="242">
        <v>38.5</v>
      </c>
      <c r="E1334" s="845">
        <f t="shared" si="42"/>
        <v>3.6111111111111112</v>
      </c>
    </row>
    <row r="1335" spans="2:5">
      <c r="B1335" s="1115">
        <v>44982</v>
      </c>
      <c r="C1335" s="242">
        <f t="shared" si="41"/>
        <v>2</v>
      </c>
      <c r="D1335" s="242">
        <v>38.799999999999997</v>
      </c>
      <c r="E1335" s="845">
        <f t="shared" si="42"/>
        <v>3.7777777777777759</v>
      </c>
    </row>
    <row r="1336" spans="2:5">
      <c r="B1336" s="1115">
        <v>44982</v>
      </c>
      <c r="C1336" s="242">
        <f t="shared" si="41"/>
        <v>2</v>
      </c>
      <c r="D1336" s="242">
        <v>39.4</v>
      </c>
      <c r="E1336" s="845">
        <f t="shared" si="42"/>
        <v>4.1111111111111098</v>
      </c>
    </row>
    <row r="1337" spans="2:5">
      <c r="B1337" s="1115">
        <v>44982</v>
      </c>
      <c r="C1337" s="242">
        <f t="shared" si="41"/>
        <v>2</v>
      </c>
      <c r="D1337" s="242">
        <v>39.6</v>
      </c>
      <c r="E1337" s="845">
        <f t="shared" si="42"/>
        <v>4.2222222222222232</v>
      </c>
    </row>
    <row r="1338" spans="2:5">
      <c r="B1338" s="1115">
        <v>44982</v>
      </c>
      <c r="C1338" s="242">
        <f t="shared" si="41"/>
        <v>2</v>
      </c>
      <c r="D1338" s="242">
        <v>39.6</v>
      </c>
      <c r="E1338" s="845">
        <f t="shared" si="42"/>
        <v>4.2222222222222232</v>
      </c>
    </row>
    <row r="1339" spans="2:5">
      <c r="B1339" s="1115">
        <v>44982</v>
      </c>
      <c r="C1339" s="242">
        <f t="shared" si="41"/>
        <v>2</v>
      </c>
      <c r="D1339" s="242">
        <v>39.6</v>
      </c>
      <c r="E1339" s="845">
        <f t="shared" si="42"/>
        <v>4.2222222222222232</v>
      </c>
    </row>
    <row r="1340" spans="2:5">
      <c r="B1340" s="1115">
        <v>44982</v>
      </c>
      <c r="C1340" s="242">
        <f t="shared" si="41"/>
        <v>2</v>
      </c>
      <c r="D1340" s="242">
        <v>39.4</v>
      </c>
      <c r="E1340" s="845">
        <f t="shared" si="42"/>
        <v>4.1111111111111098</v>
      </c>
    </row>
    <row r="1341" spans="2:5">
      <c r="B1341" s="1115">
        <v>44982</v>
      </c>
      <c r="C1341" s="242">
        <f t="shared" si="41"/>
        <v>2</v>
      </c>
      <c r="D1341" s="242">
        <v>38.799999999999997</v>
      </c>
      <c r="E1341" s="845">
        <f t="shared" si="42"/>
        <v>3.7777777777777759</v>
      </c>
    </row>
    <row r="1342" spans="2:5">
      <c r="B1342" s="1115">
        <v>44982</v>
      </c>
      <c r="C1342" s="242">
        <f t="shared" si="41"/>
        <v>2</v>
      </c>
      <c r="D1342" s="242">
        <v>38.1</v>
      </c>
      <c r="E1342" s="845">
        <f t="shared" si="42"/>
        <v>3.3888888888888897</v>
      </c>
    </row>
    <row r="1343" spans="2:5">
      <c r="B1343" s="1115">
        <v>44982</v>
      </c>
      <c r="C1343" s="242">
        <f t="shared" si="41"/>
        <v>2</v>
      </c>
      <c r="D1343" s="242">
        <v>37.799999999999997</v>
      </c>
      <c r="E1343" s="845">
        <f t="shared" si="42"/>
        <v>3.2222222222222205</v>
      </c>
    </row>
    <row r="1344" spans="2:5">
      <c r="B1344" s="1115">
        <v>44982</v>
      </c>
      <c r="C1344" s="242">
        <f t="shared" si="41"/>
        <v>2</v>
      </c>
      <c r="D1344" s="242">
        <v>37.4</v>
      </c>
      <c r="E1344" s="845">
        <f t="shared" si="42"/>
        <v>2.9999999999999991</v>
      </c>
    </row>
    <row r="1345" spans="2:5">
      <c r="B1345" s="1115">
        <v>44982</v>
      </c>
      <c r="C1345" s="242">
        <f t="shared" si="41"/>
        <v>2</v>
      </c>
      <c r="D1345" s="242" t="s">
        <v>1840</v>
      </c>
      <c r="E1345" s="845">
        <f t="shared" si="42"/>
        <v>2.7777777777777777</v>
      </c>
    </row>
    <row r="1346" spans="2:5">
      <c r="B1346" s="1115">
        <v>44982</v>
      </c>
      <c r="C1346" s="242">
        <f t="shared" si="41"/>
        <v>2</v>
      </c>
      <c r="D1346" s="242">
        <v>37.200000000000003</v>
      </c>
      <c r="E1346" s="845">
        <f t="shared" si="42"/>
        <v>2.8888888888888906</v>
      </c>
    </row>
    <row r="1347" spans="2:5">
      <c r="B1347" s="1115">
        <v>44982</v>
      </c>
      <c r="C1347" s="242">
        <f t="shared" si="41"/>
        <v>2</v>
      </c>
      <c r="D1347" s="242">
        <v>37.799999999999997</v>
      </c>
      <c r="E1347" s="845">
        <f t="shared" si="42"/>
        <v>3.2222222222222205</v>
      </c>
    </row>
    <row r="1348" spans="2:5">
      <c r="B1348" s="1115">
        <v>44982</v>
      </c>
      <c r="C1348" s="242">
        <f t="shared" si="41"/>
        <v>2</v>
      </c>
      <c r="D1348" s="242">
        <v>38.1</v>
      </c>
      <c r="E1348" s="845">
        <f t="shared" si="42"/>
        <v>3.3888888888888897</v>
      </c>
    </row>
    <row r="1349" spans="2:5">
      <c r="B1349" s="1115">
        <v>44982</v>
      </c>
      <c r="C1349" s="242">
        <f t="shared" si="41"/>
        <v>2</v>
      </c>
      <c r="D1349" s="242">
        <v>38.700000000000003</v>
      </c>
      <c r="E1349" s="845">
        <f t="shared" si="42"/>
        <v>3.7222222222222237</v>
      </c>
    </row>
    <row r="1350" spans="2:5">
      <c r="B1350" s="1115">
        <v>44982</v>
      </c>
      <c r="C1350" s="242">
        <f t="shared" si="41"/>
        <v>2</v>
      </c>
      <c r="D1350" s="242" t="s">
        <v>1839</v>
      </c>
      <c r="E1350" s="845">
        <f t="shared" si="42"/>
        <v>3.8888888888888888</v>
      </c>
    </row>
    <row r="1351" spans="2:5">
      <c r="B1351" s="1115">
        <v>44982</v>
      </c>
      <c r="C1351" s="242">
        <f t="shared" si="41"/>
        <v>2</v>
      </c>
      <c r="D1351" s="242" t="s">
        <v>1839</v>
      </c>
      <c r="E1351" s="845">
        <f t="shared" si="42"/>
        <v>3.8888888888888888</v>
      </c>
    </row>
    <row r="1352" spans="2:5">
      <c r="B1352" s="1115">
        <v>44982</v>
      </c>
      <c r="C1352" s="242">
        <f t="shared" si="41"/>
        <v>2</v>
      </c>
      <c r="D1352" s="242" t="s">
        <v>1839</v>
      </c>
      <c r="E1352" s="845">
        <f t="shared" si="42"/>
        <v>3.8888888888888888</v>
      </c>
    </row>
    <row r="1353" spans="2:5">
      <c r="B1353" s="1115">
        <v>44983</v>
      </c>
      <c r="C1353" s="242">
        <f t="shared" si="41"/>
        <v>2</v>
      </c>
      <c r="D1353" s="242">
        <v>38.799999999999997</v>
      </c>
      <c r="E1353" s="845">
        <f t="shared" si="42"/>
        <v>3.7777777777777759</v>
      </c>
    </row>
    <row r="1354" spans="2:5">
      <c r="B1354" s="1115">
        <v>44983</v>
      </c>
      <c r="C1354" s="242">
        <f t="shared" ref="C1354:C1417" si="43">MONTH(B1354)</f>
        <v>2</v>
      </c>
      <c r="D1354" s="242">
        <v>38.299999999999997</v>
      </c>
      <c r="E1354" s="845">
        <f t="shared" ref="E1354:E1417" si="44">CONVERT(D1354,"F","C")</f>
        <v>3.4999999999999982</v>
      </c>
    </row>
    <row r="1355" spans="2:5">
      <c r="B1355" s="1115">
        <v>44983</v>
      </c>
      <c r="C1355" s="242">
        <f t="shared" si="43"/>
        <v>2</v>
      </c>
      <c r="D1355" s="242">
        <v>37.799999999999997</v>
      </c>
      <c r="E1355" s="845">
        <f t="shared" si="44"/>
        <v>3.2222222222222205</v>
      </c>
    </row>
    <row r="1356" spans="2:5">
      <c r="B1356" s="1115">
        <v>44983</v>
      </c>
      <c r="C1356" s="242">
        <f t="shared" si="43"/>
        <v>2</v>
      </c>
      <c r="D1356" s="242">
        <v>37.200000000000003</v>
      </c>
      <c r="E1356" s="845">
        <f t="shared" si="44"/>
        <v>2.8888888888888906</v>
      </c>
    </row>
    <row r="1357" spans="2:5">
      <c r="B1357" s="1115">
        <v>44983</v>
      </c>
      <c r="C1357" s="242">
        <f t="shared" si="43"/>
        <v>2</v>
      </c>
      <c r="D1357" s="242">
        <v>36.9</v>
      </c>
      <c r="E1357" s="845">
        <f t="shared" si="44"/>
        <v>2.7222222222222214</v>
      </c>
    </row>
    <row r="1358" spans="2:5">
      <c r="B1358" s="1115">
        <v>44983</v>
      </c>
      <c r="C1358" s="242">
        <f t="shared" si="43"/>
        <v>2</v>
      </c>
      <c r="D1358" s="242" t="s">
        <v>1840</v>
      </c>
      <c r="E1358" s="845">
        <f t="shared" si="44"/>
        <v>2.7777777777777777</v>
      </c>
    </row>
    <row r="1359" spans="2:5">
      <c r="B1359" s="1115">
        <v>44983</v>
      </c>
      <c r="C1359" s="242">
        <f t="shared" si="43"/>
        <v>2</v>
      </c>
      <c r="D1359" s="242">
        <v>37.799999999999997</v>
      </c>
      <c r="E1359" s="845">
        <f t="shared" si="44"/>
        <v>3.2222222222222205</v>
      </c>
    </row>
    <row r="1360" spans="2:5">
      <c r="B1360" s="1115">
        <v>44983</v>
      </c>
      <c r="C1360" s="242">
        <f t="shared" si="43"/>
        <v>2</v>
      </c>
      <c r="D1360" s="242">
        <v>38.1</v>
      </c>
      <c r="E1360" s="845">
        <f t="shared" si="44"/>
        <v>3.3888888888888897</v>
      </c>
    </row>
    <row r="1361" spans="2:5">
      <c r="B1361" s="1115">
        <v>44983</v>
      </c>
      <c r="C1361" s="242">
        <f t="shared" si="43"/>
        <v>2</v>
      </c>
      <c r="D1361" s="242">
        <v>38.700000000000003</v>
      </c>
      <c r="E1361" s="845">
        <f t="shared" si="44"/>
        <v>3.7222222222222237</v>
      </c>
    </row>
    <row r="1362" spans="2:5">
      <c r="B1362" s="1115">
        <v>44983</v>
      </c>
      <c r="C1362" s="242">
        <f t="shared" si="43"/>
        <v>2</v>
      </c>
      <c r="D1362" s="242" t="s">
        <v>1839</v>
      </c>
      <c r="E1362" s="845">
        <f t="shared" si="44"/>
        <v>3.8888888888888888</v>
      </c>
    </row>
    <row r="1363" spans="2:5">
      <c r="B1363" s="1115">
        <v>44983</v>
      </c>
      <c r="C1363" s="242">
        <f t="shared" si="43"/>
        <v>2</v>
      </c>
      <c r="D1363" s="242" t="s">
        <v>1839</v>
      </c>
      <c r="E1363" s="845">
        <f t="shared" si="44"/>
        <v>3.8888888888888888</v>
      </c>
    </row>
    <row r="1364" spans="2:5">
      <c r="B1364" s="1115">
        <v>44983</v>
      </c>
      <c r="C1364" s="242">
        <f t="shared" si="43"/>
        <v>2</v>
      </c>
      <c r="D1364" s="242" t="s">
        <v>1839</v>
      </c>
      <c r="E1364" s="845">
        <f t="shared" si="44"/>
        <v>3.8888888888888888</v>
      </c>
    </row>
    <row r="1365" spans="2:5">
      <c r="B1365" s="1115">
        <v>44983</v>
      </c>
      <c r="C1365" s="242">
        <f t="shared" si="43"/>
        <v>2</v>
      </c>
      <c r="D1365" s="242">
        <v>38.799999999999997</v>
      </c>
      <c r="E1365" s="845">
        <f t="shared" si="44"/>
        <v>3.7777777777777759</v>
      </c>
    </row>
    <row r="1366" spans="2:5">
      <c r="B1366" s="1115">
        <v>44983</v>
      </c>
      <c r="C1366" s="242">
        <f t="shared" si="43"/>
        <v>2</v>
      </c>
      <c r="D1366" s="242">
        <v>38.5</v>
      </c>
      <c r="E1366" s="845">
        <f t="shared" si="44"/>
        <v>3.6111111111111112</v>
      </c>
    </row>
    <row r="1367" spans="2:5">
      <c r="B1367" s="1115">
        <v>44983</v>
      </c>
      <c r="C1367" s="242">
        <f t="shared" si="43"/>
        <v>2</v>
      </c>
      <c r="D1367" s="242">
        <v>37.799999999999997</v>
      </c>
      <c r="E1367" s="845">
        <f t="shared" si="44"/>
        <v>3.2222222222222205</v>
      </c>
    </row>
    <row r="1368" spans="2:5">
      <c r="B1368" s="1115">
        <v>44983</v>
      </c>
      <c r="C1368" s="242">
        <f t="shared" si="43"/>
        <v>2</v>
      </c>
      <c r="D1368" s="242">
        <v>37.200000000000003</v>
      </c>
      <c r="E1368" s="845">
        <f t="shared" si="44"/>
        <v>2.8888888888888906</v>
      </c>
    </row>
    <row r="1369" spans="2:5">
      <c r="B1369" s="1115">
        <v>44983</v>
      </c>
      <c r="C1369" s="242">
        <f t="shared" si="43"/>
        <v>2</v>
      </c>
      <c r="D1369" s="242">
        <v>36.9</v>
      </c>
      <c r="E1369" s="845">
        <f t="shared" si="44"/>
        <v>2.7222222222222214</v>
      </c>
    </row>
    <row r="1370" spans="2:5">
      <c r="B1370" s="1115">
        <v>44983</v>
      </c>
      <c r="C1370" s="242">
        <f t="shared" si="43"/>
        <v>2</v>
      </c>
      <c r="D1370" s="242">
        <v>36.5</v>
      </c>
      <c r="E1370" s="845">
        <f t="shared" si="44"/>
        <v>2.5</v>
      </c>
    </row>
    <row r="1371" spans="2:5">
      <c r="B1371" s="1115">
        <v>44983</v>
      </c>
      <c r="C1371" s="242">
        <f t="shared" si="43"/>
        <v>2</v>
      </c>
      <c r="D1371" s="242">
        <v>36.9</v>
      </c>
      <c r="E1371" s="845">
        <f t="shared" si="44"/>
        <v>2.7222222222222214</v>
      </c>
    </row>
    <row r="1372" spans="2:5">
      <c r="B1372" s="1115">
        <v>44983</v>
      </c>
      <c r="C1372" s="242">
        <f t="shared" si="43"/>
        <v>2</v>
      </c>
      <c r="D1372" s="242">
        <v>37.4</v>
      </c>
      <c r="E1372" s="845">
        <f t="shared" si="44"/>
        <v>2.9999999999999991</v>
      </c>
    </row>
    <row r="1373" spans="2:5">
      <c r="B1373" s="1115">
        <v>44983</v>
      </c>
      <c r="C1373" s="242">
        <f t="shared" si="43"/>
        <v>2</v>
      </c>
      <c r="D1373" s="242">
        <v>37.9</v>
      </c>
      <c r="E1373" s="845">
        <f t="shared" si="44"/>
        <v>3.2777777777777768</v>
      </c>
    </row>
    <row r="1374" spans="2:5">
      <c r="B1374" s="1115">
        <v>44983</v>
      </c>
      <c r="C1374" s="242">
        <f t="shared" si="43"/>
        <v>2</v>
      </c>
      <c r="D1374" s="242">
        <v>38.5</v>
      </c>
      <c r="E1374" s="845">
        <f t="shared" si="44"/>
        <v>3.6111111111111112</v>
      </c>
    </row>
    <row r="1375" spans="2:5">
      <c r="B1375" s="1115">
        <v>44983</v>
      </c>
      <c r="C1375" s="242">
        <f t="shared" si="43"/>
        <v>2</v>
      </c>
      <c r="D1375" s="242">
        <v>38.799999999999997</v>
      </c>
      <c r="E1375" s="845">
        <f t="shared" si="44"/>
        <v>3.7777777777777759</v>
      </c>
    </row>
    <row r="1376" spans="2:5">
      <c r="B1376" s="1115">
        <v>44983</v>
      </c>
      <c r="C1376" s="242">
        <f t="shared" si="43"/>
        <v>2</v>
      </c>
      <c r="D1376" s="242">
        <v>38.799999999999997</v>
      </c>
      <c r="E1376" s="845">
        <f t="shared" si="44"/>
        <v>3.7777777777777759</v>
      </c>
    </row>
    <row r="1377" spans="2:5">
      <c r="B1377" s="1115">
        <v>44984</v>
      </c>
      <c r="C1377" s="242">
        <f t="shared" si="43"/>
        <v>2</v>
      </c>
      <c r="D1377" s="242">
        <v>38.799999999999997</v>
      </c>
      <c r="E1377" s="845">
        <f t="shared" si="44"/>
        <v>3.7777777777777759</v>
      </c>
    </row>
    <row r="1378" spans="2:5">
      <c r="B1378" s="1115">
        <v>44984</v>
      </c>
      <c r="C1378" s="242">
        <f t="shared" si="43"/>
        <v>2</v>
      </c>
      <c r="D1378" s="242">
        <v>38.5</v>
      </c>
      <c r="E1378" s="845">
        <f t="shared" si="44"/>
        <v>3.6111111111111112</v>
      </c>
    </row>
    <row r="1379" spans="2:5">
      <c r="B1379" s="1115">
        <v>44984</v>
      </c>
      <c r="C1379" s="242">
        <f t="shared" si="43"/>
        <v>2</v>
      </c>
      <c r="D1379" s="242">
        <v>37.9</v>
      </c>
      <c r="E1379" s="845">
        <f t="shared" si="44"/>
        <v>3.2777777777777768</v>
      </c>
    </row>
    <row r="1380" spans="2:5">
      <c r="B1380" s="1115">
        <v>44984</v>
      </c>
      <c r="C1380" s="242">
        <f t="shared" si="43"/>
        <v>2</v>
      </c>
      <c r="D1380" s="242">
        <v>37.200000000000003</v>
      </c>
      <c r="E1380" s="845">
        <f t="shared" si="44"/>
        <v>2.8888888888888906</v>
      </c>
    </row>
    <row r="1381" spans="2:5">
      <c r="B1381" s="1115">
        <v>44984</v>
      </c>
      <c r="C1381" s="242">
        <f t="shared" si="43"/>
        <v>2</v>
      </c>
      <c r="D1381" s="242">
        <v>36.700000000000003</v>
      </c>
      <c r="E1381" s="845">
        <f t="shared" si="44"/>
        <v>2.6111111111111125</v>
      </c>
    </row>
    <row r="1382" spans="2:5">
      <c r="B1382" s="1115">
        <v>44984</v>
      </c>
      <c r="C1382" s="242">
        <f t="shared" si="43"/>
        <v>2</v>
      </c>
      <c r="D1382" s="242">
        <v>36.299999999999997</v>
      </c>
      <c r="E1382" s="845">
        <f t="shared" si="44"/>
        <v>2.3888888888888871</v>
      </c>
    </row>
    <row r="1383" spans="2:5">
      <c r="B1383" s="1115">
        <v>44984</v>
      </c>
      <c r="C1383" s="242">
        <f t="shared" si="43"/>
        <v>2</v>
      </c>
      <c r="D1383" s="242">
        <v>36.5</v>
      </c>
      <c r="E1383" s="845">
        <f t="shared" si="44"/>
        <v>2.5</v>
      </c>
    </row>
    <row r="1384" spans="2:5">
      <c r="B1384" s="1115">
        <v>44984</v>
      </c>
      <c r="C1384" s="242">
        <f t="shared" si="43"/>
        <v>2</v>
      </c>
      <c r="D1384" s="242">
        <v>37.4</v>
      </c>
      <c r="E1384" s="845">
        <f t="shared" si="44"/>
        <v>2.9999999999999991</v>
      </c>
    </row>
    <row r="1385" spans="2:5">
      <c r="B1385" s="1115">
        <v>44984</v>
      </c>
      <c r="C1385" s="242">
        <f t="shared" si="43"/>
        <v>2</v>
      </c>
      <c r="D1385" s="242">
        <v>37.9</v>
      </c>
      <c r="E1385" s="845">
        <f t="shared" si="44"/>
        <v>3.2777777777777768</v>
      </c>
    </row>
    <row r="1386" spans="2:5">
      <c r="B1386" s="1115">
        <v>44984</v>
      </c>
      <c r="C1386" s="242">
        <f t="shared" si="43"/>
        <v>2</v>
      </c>
      <c r="D1386" s="242">
        <v>38.5</v>
      </c>
      <c r="E1386" s="845">
        <f t="shared" si="44"/>
        <v>3.6111111111111112</v>
      </c>
    </row>
    <row r="1387" spans="2:5">
      <c r="B1387" s="1115">
        <v>44984</v>
      </c>
      <c r="C1387" s="242">
        <f t="shared" si="43"/>
        <v>2</v>
      </c>
      <c r="D1387" s="242">
        <v>38.700000000000003</v>
      </c>
      <c r="E1387" s="845">
        <f t="shared" si="44"/>
        <v>3.7222222222222237</v>
      </c>
    </row>
    <row r="1388" spans="2:5">
      <c r="B1388" s="1115">
        <v>44984</v>
      </c>
      <c r="C1388" s="242">
        <f t="shared" si="43"/>
        <v>2</v>
      </c>
      <c r="D1388" s="242">
        <v>38.799999999999997</v>
      </c>
      <c r="E1388" s="845">
        <f t="shared" si="44"/>
        <v>3.7777777777777759</v>
      </c>
    </row>
    <row r="1389" spans="2:5">
      <c r="B1389" s="1115">
        <v>44984</v>
      </c>
      <c r="C1389" s="242">
        <f t="shared" si="43"/>
        <v>2</v>
      </c>
      <c r="D1389" s="242">
        <v>38.5</v>
      </c>
      <c r="E1389" s="845">
        <f t="shared" si="44"/>
        <v>3.6111111111111112</v>
      </c>
    </row>
    <row r="1390" spans="2:5">
      <c r="B1390" s="1115">
        <v>44984</v>
      </c>
      <c r="C1390" s="242">
        <f t="shared" si="43"/>
        <v>2</v>
      </c>
      <c r="D1390" s="242">
        <v>38.5</v>
      </c>
      <c r="E1390" s="845">
        <f t="shared" si="44"/>
        <v>3.6111111111111112</v>
      </c>
    </row>
    <row r="1391" spans="2:5">
      <c r="B1391" s="1115">
        <v>44984</v>
      </c>
      <c r="C1391" s="242">
        <f t="shared" si="43"/>
        <v>2</v>
      </c>
      <c r="D1391" s="242">
        <v>38.1</v>
      </c>
      <c r="E1391" s="845">
        <f t="shared" si="44"/>
        <v>3.3888888888888897</v>
      </c>
    </row>
    <row r="1392" spans="2:5">
      <c r="B1392" s="1115">
        <v>44984</v>
      </c>
      <c r="C1392" s="242">
        <f t="shared" si="43"/>
        <v>2</v>
      </c>
      <c r="D1392" s="242">
        <v>37.200000000000003</v>
      </c>
      <c r="E1392" s="845">
        <f t="shared" si="44"/>
        <v>2.8888888888888906</v>
      </c>
    </row>
    <row r="1393" spans="2:5">
      <c r="B1393" s="1115">
        <v>44984</v>
      </c>
      <c r="C1393" s="242">
        <f t="shared" si="43"/>
        <v>2</v>
      </c>
      <c r="D1393" s="242">
        <v>36.9</v>
      </c>
      <c r="E1393" s="845">
        <f t="shared" si="44"/>
        <v>2.7222222222222214</v>
      </c>
    </row>
    <row r="1394" spans="2:5">
      <c r="B1394" s="1115">
        <v>44984</v>
      </c>
      <c r="C1394" s="242">
        <f t="shared" si="43"/>
        <v>2</v>
      </c>
      <c r="D1394" s="242">
        <v>36.5</v>
      </c>
      <c r="E1394" s="845">
        <f t="shared" si="44"/>
        <v>2.5</v>
      </c>
    </row>
    <row r="1395" spans="2:5">
      <c r="B1395" s="1115">
        <v>44984</v>
      </c>
      <c r="C1395" s="242">
        <f t="shared" si="43"/>
        <v>2</v>
      </c>
      <c r="D1395" s="242">
        <v>36.299999999999997</v>
      </c>
      <c r="E1395" s="845">
        <f t="shared" si="44"/>
        <v>2.3888888888888871</v>
      </c>
    </row>
    <row r="1396" spans="2:5">
      <c r="B1396" s="1115">
        <v>44984</v>
      </c>
      <c r="C1396" s="242">
        <f t="shared" si="43"/>
        <v>2</v>
      </c>
      <c r="D1396" s="242">
        <v>36.5</v>
      </c>
      <c r="E1396" s="845">
        <f t="shared" si="44"/>
        <v>2.5</v>
      </c>
    </row>
    <row r="1397" spans="2:5">
      <c r="B1397" s="1115">
        <v>44984</v>
      </c>
      <c r="C1397" s="242">
        <f t="shared" si="43"/>
        <v>2</v>
      </c>
      <c r="D1397" s="242">
        <v>37.200000000000003</v>
      </c>
      <c r="E1397" s="845">
        <f t="shared" si="44"/>
        <v>2.8888888888888906</v>
      </c>
    </row>
    <row r="1398" spans="2:5">
      <c r="B1398" s="1115">
        <v>44984</v>
      </c>
      <c r="C1398" s="242">
        <f t="shared" si="43"/>
        <v>2</v>
      </c>
      <c r="D1398" s="242">
        <v>37.6</v>
      </c>
      <c r="E1398" s="845">
        <f t="shared" si="44"/>
        <v>3.1111111111111116</v>
      </c>
    </row>
    <row r="1399" spans="2:5">
      <c r="B1399" s="1115">
        <v>44984</v>
      </c>
      <c r="C1399" s="242">
        <f t="shared" si="43"/>
        <v>2</v>
      </c>
      <c r="D1399" s="242">
        <v>38.299999999999997</v>
      </c>
      <c r="E1399" s="845">
        <f t="shared" si="44"/>
        <v>3.4999999999999982</v>
      </c>
    </row>
    <row r="1400" spans="2:5">
      <c r="B1400" s="1115">
        <v>44984</v>
      </c>
      <c r="C1400" s="242">
        <f t="shared" si="43"/>
        <v>2</v>
      </c>
      <c r="D1400" s="242">
        <v>38.700000000000003</v>
      </c>
      <c r="E1400" s="845">
        <f t="shared" si="44"/>
        <v>3.7222222222222237</v>
      </c>
    </row>
    <row r="1401" spans="2:5">
      <c r="B1401" s="1115">
        <v>44985</v>
      </c>
      <c r="C1401" s="242">
        <f t="shared" si="43"/>
        <v>2</v>
      </c>
      <c r="D1401" s="242">
        <v>38.799999999999997</v>
      </c>
      <c r="E1401" s="845">
        <f t="shared" si="44"/>
        <v>3.7777777777777759</v>
      </c>
    </row>
    <row r="1402" spans="2:5">
      <c r="B1402" s="1115">
        <v>44985</v>
      </c>
      <c r="C1402" s="242">
        <f t="shared" si="43"/>
        <v>2</v>
      </c>
      <c r="D1402" s="242">
        <v>38.700000000000003</v>
      </c>
      <c r="E1402" s="845">
        <f t="shared" si="44"/>
        <v>3.7222222222222237</v>
      </c>
    </row>
    <row r="1403" spans="2:5">
      <c r="B1403" s="1115">
        <v>44985</v>
      </c>
      <c r="C1403" s="242">
        <f t="shared" si="43"/>
        <v>2</v>
      </c>
      <c r="D1403" s="242">
        <v>38.299999999999997</v>
      </c>
      <c r="E1403" s="845">
        <f t="shared" si="44"/>
        <v>3.4999999999999982</v>
      </c>
    </row>
    <row r="1404" spans="2:5">
      <c r="B1404" s="1115">
        <v>44985</v>
      </c>
      <c r="C1404" s="242">
        <f t="shared" si="43"/>
        <v>2</v>
      </c>
      <c r="D1404" s="242">
        <v>37.9</v>
      </c>
      <c r="E1404" s="845">
        <f t="shared" si="44"/>
        <v>3.2777777777777768</v>
      </c>
    </row>
    <row r="1405" spans="2:5">
      <c r="B1405" s="1115">
        <v>44985</v>
      </c>
      <c r="C1405" s="242">
        <f t="shared" si="43"/>
        <v>2</v>
      </c>
      <c r="D1405" s="242">
        <v>37.200000000000003</v>
      </c>
      <c r="E1405" s="845">
        <f t="shared" si="44"/>
        <v>2.8888888888888906</v>
      </c>
    </row>
    <row r="1406" spans="2:5">
      <c r="B1406" s="1115">
        <v>44985</v>
      </c>
      <c r="C1406" s="242">
        <f t="shared" si="43"/>
        <v>2</v>
      </c>
      <c r="D1406" s="242">
        <v>36.700000000000003</v>
      </c>
      <c r="E1406" s="845">
        <f t="shared" si="44"/>
        <v>2.6111111111111125</v>
      </c>
    </row>
    <row r="1407" spans="2:5">
      <c r="B1407" s="1115">
        <v>44985</v>
      </c>
      <c r="C1407" s="242">
        <f t="shared" si="43"/>
        <v>2</v>
      </c>
      <c r="D1407" s="242">
        <v>36.5</v>
      </c>
      <c r="E1407" s="845">
        <f t="shared" si="44"/>
        <v>2.5</v>
      </c>
    </row>
    <row r="1408" spans="2:5">
      <c r="B1408" s="1115">
        <v>44985</v>
      </c>
      <c r="C1408" s="242">
        <f t="shared" si="43"/>
        <v>2</v>
      </c>
      <c r="D1408" s="242">
        <v>36.9</v>
      </c>
      <c r="E1408" s="845">
        <f t="shared" si="44"/>
        <v>2.7222222222222214</v>
      </c>
    </row>
    <row r="1409" spans="2:5">
      <c r="B1409" s="1115">
        <v>44985</v>
      </c>
      <c r="C1409" s="242">
        <f t="shared" si="43"/>
        <v>2</v>
      </c>
      <c r="D1409" s="242">
        <v>37.799999999999997</v>
      </c>
      <c r="E1409" s="845">
        <f t="shared" si="44"/>
        <v>3.2222222222222205</v>
      </c>
    </row>
    <row r="1410" spans="2:5">
      <c r="B1410" s="1115">
        <v>44985</v>
      </c>
      <c r="C1410" s="242">
        <f t="shared" si="43"/>
        <v>2</v>
      </c>
      <c r="D1410" s="242">
        <v>38.1</v>
      </c>
      <c r="E1410" s="845">
        <f t="shared" si="44"/>
        <v>3.3888888888888897</v>
      </c>
    </row>
    <row r="1411" spans="2:5">
      <c r="B1411" s="1115">
        <v>44985</v>
      </c>
      <c r="C1411" s="242">
        <f t="shared" si="43"/>
        <v>2</v>
      </c>
      <c r="D1411" s="242">
        <v>38.5</v>
      </c>
      <c r="E1411" s="845">
        <f t="shared" si="44"/>
        <v>3.6111111111111112</v>
      </c>
    </row>
    <row r="1412" spans="2:5">
      <c r="B1412" s="1115">
        <v>44985</v>
      </c>
      <c r="C1412" s="242">
        <f t="shared" si="43"/>
        <v>2</v>
      </c>
      <c r="D1412" s="242">
        <v>38.700000000000003</v>
      </c>
      <c r="E1412" s="845">
        <f t="shared" si="44"/>
        <v>3.7222222222222237</v>
      </c>
    </row>
    <row r="1413" spans="2:5">
      <c r="B1413" s="1115">
        <v>44985</v>
      </c>
      <c r="C1413" s="242">
        <f t="shared" si="43"/>
        <v>2</v>
      </c>
      <c r="D1413" s="242">
        <v>38.799999999999997</v>
      </c>
      <c r="E1413" s="845">
        <f t="shared" si="44"/>
        <v>3.7777777777777759</v>
      </c>
    </row>
    <row r="1414" spans="2:5">
      <c r="B1414" s="1115">
        <v>44985</v>
      </c>
      <c r="C1414" s="242">
        <f t="shared" si="43"/>
        <v>2</v>
      </c>
      <c r="D1414" s="242">
        <v>38.700000000000003</v>
      </c>
      <c r="E1414" s="845">
        <f t="shared" si="44"/>
        <v>3.7222222222222237</v>
      </c>
    </row>
    <row r="1415" spans="2:5">
      <c r="B1415" s="1115">
        <v>44985</v>
      </c>
      <c r="C1415" s="242">
        <f t="shared" si="43"/>
        <v>2</v>
      </c>
      <c r="D1415" s="242">
        <v>38.700000000000003</v>
      </c>
      <c r="E1415" s="845">
        <f t="shared" si="44"/>
        <v>3.7222222222222237</v>
      </c>
    </row>
    <row r="1416" spans="2:5">
      <c r="B1416" s="1115">
        <v>44985</v>
      </c>
      <c r="C1416" s="242">
        <f t="shared" si="43"/>
        <v>2</v>
      </c>
      <c r="D1416" s="242">
        <v>38.1</v>
      </c>
      <c r="E1416" s="845">
        <f t="shared" si="44"/>
        <v>3.3888888888888897</v>
      </c>
    </row>
    <row r="1417" spans="2:5">
      <c r="B1417" s="1115">
        <v>44985</v>
      </c>
      <c r="C1417" s="242">
        <f t="shared" si="43"/>
        <v>2</v>
      </c>
      <c r="D1417" s="242">
        <v>37.4</v>
      </c>
      <c r="E1417" s="845">
        <f t="shared" si="44"/>
        <v>2.9999999999999991</v>
      </c>
    </row>
    <row r="1418" spans="2:5">
      <c r="B1418" s="1115">
        <v>44985</v>
      </c>
      <c r="C1418" s="242">
        <f t="shared" ref="C1418:C1481" si="45">MONTH(B1418)</f>
        <v>2</v>
      </c>
      <c r="D1418" s="242">
        <v>36.9</v>
      </c>
      <c r="E1418" s="845">
        <f t="shared" ref="E1418:E1481" si="46">CONVERT(D1418,"F","C")</f>
        <v>2.7222222222222214</v>
      </c>
    </row>
    <row r="1419" spans="2:5">
      <c r="B1419" s="1115">
        <v>44985</v>
      </c>
      <c r="C1419" s="242">
        <f t="shared" si="45"/>
        <v>2</v>
      </c>
      <c r="D1419" s="242">
        <v>36.5</v>
      </c>
      <c r="E1419" s="845">
        <f t="shared" si="46"/>
        <v>2.5</v>
      </c>
    </row>
    <row r="1420" spans="2:5">
      <c r="B1420" s="1115">
        <v>44985</v>
      </c>
      <c r="C1420" s="242">
        <f t="shared" si="45"/>
        <v>2</v>
      </c>
      <c r="D1420" s="242">
        <v>36.299999999999997</v>
      </c>
      <c r="E1420" s="845">
        <f t="shared" si="46"/>
        <v>2.3888888888888871</v>
      </c>
    </row>
    <row r="1421" spans="2:5">
      <c r="B1421" s="1115">
        <v>44985</v>
      </c>
      <c r="C1421" s="242">
        <f t="shared" si="45"/>
        <v>2</v>
      </c>
      <c r="D1421" s="242">
        <v>36.5</v>
      </c>
      <c r="E1421" s="845">
        <f t="shared" si="46"/>
        <v>2.5</v>
      </c>
    </row>
    <row r="1422" spans="2:5">
      <c r="B1422" s="1115">
        <v>44985</v>
      </c>
      <c r="C1422" s="242">
        <f t="shared" si="45"/>
        <v>2</v>
      </c>
      <c r="D1422" s="242">
        <v>37.4</v>
      </c>
      <c r="E1422" s="845">
        <f t="shared" si="46"/>
        <v>2.9999999999999991</v>
      </c>
    </row>
    <row r="1423" spans="2:5">
      <c r="B1423" s="1115">
        <v>44985</v>
      </c>
      <c r="C1423" s="242">
        <f t="shared" si="45"/>
        <v>2</v>
      </c>
      <c r="D1423" s="242">
        <v>37.6</v>
      </c>
      <c r="E1423" s="845">
        <f t="shared" si="46"/>
        <v>3.1111111111111116</v>
      </c>
    </row>
    <row r="1424" spans="2:5">
      <c r="B1424" s="1115">
        <v>44985</v>
      </c>
      <c r="C1424" s="242">
        <f t="shared" si="45"/>
        <v>2</v>
      </c>
      <c r="D1424" s="242">
        <v>37.9</v>
      </c>
      <c r="E1424" s="845">
        <f t="shared" si="46"/>
        <v>3.2777777777777768</v>
      </c>
    </row>
    <row r="1425" spans="2:5">
      <c r="B1425" s="1115">
        <v>44986</v>
      </c>
      <c r="C1425" s="242">
        <f t="shared" si="45"/>
        <v>3</v>
      </c>
      <c r="D1425" s="242">
        <v>38.299999999999997</v>
      </c>
      <c r="E1425" s="845">
        <f t="shared" si="46"/>
        <v>3.4999999999999982</v>
      </c>
    </row>
    <row r="1426" spans="2:5">
      <c r="B1426" s="1115">
        <v>44986</v>
      </c>
      <c r="C1426" s="242">
        <f t="shared" si="45"/>
        <v>3</v>
      </c>
      <c r="D1426" s="242">
        <v>38.5</v>
      </c>
      <c r="E1426" s="845">
        <f t="shared" si="46"/>
        <v>3.6111111111111112</v>
      </c>
    </row>
    <row r="1427" spans="2:5">
      <c r="B1427" s="1115">
        <v>44986</v>
      </c>
      <c r="C1427" s="242">
        <f t="shared" si="45"/>
        <v>3</v>
      </c>
      <c r="D1427" s="242">
        <v>38.299999999999997</v>
      </c>
      <c r="E1427" s="845">
        <f t="shared" si="46"/>
        <v>3.4999999999999982</v>
      </c>
    </row>
    <row r="1428" spans="2:5">
      <c r="B1428" s="1115">
        <v>44986</v>
      </c>
      <c r="C1428" s="242">
        <f t="shared" si="45"/>
        <v>3</v>
      </c>
      <c r="D1428" s="242">
        <v>37.9</v>
      </c>
      <c r="E1428" s="845">
        <f t="shared" si="46"/>
        <v>3.2777777777777768</v>
      </c>
    </row>
    <row r="1429" spans="2:5">
      <c r="B1429" s="1115">
        <v>44986</v>
      </c>
      <c r="C1429" s="242">
        <f t="shared" si="45"/>
        <v>3</v>
      </c>
      <c r="D1429" s="242">
        <v>37.6</v>
      </c>
      <c r="E1429" s="845">
        <f t="shared" si="46"/>
        <v>3.1111111111111116</v>
      </c>
    </row>
    <row r="1430" spans="2:5">
      <c r="B1430" s="1115">
        <v>44986</v>
      </c>
      <c r="C1430" s="242">
        <f t="shared" si="45"/>
        <v>3</v>
      </c>
      <c r="D1430" s="242">
        <v>36.9</v>
      </c>
      <c r="E1430" s="845">
        <f t="shared" si="46"/>
        <v>2.7222222222222214</v>
      </c>
    </row>
    <row r="1431" spans="2:5">
      <c r="B1431" s="1115">
        <v>44986</v>
      </c>
      <c r="C1431" s="242">
        <f t="shared" si="45"/>
        <v>3</v>
      </c>
      <c r="D1431" s="242">
        <v>36.5</v>
      </c>
      <c r="E1431" s="845">
        <f t="shared" si="46"/>
        <v>2.5</v>
      </c>
    </row>
    <row r="1432" spans="2:5">
      <c r="B1432" s="1115">
        <v>44986</v>
      </c>
      <c r="C1432" s="242">
        <f t="shared" si="45"/>
        <v>3</v>
      </c>
      <c r="D1432" s="242">
        <v>36.1</v>
      </c>
      <c r="E1432" s="845">
        <f t="shared" si="46"/>
        <v>2.2777777777777786</v>
      </c>
    </row>
    <row r="1433" spans="2:5">
      <c r="B1433" s="1115">
        <v>44986</v>
      </c>
      <c r="C1433" s="242">
        <f t="shared" si="45"/>
        <v>3</v>
      </c>
      <c r="D1433" s="242">
        <v>36.5</v>
      </c>
      <c r="E1433" s="845">
        <f t="shared" si="46"/>
        <v>2.5</v>
      </c>
    </row>
    <row r="1434" spans="2:5">
      <c r="B1434" s="1115">
        <v>44986</v>
      </c>
      <c r="C1434" s="242">
        <f t="shared" si="45"/>
        <v>3</v>
      </c>
      <c r="D1434" s="242" t="s">
        <v>1840</v>
      </c>
      <c r="E1434" s="845">
        <f t="shared" si="46"/>
        <v>2.7777777777777777</v>
      </c>
    </row>
    <row r="1435" spans="2:5">
      <c r="B1435" s="1115">
        <v>44986</v>
      </c>
      <c r="C1435" s="242">
        <f t="shared" si="45"/>
        <v>3</v>
      </c>
      <c r="D1435" s="242">
        <v>37.4</v>
      </c>
      <c r="E1435" s="845">
        <f t="shared" si="46"/>
        <v>2.9999999999999991</v>
      </c>
    </row>
    <row r="1436" spans="2:5">
      <c r="B1436" s="1115">
        <v>44986</v>
      </c>
      <c r="C1436" s="242">
        <f t="shared" si="45"/>
        <v>3</v>
      </c>
      <c r="D1436" s="242">
        <v>37.9</v>
      </c>
      <c r="E1436" s="845">
        <f t="shared" si="46"/>
        <v>3.2777777777777768</v>
      </c>
    </row>
    <row r="1437" spans="2:5">
      <c r="B1437" s="1115">
        <v>44986</v>
      </c>
      <c r="C1437" s="242">
        <f t="shared" si="45"/>
        <v>3</v>
      </c>
      <c r="D1437" s="242">
        <v>38.299999999999997</v>
      </c>
      <c r="E1437" s="845">
        <f t="shared" si="46"/>
        <v>3.4999999999999982</v>
      </c>
    </row>
    <row r="1438" spans="2:5">
      <c r="B1438" s="1115">
        <v>44986</v>
      </c>
      <c r="C1438" s="242">
        <f t="shared" si="45"/>
        <v>3</v>
      </c>
      <c r="D1438" s="242">
        <v>38.5</v>
      </c>
      <c r="E1438" s="845">
        <f t="shared" si="46"/>
        <v>3.6111111111111112</v>
      </c>
    </row>
    <row r="1439" spans="2:5">
      <c r="B1439" s="1115">
        <v>44986</v>
      </c>
      <c r="C1439" s="242">
        <f t="shared" si="45"/>
        <v>3</v>
      </c>
      <c r="D1439" s="242">
        <v>38.299999999999997</v>
      </c>
      <c r="E1439" s="845">
        <f t="shared" si="46"/>
        <v>3.4999999999999982</v>
      </c>
    </row>
    <row r="1440" spans="2:5">
      <c r="B1440" s="1115">
        <v>44986</v>
      </c>
      <c r="C1440" s="242">
        <f t="shared" si="45"/>
        <v>3</v>
      </c>
      <c r="D1440" s="242">
        <v>38.1</v>
      </c>
      <c r="E1440" s="845">
        <f t="shared" si="46"/>
        <v>3.3888888888888897</v>
      </c>
    </row>
    <row r="1441" spans="2:5">
      <c r="B1441" s="1115">
        <v>44986</v>
      </c>
      <c r="C1441" s="242">
        <f t="shared" si="45"/>
        <v>3</v>
      </c>
      <c r="D1441" s="242">
        <v>37.799999999999997</v>
      </c>
      <c r="E1441" s="845">
        <f t="shared" si="46"/>
        <v>3.2222222222222205</v>
      </c>
    </row>
    <row r="1442" spans="2:5">
      <c r="B1442" s="1115">
        <v>44986</v>
      </c>
      <c r="C1442" s="242">
        <f t="shared" si="45"/>
        <v>3</v>
      </c>
      <c r="D1442" s="242" t="s">
        <v>1840</v>
      </c>
      <c r="E1442" s="845">
        <f t="shared" si="46"/>
        <v>2.7777777777777777</v>
      </c>
    </row>
    <row r="1443" spans="2:5">
      <c r="B1443" s="1115">
        <v>44986</v>
      </c>
      <c r="C1443" s="242">
        <f t="shared" si="45"/>
        <v>3</v>
      </c>
      <c r="D1443" s="242">
        <v>36.5</v>
      </c>
      <c r="E1443" s="845">
        <f t="shared" si="46"/>
        <v>2.5</v>
      </c>
    </row>
    <row r="1444" spans="2:5">
      <c r="B1444" s="1115">
        <v>44986</v>
      </c>
      <c r="C1444" s="242">
        <f t="shared" si="45"/>
        <v>3</v>
      </c>
      <c r="D1444" s="242">
        <v>36.299999999999997</v>
      </c>
      <c r="E1444" s="845">
        <f t="shared" si="46"/>
        <v>2.3888888888888871</v>
      </c>
    </row>
    <row r="1445" spans="2:5">
      <c r="B1445" s="1115">
        <v>44986</v>
      </c>
      <c r="C1445" s="242">
        <f t="shared" si="45"/>
        <v>3</v>
      </c>
      <c r="D1445" s="242">
        <v>36.1</v>
      </c>
      <c r="E1445" s="845">
        <f t="shared" si="46"/>
        <v>2.2777777777777786</v>
      </c>
    </row>
    <row r="1446" spans="2:5">
      <c r="B1446" s="1115">
        <v>44986</v>
      </c>
      <c r="C1446" s="242">
        <f t="shared" si="45"/>
        <v>3</v>
      </c>
      <c r="D1446" s="242">
        <v>36.5</v>
      </c>
      <c r="E1446" s="845">
        <f t="shared" si="46"/>
        <v>2.5</v>
      </c>
    </row>
    <row r="1447" spans="2:5">
      <c r="B1447" s="1115">
        <v>44986</v>
      </c>
      <c r="C1447" s="242">
        <f t="shared" si="45"/>
        <v>3</v>
      </c>
      <c r="D1447" s="242">
        <v>36.9</v>
      </c>
      <c r="E1447" s="845">
        <f t="shared" si="46"/>
        <v>2.7222222222222214</v>
      </c>
    </row>
    <row r="1448" spans="2:5">
      <c r="B1448" s="1115">
        <v>44986</v>
      </c>
      <c r="C1448" s="242">
        <f t="shared" si="45"/>
        <v>3</v>
      </c>
      <c r="D1448" s="242">
        <v>37.4</v>
      </c>
      <c r="E1448" s="845">
        <f t="shared" si="46"/>
        <v>2.9999999999999991</v>
      </c>
    </row>
    <row r="1449" spans="2:5">
      <c r="B1449" s="1115">
        <v>44987</v>
      </c>
      <c r="C1449" s="242">
        <f t="shared" si="45"/>
        <v>3</v>
      </c>
      <c r="D1449" s="242">
        <v>37.9</v>
      </c>
      <c r="E1449" s="845">
        <f t="shared" si="46"/>
        <v>3.2777777777777768</v>
      </c>
    </row>
    <row r="1450" spans="2:5">
      <c r="B1450" s="1115">
        <v>44987</v>
      </c>
      <c r="C1450" s="242">
        <f t="shared" si="45"/>
        <v>3</v>
      </c>
      <c r="D1450" s="242">
        <v>38.5</v>
      </c>
      <c r="E1450" s="845">
        <f t="shared" si="46"/>
        <v>3.6111111111111112</v>
      </c>
    </row>
    <row r="1451" spans="2:5">
      <c r="B1451" s="1115">
        <v>44987</v>
      </c>
      <c r="C1451" s="242">
        <f t="shared" si="45"/>
        <v>3</v>
      </c>
      <c r="D1451" s="242" t="s">
        <v>1839</v>
      </c>
      <c r="E1451" s="845">
        <f t="shared" si="46"/>
        <v>3.8888888888888888</v>
      </c>
    </row>
    <row r="1452" spans="2:5">
      <c r="B1452" s="1115">
        <v>44987</v>
      </c>
      <c r="C1452" s="242">
        <f t="shared" si="45"/>
        <v>3</v>
      </c>
      <c r="D1452" s="242">
        <v>38.799999999999997</v>
      </c>
      <c r="E1452" s="845">
        <f t="shared" si="46"/>
        <v>3.7777777777777759</v>
      </c>
    </row>
    <row r="1453" spans="2:5">
      <c r="B1453" s="1115">
        <v>44987</v>
      </c>
      <c r="C1453" s="242">
        <f t="shared" si="45"/>
        <v>3</v>
      </c>
      <c r="D1453" s="242">
        <v>38.5</v>
      </c>
      <c r="E1453" s="845">
        <f t="shared" si="46"/>
        <v>3.6111111111111112</v>
      </c>
    </row>
    <row r="1454" spans="2:5">
      <c r="B1454" s="1115">
        <v>44987</v>
      </c>
      <c r="C1454" s="242">
        <f t="shared" si="45"/>
        <v>3</v>
      </c>
      <c r="D1454" s="242">
        <v>37.9</v>
      </c>
      <c r="E1454" s="845">
        <f t="shared" si="46"/>
        <v>3.2777777777777768</v>
      </c>
    </row>
    <row r="1455" spans="2:5">
      <c r="B1455" s="1115">
        <v>44987</v>
      </c>
      <c r="C1455" s="242">
        <f t="shared" si="45"/>
        <v>3</v>
      </c>
      <c r="D1455" s="242">
        <v>37.4</v>
      </c>
      <c r="E1455" s="845">
        <f t="shared" si="46"/>
        <v>2.9999999999999991</v>
      </c>
    </row>
    <row r="1456" spans="2:5">
      <c r="B1456" s="1115">
        <v>44987</v>
      </c>
      <c r="C1456" s="242">
        <f t="shared" si="45"/>
        <v>3</v>
      </c>
      <c r="D1456" s="242">
        <v>36.9</v>
      </c>
      <c r="E1456" s="845">
        <f t="shared" si="46"/>
        <v>2.7222222222222214</v>
      </c>
    </row>
    <row r="1457" spans="2:5">
      <c r="B1457" s="1115">
        <v>44987</v>
      </c>
      <c r="C1457" s="242">
        <f t="shared" si="45"/>
        <v>3</v>
      </c>
      <c r="D1457" s="242">
        <v>36.700000000000003</v>
      </c>
      <c r="E1457" s="845">
        <f t="shared" si="46"/>
        <v>2.6111111111111125</v>
      </c>
    </row>
    <row r="1458" spans="2:5">
      <c r="B1458" s="1115">
        <v>44987</v>
      </c>
      <c r="C1458" s="242">
        <f t="shared" si="45"/>
        <v>3</v>
      </c>
      <c r="D1458" s="242" t="s">
        <v>1840</v>
      </c>
      <c r="E1458" s="845">
        <f t="shared" si="46"/>
        <v>2.7777777777777777</v>
      </c>
    </row>
    <row r="1459" spans="2:5">
      <c r="B1459" s="1115">
        <v>44987</v>
      </c>
      <c r="C1459" s="242">
        <f t="shared" si="45"/>
        <v>3</v>
      </c>
      <c r="D1459" s="242">
        <v>37.799999999999997</v>
      </c>
      <c r="E1459" s="845">
        <f t="shared" si="46"/>
        <v>3.2222222222222205</v>
      </c>
    </row>
    <row r="1460" spans="2:5">
      <c r="B1460" s="1115">
        <v>44987</v>
      </c>
      <c r="C1460" s="242">
        <f t="shared" si="45"/>
        <v>3</v>
      </c>
      <c r="D1460" s="242">
        <v>38.1</v>
      </c>
      <c r="E1460" s="845">
        <f t="shared" si="46"/>
        <v>3.3888888888888897</v>
      </c>
    </row>
    <row r="1461" spans="2:5">
      <c r="B1461" s="1115">
        <v>44987</v>
      </c>
      <c r="C1461" s="242">
        <f t="shared" si="45"/>
        <v>3</v>
      </c>
      <c r="D1461" s="242">
        <v>38.700000000000003</v>
      </c>
      <c r="E1461" s="845">
        <f t="shared" si="46"/>
        <v>3.7222222222222237</v>
      </c>
    </row>
    <row r="1462" spans="2:5">
      <c r="B1462" s="1115">
        <v>44987</v>
      </c>
      <c r="C1462" s="242">
        <f t="shared" si="45"/>
        <v>3</v>
      </c>
      <c r="D1462" s="242">
        <v>39.200000000000003</v>
      </c>
      <c r="E1462" s="845">
        <f t="shared" si="46"/>
        <v>4.0000000000000018</v>
      </c>
    </row>
    <row r="1463" spans="2:5">
      <c r="B1463" s="1115">
        <v>44987</v>
      </c>
      <c r="C1463" s="242">
        <f t="shared" si="45"/>
        <v>3</v>
      </c>
      <c r="D1463" s="242">
        <v>39.200000000000003</v>
      </c>
      <c r="E1463" s="845">
        <f t="shared" si="46"/>
        <v>4.0000000000000018</v>
      </c>
    </row>
    <row r="1464" spans="2:5">
      <c r="B1464" s="1115">
        <v>44987</v>
      </c>
      <c r="C1464" s="242">
        <f t="shared" si="45"/>
        <v>3</v>
      </c>
      <c r="D1464" s="242">
        <v>39.200000000000003</v>
      </c>
      <c r="E1464" s="845">
        <f t="shared" si="46"/>
        <v>4.0000000000000018</v>
      </c>
    </row>
    <row r="1465" spans="2:5">
      <c r="B1465" s="1115">
        <v>44987</v>
      </c>
      <c r="C1465" s="242">
        <f t="shared" si="45"/>
        <v>3</v>
      </c>
      <c r="D1465" s="242">
        <v>39.200000000000003</v>
      </c>
      <c r="E1465" s="845">
        <f t="shared" si="46"/>
        <v>4.0000000000000018</v>
      </c>
    </row>
    <row r="1466" spans="2:5">
      <c r="B1466" s="1115">
        <v>44987</v>
      </c>
      <c r="C1466" s="242">
        <f t="shared" si="45"/>
        <v>3</v>
      </c>
      <c r="D1466" s="242">
        <v>38.799999999999997</v>
      </c>
      <c r="E1466" s="845">
        <f t="shared" si="46"/>
        <v>3.7777777777777759</v>
      </c>
    </row>
    <row r="1467" spans="2:5">
      <c r="B1467" s="1115">
        <v>44987</v>
      </c>
      <c r="C1467" s="242">
        <f t="shared" si="45"/>
        <v>3</v>
      </c>
      <c r="D1467" s="242">
        <v>38.1</v>
      </c>
      <c r="E1467" s="845">
        <f t="shared" si="46"/>
        <v>3.3888888888888897</v>
      </c>
    </row>
    <row r="1468" spans="2:5">
      <c r="B1468" s="1115">
        <v>44987</v>
      </c>
      <c r="C1468" s="242">
        <f t="shared" si="45"/>
        <v>3</v>
      </c>
      <c r="D1468" s="242">
        <v>37.4</v>
      </c>
      <c r="E1468" s="845">
        <f t="shared" si="46"/>
        <v>2.9999999999999991</v>
      </c>
    </row>
    <row r="1469" spans="2:5">
      <c r="B1469" s="1115">
        <v>44987</v>
      </c>
      <c r="C1469" s="242">
        <f t="shared" si="45"/>
        <v>3</v>
      </c>
      <c r="D1469" s="242" t="s">
        <v>1840</v>
      </c>
      <c r="E1469" s="845">
        <f t="shared" si="46"/>
        <v>2.7777777777777777</v>
      </c>
    </row>
    <row r="1470" spans="2:5">
      <c r="B1470" s="1115">
        <v>44987</v>
      </c>
      <c r="C1470" s="242">
        <f t="shared" si="45"/>
        <v>3</v>
      </c>
      <c r="D1470" s="242">
        <v>36.9</v>
      </c>
      <c r="E1470" s="845">
        <f t="shared" si="46"/>
        <v>2.7222222222222214</v>
      </c>
    </row>
    <row r="1471" spans="2:5">
      <c r="B1471" s="1115">
        <v>44987</v>
      </c>
      <c r="C1471" s="242">
        <f t="shared" si="45"/>
        <v>3</v>
      </c>
      <c r="D1471" s="242">
        <v>36.9</v>
      </c>
      <c r="E1471" s="845">
        <f t="shared" si="46"/>
        <v>2.7222222222222214</v>
      </c>
    </row>
    <row r="1472" spans="2:5">
      <c r="B1472" s="1115">
        <v>44987</v>
      </c>
      <c r="C1472" s="242">
        <f t="shared" si="45"/>
        <v>3</v>
      </c>
      <c r="D1472" s="242">
        <v>37.6</v>
      </c>
      <c r="E1472" s="845">
        <f t="shared" si="46"/>
        <v>3.1111111111111116</v>
      </c>
    </row>
    <row r="1473" spans="2:5">
      <c r="B1473" s="1115">
        <v>44988</v>
      </c>
      <c r="C1473" s="242">
        <f t="shared" si="45"/>
        <v>3</v>
      </c>
      <c r="D1473" s="242">
        <v>38.1</v>
      </c>
      <c r="E1473" s="845">
        <f t="shared" si="46"/>
        <v>3.3888888888888897</v>
      </c>
    </row>
    <row r="1474" spans="2:5">
      <c r="B1474" s="1115">
        <v>44988</v>
      </c>
      <c r="C1474" s="242">
        <f t="shared" si="45"/>
        <v>3</v>
      </c>
      <c r="D1474" s="242">
        <v>38.5</v>
      </c>
      <c r="E1474" s="845">
        <f t="shared" si="46"/>
        <v>3.6111111111111112</v>
      </c>
    </row>
    <row r="1475" spans="2:5">
      <c r="B1475" s="1115">
        <v>44988</v>
      </c>
      <c r="C1475" s="242">
        <f t="shared" si="45"/>
        <v>3</v>
      </c>
      <c r="D1475" s="242">
        <v>38.799999999999997</v>
      </c>
      <c r="E1475" s="845">
        <f t="shared" si="46"/>
        <v>3.7777777777777759</v>
      </c>
    </row>
    <row r="1476" spans="2:5">
      <c r="B1476" s="1115">
        <v>44988</v>
      </c>
      <c r="C1476" s="242">
        <f t="shared" si="45"/>
        <v>3</v>
      </c>
      <c r="D1476" s="242" t="s">
        <v>1839</v>
      </c>
      <c r="E1476" s="845">
        <f t="shared" si="46"/>
        <v>3.8888888888888888</v>
      </c>
    </row>
    <row r="1477" spans="2:5">
      <c r="B1477" s="1115">
        <v>44988</v>
      </c>
      <c r="C1477" s="242">
        <f t="shared" si="45"/>
        <v>3</v>
      </c>
      <c r="D1477" s="242">
        <v>38.799999999999997</v>
      </c>
      <c r="E1477" s="845">
        <f t="shared" si="46"/>
        <v>3.7777777777777759</v>
      </c>
    </row>
    <row r="1478" spans="2:5">
      <c r="B1478" s="1115">
        <v>44988</v>
      </c>
      <c r="C1478" s="242">
        <f t="shared" si="45"/>
        <v>3</v>
      </c>
      <c r="D1478" s="242">
        <v>38.5</v>
      </c>
      <c r="E1478" s="845">
        <f t="shared" si="46"/>
        <v>3.6111111111111112</v>
      </c>
    </row>
    <row r="1479" spans="2:5">
      <c r="B1479" s="1115">
        <v>44988</v>
      </c>
      <c r="C1479" s="242">
        <f t="shared" si="45"/>
        <v>3</v>
      </c>
      <c r="D1479" s="242">
        <v>37.9</v>
      </c>
      <c r="E1479" s="845">
        <f t="shared" si="46"/>
        <v>3.2777777777777768</v>
      </c>
    </row>
    <row r="1480" spans="2:5">
      <c r="B1480" s="1115">
        <v>44988</v>
      </c>
      <c r="C1480" s="242">
        <f t="shared" si="45"/>
        <v>3</v>
      </c>
      <c r="D1480" s="242">
        <v>37.4</v>
      </c>
      <c r="E1480" s="845">
        <f t="shared" si="46"/>
        <v>2.9999999999999991</v>
      </c>
    </row>
    <row r="1481" spans="2:5">
      <c r="B1481" s="1115">
        <v>44988</v>
      </c>
      <c r="C1481" s="242">
        <f t="shared" si="45"/>
        <v>3</v>
      </c>
      <c r="D1481" s="242">
        <v>36.9</v>
      </c>
      <c r="E1481" s="845">
        <f t="shared" si="46"/>
        <v>2.7222222222222214</v>
      </c>
    </row>
    <row r="1482" spans="2:5">
      <c r="B1482" s="1115">
        <v>44988</v>
      </c>
      <c r="C1482" s="242">
        <f t="shared" ref="C1482:C1545" si="47">MONTH(B1482)</f>
        <v>3</v>
      </c>
      <c r="D1482" s="242">
        <v>36.5</v>
      </c>
      <c r="E1482" s="845">
        <f t="shared" ref="E1482:E1545" si="48">CONVERT(D1482,"F","C")</f>
        <v>2.5</v>
      </c>
    </row>
    <row r="1483" spans="2:5">
      <c r="B1483" s="1115">
        <v>44988</v>
      </c>
      <c r="C1483" s="242">
        <f t="shared" si="47"/>
        <v>3</v>
      </c>
      <c r="D1483" s="242">
        <v>36.9</v>
      </c>
      <c r="E1483" s="845">
        <f t="shared" si="48"/>
        <v>2.7222222222222214</v>
      </c>
    </row>
    <row r="1484" spans="2:5">
      <c r="B1484" s="1115">
        <v>44988</v>
      </c>
      <c r="C1484" s="242">
        <f t="shared" si="47"/>
        <v>3</v>
      </c>
      <c r="D1484" s="242">
        <v>37.6</v>
      </c>
      <c r="E1484" s="845">
        <f t="shared" si="48"/>
        <v>3.1111111111111116</v>
      </c>
    </row>
    <row r="1485" spans="2:5">
      <c r="B1485" s="1115">
        <v>44988</v>
      </c>
      <c r="C1485" s="242">
        <f t="shared" si="47"/>
        <v>3</v>
      </c>
      <c r="D1485" s="242">
        <v>37.9</v>
      </c>
      <c r="E1485" s="845">
        <f t="shared" si="48"/>
        <v>3.2777777777777768</v>
      </c>
    </row>
    <row r="1486" spans="2:5">
      <c r="B1486" s="1115">
        <v>44988</v>
      </c>
      <c r="C1486" s="242">
        <f t="shared" si="47"/>
        <v>3</v>
      </c>
      <c r="D1486" s="242">
        <v>38.299999999999997</v>
      </c>
      <c r="E1486" s="845">
        <f t="shared" si="48"/>
        <v>3.4999999999999982</v>
      </c>
    </row>
    <row r="1487" spans="2:5">
      <c r="B1487" s="1115">
        <v>44988</v>
      </c>
      <c r="C1487" s="242">
        <f t="shared" si="47"/>
        <v>3</v>
      </c>
      <c r="D1487" s="242">
        <v>38.700000000000003</v>
      </c>
      <c r="E1487" s="845">
        <f t="shared" si="48"/>
        <v>3.7222222222222237</v>
      </c>
    </row>
    <row r="1488" spans="2:5">
      <c r="B1488" s="1115">
        <v>44988</v>
      </c>
      <c r="C1488" s="242">
        <f t="shared" si="47"/>
        <v>3</v>
      </c>
      <c r="D1488" s="242">
        <v>38.799999999999997</v>
      </c>
      <c r="E1488" s="845">
        <f t="shared" si="48"/>
        <v>3.7777777777777759</v>
      </c>
    </row>
    <row r="1489" spans="2:5">
      <c r="B1489" s="1115">
        <v>44988</v>
      </c>
      <c r="C1489" s="242">
        <f t="shared" si="47"/>
        <v>3</v>
      </c>
      <c r="D1489" s="242">
        <v>38.799999999999997</v>
      </c>
      <c r="E1489" s="845">
        <f t="shared" si="48"/>
        <v>3.7777777777777759</v>
      </c>
    </row>
    <row r="1490" spans="2:5">
      <c r="B1490" s="1115">
        <v>44988</v>
      </c>
      <c r="C1490" s="242">
        <f t="shared" si="47"/>
        <v>3</v>
      </c>
      <c r="D1490" s="242">
        <v>38.799999999999997</v>
      </c>
      <c r="E1490" s="845">
        <f t="shared" si="48"/>
        <v>3.7777777777777759</v>
      </c>
    </row>
    <row r="1491" spans="2:5">
      <c r="B1491" s="1115">
        <v>44988</v>
      </c>
      <c r="C1491" s="242">
        <f t="shared" si="47"/>
        <v>3</v>
      </c>
      <c r="D1491" s="242">
        <v>38.700000000000003</v>
      </c>
      <c r="E1491" s="845">
        <f t="shared" si="48"/>
        <v>3.7222222222222237</v>
      </c>
    </row>
    <row r="1492" spans="2:5">
      <c r="B1492" s="1115">
        <v>44988</v>
      </c>
      <c r="C1492" s="242">
        <f t="shared" si="47"/>
        <v>3</v>
      </c>
      <c r="D1492" s="242">
        <v>38.1</v>
      </c>
      <c r="E1492" s="845">
        <f t="shared" si="48"/>
        <v>3.3888888888888897</v>
      </c>
    </row>
    <row r="1493" spans="2:5">
      <c r="B1493" s="1115">
        <v>44988</v>
      </c>
      <c r="C1493" s="242">
        <f t="shared" si="47"/>
        <v>3</v>
      </c>
      <c r="D1493" s="242">
        <v>37.799999999999997</v>
      </c>
      <c r="E1493" s="845">
        <f t="shared" si="48"/>
        <v>3.2222222222222205</v>
      </c>
    </row>
    <row r="1494" spans="2:5">
      <c r="B1494" s="1115">
        <v>44988</v>
      </c>
      <c r="C1494" s="242">
        <f t="shared" si="47"/>
        <v>3</v>
      </c>
      <c r="D1494" s="242">
        <v>37.4</v>
      </c>
      <c r="E1494" s="845">
        <f t="shared" si="48"/>
        <v>2.9999999999999991</v>
      </c>
    </row>
    <row r="1495" spans="2:5">
      <c r="B1495" s="1115">
        <v>44988</v>
      </c>
      <c r="C1495" s="242">
        <f t="shared" si="47"/>
        <v>3</v>
      </c>
      <c r="D1495" s="242">
        <v>37.200000000000003</v>
      </c>
      <c r="E1495" s="845">
        <f t="shared" si="48"/>
        <v>2.8888888888888906</v>
      </c>
    </row>
    <row r="1496" spans="2:5">
      <c r="B1496" s="1115">
        <v>44988</v>
      </c>
      <c r="C1496" s="242">
        <f t="shared" si="47"/>
        <v>3</v>
      </c>
      <c r="D1496" s="242">
        <v>37.4</v>
      </c>
      <c r="E1496" s="845">
        <f t="shared" si="48"/>
        <v>2.9999999999999991</v>
      </c>
    </row>
    <row r="1497" spans="2:5">
      <c r="B1497" s="1115">
        <v>44989</v>
      </c>
      <c r="C1497" s="242">
        <f t="shared" si="47"/>
        <v>3</v>
      </c>
      <c r="D1497" s="242">
        <v>38.1</v>
      </c>
      <c r="E1497" s="845">
        <f t="shared" si="48"/>
        <v>3.3888888888888897</v>
      </c>
    </row>
    <row r="1498" spans="2:5">
      <c r="B1498" s="1115">
        <v>44989</v>
      </c>
      <c r="C1498" s="242">
        <f t="shared" si="47"/>
        <v>3</v>
      </c>
      <c r="D1498" s="242">
        <v>38.299999999999997</v>
      </c>
      <c r="E1498" s="845">
        <f t="shared" si="48"/>
        <v>3.4999999999999982</v>
      </c>
    </row>
    <row r="1499" spans="2:5">
      <c r="B1499" s="1115">
        <v>44989</v>
      </c>
      <c r="C1499" s="242">
        <f t="shared" si="47"/>
        <v>3</v>
      </c>
      <c r="D1499" s="242">
        <v>38.5</v>
      </c>
      <c r="E1499" s="845">
        <f t="shared" si="48"/>
        <v>3.6111111111111112</v>
      </c>
    </row>
    <row r="1500" spans="2:5">
      <c r="B1500" s="1115">
        <v>44989</v>
      </c>
      <c r="C1500" s="242">
        <f t="shared" si="47"/>
        <v>3</v>
      </c>
      <c r="D1500" s="242">
        <v>38.700000000000003</v>
      </c>
      <c r="E1500" s="845">
        <f t="shared" si="48"/>
        <v>3.7222222222222237</v>
      </c>
    </row>
    <row r="1501" spans="2:5">
      <c r="B1501" s="1115">
        <v>44989</v>
      </c>
      <c r="C1501" s="242">
        <f t="shared" si="47"/>
        <v>3</v>
      </c>
      <c r="D1501" s="242">
        <v>38.799999999999997</v>
      </c>
      <c r="E1501" s="845">
        <f t="shared" si="48"/>
        <v>3.7777777777777759</v>
      </c>
    </row>
    <row r="1502" spans="2:5">
      <c r="B1502" s="1115">
        <v>44989</v>
      </c>
      <c r="C1502" s="242">
        <f t="shared" si="47"/>
        <v>3</v>
      </c>
      <c r="D1502" s="242">
        <v>38.700000000000003</v>
      </c>
      <c r="E1502" s="845">
        <f t="shared" si="48"/>
        <v>3.7222222222222237</v>
      </c>
    </row>
    <row r="1503" spans="2:5">
      <c r="B1503" s="1115">
        <v>44989</v>
      </c>
      <c r="C1503" s="242">
        <f t="shared" si="47"/>
        <v>3</v>
      </c>
      <c r="D1503" s="242">
        <v>38.700000000000003</v>
      </c>
      <c r="E1503" s="845">
        <f t="shared" si="48"/>
        <v>3.7222222222222237</v>
      </c>
    </row>
    <row r="1504" spans="2:5">
      <c r="B1504" s="1115">
        <v>44989</v>
      </c>
      <c r="C1504" s="242">
        <f t="shared" si="47"/>
        <v>3</v>
      </c>
      <c r="D1504" s="242">
        <v>38.5</v>
      </c>
      <c r="E1504" s="845">
        <f t="shared" si="48"/>
        <v>3.6111111111111112</v>
      </c>
    </row>
    <row r="1505" spans="2:5">
      <c r="B1505" s="1115">
        <v>44989</v>
      </c>
      <c r="C1505" s="242">
        <f t="shared" si="47"/>
        <v>3</v>
      </c>
      <c r="D1505" s="242">
        <v>37.9</v>
      </c>
      <c r="E1505" s="845">
        <f t="shared" si="48"/>
        <v>3.2777777777777768</v>
      </c>
    </row>
    <row r="1506" spans="2:5">
      <c r="B1506" s="1115">
        <v>44989</v>
      </c>
      <c r="C1506" s="242">
        <f t="shared" si="47"/>
        <v>3</v>
      </c>
      <c r="D1506" s="242">
        <v>37.6</v>
      </c>
      <c r="E1506" s="845">
        <f t="shared" si="48"/>
        <v>3.1111111111111116</v>
      </c>
    </row>
    <row r="1507" spans="2:5">
      <c r="B1507" s="1115">
        <v>44989</v>
      </c>
      <c r="C1507" s="242">
        <f t="shared" si="47"/>
        <v>3</v>
      </c>
      <c r="D1507" s="242">
        <v>37.4</v>
      </c>
      <c r="E1507" s="845">
        <f t="shared" si="48"/>
        <v>2.9999999999999991</v>
      </c>
    </row>
    <row r="1508" spans="2:5">
      <c r="B1508" s="1115">
        <v>44989</v>
      </c>
      <c r="C1508" s="242">
        <f t="shared" si="47"/>
        <v>3</v>
      </c>
      <c r="D1508" s="242">
        <v>37.9</v>
      </c>
      <c r="E1508" s="845">
        <f t="shared" si="48"/>
        <v>3.2777777777777768</v>
      </c>
    </row>
    <row r="1509" spans="2:5">
      <c r="B1509" s="1115">
        <v>44989</v>
      </c>
      <c r="C1509" s="242">
        <f t="shared" si="47"/>
        <v>3</v>
      </c>
      <c r="D1509" s="242">
        <v>38.299999999999997</v>
      </c>
      <c r="E1509" s="845">
        <f t="shared" si="48"/>
        <v>3.4999999999999982</v>
      </c>
    </row>
    <row r="1510" spans="2:5">
      <c r="B1510" s="1115">
        <v>44989</v>
      </c>
      <c r="C1510" s="242">
        <f t="shared" si="47"/>
        <v>3</v>
      </c>
      <c r="D1510" s="242">
        <v>38.5</v>
      </c>
      <c r="E1510" s="845">
        <f t="shared" si="48"/>
        <v>3.6111111111111112</v>
      </c>
    </row>
    <row r="1511" spans="2:5">
      <c r="B1511" s="1115">
        <v>44989</v>
      </c>
      <c r="C1511" s="242">
        <f t="shared" si="47"/>
        <v>3</v>
      </c>
      <c r="D1511" s="242">
        <v>38.5</v>
      </c>
      <c r="E1511" s="845">
        <f t="shared" si="48"/>
        <v>3.6111111111111112</v>
      </c>
    </row>
    <row r="1512" spans="2:5">
      <c r="B1512" s="1115">
        <v>44989</v>
      </c>
      <c r="C1512" s="242">
        <f t="shared" si="47"/>
        <v>3</v>
      </c>
      <c r="D1512" s="242">
        <v>38.5</v>
      </c>
      <c r="E1512" s="845">
        <f t="shared" si="48"/>
        <v>3.6111111111111112</v>
      </c>
    </row>
    <row r="1513" spans="2:5">
      <c r="B1513" s="1115">
        <v>44989</v>
      </c>
      <c r="C1513" s="242">
        <f t="shared" si="47"/>
        <v>3</v>
      </c>
      <c r="D1513" s="242">
        <v>38.5</v>
      </c>
      <c r="E1513" s="845">
        <f t="shared" si="48"/>
        <v>3.6111111111111112</v>
      </c>
    </row>
    <row r="1514" spans="2:5">
      <c r="B1514" s="1115">
        <v>44989</v>
      </c>
      <c r="C1514" s="242">
        <f t="shared" si="47"/>
        <v>3</v>
      </c>
      <c r="D1514" s="242">
        <v>38.5</v>
      </c>
      <c r="E1514" s="845">
        <f t="shared" si="48"/>
        <v>3.6111111111111112</v>
      </c>
    </row>
    <row r="1515" spans="2:5">
      <c r="B1515" s="1115">
        <v>44989</v>
      </c>
      <c r="C1515" s="242">
        <f t="shared" si="47"/>
        <v>3</v>
      </c>
      <c r="D1515" s="242">
        <v>38.5</v>
      </c>
      <c r="E1515" s="845">
        <f t="shared" si="48"/>
        <v>3.6111111111111112</v>
      </c>
    </row>
    <row r="1516" spans="2:5">
      <c r="B1516" s="1115">
        <v>44989</v>
      </c>
      <c r="C1516" s="242">
        <f t="shared" si="47"/>
        <v>3</v>
      </c>
      <c r="D1516" s="242">
        <v>38.1</v>
      </c>
      <c r="E1516" s="845">
        <f t="shared" si="48"/>
        <v>3.3888888888888897</v>
      </c>
    </row>
    <row r="1517" spans="2:5">
      <c r="B1517" s="1115">
        <v>44989</v>
      </c>
      <c r="C1517" s="242">
        <f t="shared" si="47"/>
        <v>3</v>
      </c>
      <c r="D1517" s="242">
        <v>37.799999999999997</v>
      </c>
      <c r="E1517" s="845">
        <f t="shared" si="48"/>
        <v>3.2222222222222205</v>
      </c>
    </row>
    <row r="1518" spans="2:5">
      <c r="B1518" s="1115">
        <v>44989</v>
      </c>
      <c r="C1518" s="242">
        <f t="shared" si="47"/>
        <v>3</v>
      </c>
      <c r="D1518" s="242">
        <v>37.4</v>
      </c>
      <c r="E1518" s="845">
        <f t="shared" si="48"/>
        <v>2.9999999999999991</v>
      </c>
    </row>
    <row r="1519" spans="2:5">
      <c r="B1519" s="1115">
        <v>44989</v>
      </c>
      <c r="C1519" s="242">
        <f t="shared" si="47"/>
        <v>3</v>
      </c>
      <c r="D1519" s="242" t="s">
        <v>1840</v>
      </c>
      <c r="E1519" s="845">
        <f t="shared" si="48"/>
        <v>2.7777777777777777</v>
      </c>
    </row>
    <row r="1520" spans="2:5">
      <c r="B1520" s="1115">
        <v>44989</v>
      </c>
      <c r="C1520" s="242">
        <f t="shared" si="47"/>
        <v>3</v>
      </c>
      <c r="D1520" s="242">
        <v>36.9</v>
      </c>
      <c r="E1520" s="845">
        <f t="shared" si="48"/>
        <v>2.7222222222222214</v>
      </c>
    </row>
    <row r="1521" spans="2:5">
      <c r="B1521" s="1115">
        <v>44990</v>
      </c>
      <c r="C1521" s="242">
        <f t="shared" si="47"/>
        <v>3</v>
      </c>
      <c r="D1521" s="242" t="s">
        <v>1840</v>
      </c>
      <c r="E1521" s="845">
        <f t="shared" si="48"/>
        <v>2.7777777777777777</v>
      </c>
    </row>
    <row r="1522" spans="2:5">
      <c r="B1522" s="1115">
        <v>44990</v>
      </c>
      <c r="C1522" s="242">
        <f t="shared" si="47"/>
        <v>3</v>
      </c>
      <c r="D1522" s="242">
        <v>37.4</v>
      </c>
      <c r="E1522" s="845">
        <f t="shared" si="48"/>
        <v>2.9999999999999991</v>
      </c>
    </row>
    <row r="1523" spans="2:5">
      <c r="B1523" s="1115">
        <v>44990</v>
      </c>
      <c r="C1523" s="242">
        <f t="shared" si="47"/>
        <v>3</v>
      </c>
      <c r="D1523" s="242">
        <v>37.799999999999997</v>
      </c>
      <c r="E1523" s="845">
        <f t="shared" si="48"/>
        <v>3.2222222222222205</v>
      </c>
    </row>
    <row r="1524" spans="2:5">
      <c r="B1524" s="1115">
        <v>44990</v>
      </c>
      <c r="C1524" s="242">
        <f t="shared" si="47"/>
        <v>3</v>
      </c>
      <c r="D1524" s="242">
        <v>37.9</v>
      </c>
      <c r="E1524" s="845">
        <f t="shared" si="48"/>
        <v>3.2777777777777768</v>
      </c>
    </row>
    <row r="1525" spans="2:5">
      <c r="B1525" s="1115">
        <v>44990</v>
      </c>
      <c r="C1525" s="242">
        <f t="shared" si="47"/>
        <v>3</v>
      </c>
      <c r="D1525" s="242">
        <v>38.299999999999997</v>
      </c>
      <c r="E1525" s="845">
        <f t="shared" si="48"/>
        <v>3.4999999999999982</v>
      </c>
    </row>
    <row r="1526" spans="2:5">
      <c r="B1526" s="1115">
        <v>44990</v>
      </c>
      <c r="C1526" s="242">
        <f t="shared" si="47"/>
        <v>3</v>
      </c>
      <c r="D1526" s="242">
        <v>38.5</v>
      </c>
      <c r="E1526" s="845">
        <f t="shared" si="48"/>
        <v>3.6111111111111112</v>
      </c>
    </row>
    <row r="1527" spans="2:5">
      <c r="B1527" s="1115">
        <v>44990</v>
      </c>
      <c r="C1527" s="242">
        <f t="shared" si="47"/>
        <v>3</v>
      </c>
      <c r="D1527" s="242">
        <v>38.299999999999997</v>
      </c>
      <c r="E1527" s="845">
        <f t="shared" si="48"/>
        <v>3.4999999999999982</v>
      </c>
    </row>
    <row r="1528" spans="2:5">
      <c r="B1528" s="1115">
        <v>44990</v>
      </c>
      <c r="C1528" s="242">
        <f t="shared" si="47"/>
        <v>3</v>
      </c>
      <c r="D1528" s="242">
        <v>37.9</v>
      </c>
      <c r="E1528" s="845">
        <f t="shared" si="48"/>
        <v>3.2777777777777768</v>
      </c>
    </row>
    <row r="1529" spans="2:5">
      <c r="B1529" s="1115">
        <v>44990</v>
      </c>
      <c r="C1529" s="242">
        <f t="shared" si="47"/>
        <v>3</v>
      </c>
      <c r="D1529" s="242">
        <v>37.6</v>
      </c>
      <c r="E1529" s="845">
        <f t="shared" si="48"/>
        <v>3.1111111111111116</v>
      </c>
    </row>
    <row r="1530" spans="2:5">
      <c r="B1530" s="1115">
        <v>44990</v>
      </c>
      <c r="C1530" s="242">
        <f t="shared" si="47"/>
        <v>3</v>
      </c>
      <c r="D1530" s="242" t="s">
        <v>1840</v>
      </c>
      <c r="E1530" s="845">
        <f t="shared" si="48"/>
        <v>2.7777777777777777</v>
      </c>
    </row>
    <row r="1531" spans="2:5">
      <c r="B1531" s="1115">
        <v>44990</v>
      </c>
      <c r="C1531" s="242">
        <f t="shared" si="47"/>
        <v>3</v>
      </c>
      <c r="D1531" s="242">
        <v>36.700000000000003</v>
      </c>
      <c r="E1531" s="845">
        <f t="shared" si="48"/>
        <v>2.6111111111111125</v>
      </c>
    </row>
    <row r="1532" spans="2:5">
      <c r="B1532" s="1115">
        <v>44990</v>
      </c>
      <c r="C1532" s="242">
        <f t="shared" si="47"/>
        <v>3</v>
      </c>
      <c r="D1532" s="242">
        <v>36.700000000000003</v>
      </c>
      <c r="E1532" s="845">
        <f t="shared" si="48"/>
        <v>2.6111111111111125</v>
      </c>
    </row>
    <row r="1533" spans="2:5">
      <c r="B1533" s="1115">
        <v>44990</v>
      </c>
      <c r="C1533" s="242">
        <f t="shared" si="47"/>
        <v>3</v>
      </c>
      <c r="D1533" s="242">
        <v>36.9</v>
      </c>
      <c r="E1533" s="845">
        <f t="shared" si="48"/>
        <v>2.7222222222222214</v>
      </c>
    </row>
    <row r="1534" spans="2:5">
      <c r="B1534" s="1115">
        <v>44990</v>
      </c>
      <c r="C1534" s="242">
        <f t="shared" si="47"/>
        <v>3</v>
      </c>
      <c r="D1534" s="242">
        <v>37.4</v>
      </c>
      <c r="E1534" s="845">
        <f t="shared" si="48"/>
        <v>2.9999999999999991</v>
      </c>
    </row>
    <row r="1535" spans="2:5">
      <c r="B1535" s="1115">
        <v>44990</v>
      </c>
      <c r="C1535" s="242">
        <f t="shared" si="47"/>
        <v>3</v>
      </c>
      <c r="D1535" s="242">
        <v>37.799999999999997</v>
      </c>
      <c r="E1535" s="845">
        <f t="shared" si="48"/>
        <v>3.2222222222222205</v>
      </c>
    </row>
    <row r="1536" spans="2:5">
      <c r="B1536" s="1115">
        <v>44990</v>
      </c>
      <c r="C1536" s="242">
        <f t="shared" si="47"/>
        <v>3</v>
      </c>
      <c r="D1536" s="242">
        <v>38.299999999999997</v>
      </c>
      <c r="E1536" s="845">
        <f t="shared" si="48"/>
        <v>3.4999999999999982</v>
      </c>
    </row>
    <row r="1537" spans="2:5">
      <c r="B1537" s="1115">
        <v>44990</v>
      </c>
      <c r="C1537" s="242">
        <f t="shared" si="47"/>
        <v>3</v>
      </c>
      <c r="D1537" s="242">
        <v>38.700000000000003</v>
      </c>
      <c r="E1537" s="845">
        <f t="shared" si="48"/>
        <v>3.7222222222222237</v>
      </c>
    </row>
    <row r="1538" spans="2:5">
      <c r="B1538" s="1115">
        <v>44990</v>
      </c>
      <c r="C1538" s="242">
        <f t="shared" si="47"/>
        <v>3</v>
      </c>
      <c r="D1538" s="242">
        <v>38.799999999999997</v>
      </c>
      <c r="E1538" s="845">
        <f t="shared" si="48"/>
        <v>3.7777777777777759</v>
      </c>
    </row>
    <row r="1539" spans="2:5">
      <c r="B1539" s="1115">
        <v>44990</v>
      </c>
      <c r="C1539" s="242">
        <f t="shared" si="47"/>
        <v>3</v>
      </c>
      <c r="D1539" s="242">
        <v>38.799999999999997</v>
      </c>
      <c r="E1539" s="845">
        <f t="shared" si="48"/>
        <v>3.7777777777777759</v>
      </c>
    </row>
    <row r="1540" spans="2:5">
      <c r="B1540" s="1115">
        <v>44990</v>
      </c>
      <c r="C1540" s="242">
        <f t="shared" si="47"/>
        <v>3</v>
      </c>
      <c r="D1540" s="242">
        <v>38.5</v>
      </c>
      <c r="E1540" s="845">
        <f t="shared" si="48"/>
        <v>3.6111111111111112</v>
      </c>
    </row>
    <row r="1541" spans="2:5">
      <c r="B1541" s="1115">
        <v>44990</v>
      </c>
      <c r="C1541" s="242">
        <f t="shared" si="47"/>
        <v>3</v>
      </c>
      <c r="D1541" s="242">
        <v>37.9</v>
      </c>
      <c r="E1541" s="845">
        <f t="shared" si="48"/>
        <v>3.2777777777777768</v>
      </c>
    </row>
    <row r="1542" spans="2:5">
      <c r="B1542" s="1115">
        <v>44990</v>
      </c>
      <c r="C1542" s="242">
        <f t="shared" si="47"/>
        <v>3</v>
      </c>
      <c r="D1542" s="242">
        <v>37.6</v>
      </c>
      <c r="E1542" s="845">
        <f t="shared" si="48"/>
        <v>3.1111111111111116</v>
      </c>
    </row>
    <row r="1543" spans="2:5">
      <c r="B1543" s="1115">
        <v>44990</v>
      </c>
      <c r="C1543" s="242">
        <f t="shared" si="47"/>
        <v>3</v>
      </c>
      <c r="D1543" s="242">
        <v>37.200000000000003</v>
      </c>
      <c r="E1543" s="845">
        <f t="shared" si="48"/>
        <v>2.8888888888888906</v>
      </c>
    </row>
    <row r="1544" spans="2:5">
      <c r="B1544" s="1115">
        <v>44990</v>
      </c>
      <c r="C1544" s="242">
        <f t="shared" si="47"/>
        <v>3</v>
      </c>
      <c r="D1544" s="242">
        <v>37.200000000000003</v>
      </c>
      <c r="E1544" s="845">
        <f t="shared" si="48"/>
        <v>2.8888888888888906</v>
      </c>
    </row>
    <row r="1545" spans="2:5">
      <c r="B1545" s="1115">
        <v>44991</v>
      </c>
      <c r="C1545" s="242">
        <f t="shared" si="47"/>
        <v>3</v>
      </c>
      <c r="D1545" s="242" t="s">
        <v>1840</v>
      </c>
      <c r="E1545" s="845">
        <f t="shared" si="48"/>
        <v>2.7777777777777777</v>
      </c>
    </row>
    <row r="1546" spans="2:5">
      <c r="B1546" s="1115">
        <v>44991</v>
      </c>
      <c r="C1546" s="242">
        <f t="shared" ref="C1546:C1609" si="49">MONTH(B1546)</f>
        <v>3</v>
      </c>
      <c r="D1546" s="242">
        <v>37.4</v>
      </c>
      <c r="E1546" s="845">
        <f t="shared" ref="E1546:E1609" si="50">CONVERT(D1546,"F","C")</f>
        <v>2.9999999999999991</v>
      </c>
    </row>
    <row r="1547" spans="2:5">
      <c r="B1547" s="1115">
        <v>44991</v>
      </c>
      <c r="C1547" s="242">
        <f t="shared" si="49"/>
        <v>3</v>
      </c>
      <c r="D1547" s="242">
        <v>38.1</v>
      </c>
      <c r="E1547" s="845">
        <f t="shared" si="50"/>
        <v>3.3888888888888897</v>
      </c>
    </row>
    <row r="1548" spans="2:5">
      <c r="B1548" s="1115">
        <v>44991</v>
      </c>
      <c r="C1548" s="242">
        <f t="shared" si="49"/>
        <v>3</v>
      </c>
      <c r="D1548" s="242">
        <v>38.700000000000003</v>
      </c>
      <c r="E1548" s="845">
        <f t="shared" si="50"/>
        <v>3.7222222222222237</v>
      </c>
    </row>
    <row r="1549" spans="2:5">
      <c r="B1549" s="1115">
        <v>44991</v>
      </c>
      <c r="C1549" s="242">
        <f t="shared" si="49"/>
        <v>3</v>
      </c>
      <c r="D1549" s="242">
        <v>38.799999999999997</v>
      </c>
      <c r="E1549" s="845">
        <f t="shared" si="50"/>
        <v>3.7777777777777759</v>
      </c>
    </row>
    <row r="1550" spans="2:5">
      <c r="B1550" s="1115">
        <v>44991</v>
      </c>
      <c r="C1550" s="242">
        <f t="shared" si="49"/>
        <v>3</v>
      </c>
      <c r="D1550" s="242">
        <v>39.200000000000003</v>
      </c>
      <c r="E1550" s="845">
        <f t="shared" si="50"/>
        <v>4.0000000000000018</v>
      </c>
    </row>
    <row r="1551" spans="2:5">
      <c r="B1551" s="1115">
        <v>44991</v>
      </c>
      <c r="C1551" s="242">
        <f t="shared" si="49"/>
        <v>3</v>
      </c>
      <c r="D1551" s="242">
        <v>38.700000000000003</v>
      </c>
      <c r="E1551" s="845">
        <f t="shared" si="50"/>
        <v>3.7222222222222237</v>
      </c>
    </row>
    <row r="1552" spans="2:5">
      <c r="B1552" s="1115">
        <v>44991</v>
      </c>
      <c r="C1552" s="242">
        <f t="shared" si="49"/>
        <v>3</v>
      </c>
      <c r="D1552" s="242">
        <v>38.700000000000003</v>
      </c>
      <c r="E1552" s="845">
        <f t="shared" si="50"/>
        <v>3.7222222222222237</v>
      </c>
    </row>
    <row r="1553" spans="2:5">
      <c r="B1553" s="1115">
        <v>44991</v>
      </c>
      <c r="C1553" s="242">
        <f t="shared" si="49"/>
        <v>3</v>
      </c>
      <c r="D1553" s="242">
        <v>38.299999999999997</v>
      </c>
      <c r="E1553" s="845">
        <f t="shared" si="50"/>
        <v>3.4999999999999982</v>
      </c>
    </row>
    <row r="1554" spans="2:5">
      <c r="B1554" s="1115">
        <v>44991</v>
      </c>
      <c r="C1554" s="242">
        <f t="shared" si="49"/>
        <v>3</v>
      </c>
      <c r="D1554" s="242">
        <v>37.6</v>
      </c>
      <c r="E1554" s="845">
        <f t="shared" si="50"/>
        <v>3.1111111111111116</v>
      </c>
    </row>
    <row r="1555" spans="2:5">
      <c r="B1555" s="1115">
        <v>44991</v>
      </c>
      <c r="C1555" s="242">
        <f t="shared" si="49"/>
        <v>3</v>
      </c>
      <c r="D1555" s="242" t="s">
        <v>1840</v>
      </c>
      <c r="E1555" s="845">
        <f t="shared" si="50"/>
        <v>2.7777777777777777</v>
      </c>
    </row>
    <row r="1556" spans="2:5">
      <c r="B1556" s="1115">
        <v>44991</v>
      </c>
      <c r="C1556" s="242">
        <f t="shared" si="49"/>
        <v>3</v>
      </c>
      <c r="D1556" s="242">
        <v>36.9</v>
      </c>
      <c r="E1556" s="845">
        <f t="shared" si="50"/>
        <v>2.7222222222222214</v>
      </c>
    </row>
    <row r="1557" spans="2:5">
      <c r="B1557" s="1115">
        <v>44991</v>
      </c>
      <c r="C1557" s="242">
        <f t="shared" si="49"/>
        <v>3</v>
      </c>
      <c r="D1557" s="242">
        <v>36.9</v>
      </c>
      <c r="E1557" s="845">
        <f t="shared" si="50"/>
        <v>2.7222222222222214</v>
      </c>
    </row>
    <row r="1558" spans="2:5">
      <c r="B1558" s="1115">
        <v>44991</v>
      </c>
      <c r="C1558" s="242">
        <f t="shared" si="49"/>
        <v>3</v>
      </c>
      <c r="D1558" s="242">
        <v>37.200000000000003</v>
      </c>
      <c r="E1558" s="845">
        <f t="shared" si="50"/>
        <v>2.8888888888888906</v>
      </c>
    </row>
    <row r="1559" spans="2:5">
      <c r="B1559" s="1115">
        <v>44991</v>
      </c>
      <c r="C1559" s="242">
        <f t="shared" si="49"/>
        <v>3</v>
      </c>
      <c r="D1559" s="242">
        <v>37.9</v>
      </c>
      <c r="E1559" s="845">
        <f t="shared" si="50"/>
        <v>3.2777777777777768</v>
      </c>
    </row>
    <row r="1560" spans="2:5">
      <c r="B1560" s="1115">
        <v>44991</v>
      </c>
      <c r="C1560" s="242">
        <f t="shared" si="49"/>
        <v>3</v>
      </c>
      <c r="D1560" s="242">
        <v>38.700000000000003</v>
      </c>
      <c r="E1560" s="845">
        <f t="shared" si="50"/>
        <v>3.7222222222222237</v>
      </c>
    </row>
    <row r="1561" spans="2:5">
      <c r="B1561" s="1115">
        <v>44991</v>
      </c>
      <c r="C1561" s="242">
        <f t="shared" si="49"/>
        <v>3</v>
      </c>
      <c r="D1561" s="242" t="s">
        <v>1839</v>
      </c>
      <c r="E1561" s="845">
        <f t="shared" si="50"/>
        <v>3.8888888888888888</v>
      </c>
    </row>
    <row r="1562" spans="2:5">
      <c r="B1562" s="1115">
        <v>44991</v>
      </c>
      <c r="C1562" s="242">
        <f t="shared" si="49"/>
        <v>3</v>
      </c>
      <c r="D1562" s="242">
        <v>39.200000000000003</v>
      </c>
      <c r="E1562" s="845">
        <f t="shared" si="50"/>
        <v>4.0000000000000018</v>
      </c>
    </row>
    <row r="1563" spans="2:5">
      <c r="B1563" s="1115">
        <v>44991</v>
      </c>
      <c r="C1563" s="242">
        <f t="shared" si="49"/>
        <v>3</v>
      </c>
      <c r="D1563" s="242">
        <v>39.4</v>
      </c>
      <c r="E1563" s="845">
        <f t="shared" si="50"/>
        <v>4.1111111111111098</v>
      </c>
    </row>
    <row r="1564" spans="2:5">
      <c r="B1564" s="1115">
        <v>44991</v>
      </c>
      <c r="C1564" s="242">
        <f t="shared" si="49"/>
        <v>3</v>
      </c>
      <c r="D1564" s="242">
        <v>39.4</v>
      </c>
      <c r="E1564" s="845">
        <f t="shared" si="50"/>
        <v>4.1111111111111098</v>
      </c>
    </row>
    <row r="1565" spans="2:5">
      <c r="B1565" s="1115">
        <v>44991</v>
      </c>
      <c r="C1565" s="242">
        <f t="shared" si="49"/>
        <v>3</v>
      </c>
      <c r="D1565" s="242" t="s">
        <v>1839</v>
      </c>
      <c r="E1565" s="845">
        <f t="shared" si="50"/>
        <v>3.8888888888888888</v>
      </c>
    </row>
    <row r="1566" spans="2:5">
      <c r="B1566" s="1115">
        <v>44991</v>
      </c>
      <c r="C1566" s="242">
        <f t="shared" si="49"/>
        <v>3</v>
      </c>
      <c r="D1566" s="242">
        <v>38.700000000000003</v>
      </c>
      <c r="E1566" s="845">
        <f t="shared" si="50"/>
        <v>3.7222222222222237</v>
      </c>
    </row>
    <row r="1567" spans="2:5">
      <c r="B1567" s="1115">
        <v>44991</v>
      </c>
      <c r="C1567" s="242">
        <f t="shared" si="49"/>
        <v>3</v>
      </c>
      <c r="D1567" s="242">
        <v>38.1</v>
      </c>
      <c r="E1567" s="845">
        <f t="shared" si="50"/>
        <v>3.3888888888888897</v>
      </c>
    </row>
    <row r="1568" spans="2:5">
      <c r="B1568" s="1115">
        <v>44991</v>
      </c>
      <c r="C1568" s="242">
        <f t="shared" si="49"/>
        <v>3</v>
      </c>
      <c r="D1568" s="242">
        <v>37.799999999999997</v>
      </c>
      <c r="E1568" s="845">
        <f t="shared" si="50"/>
        <v>3.2222222222222205</v>
      </c>
    </row>
    <row r="1569" spans="2:5">
      <c r="B1569" s="1115">
        <v>44992</v>
      </c>
      <c r="C1569" s="242">
        <f t="shared" si="49"/>
        <v>3</v>
      </c>
      <c r="D1569" s="242">
        <v>37.799999999999997</v>
      </c>
      <c r="E1569" s="845">
        <f t="shared" si="50"/>
        <v>3.2222222222222205</v>
      </c>
    </row>
    <row r="1570" spans="2:5">
      <c r="B1570" s="1115">
        <v>44992</v>
      </c>
      <c r="C1570" s="242">
        <f t="shared" si="49"/>
        <v>3</v>
      </c>
      <c r="D1570" s="242">
        <v>37.9</v>
      </c>
      <c r="E1570" s="845">
        <f t="shared" si="50"/>
        <v>3.2777777777777768</v>
      </c>
    </row>
    <row r="1571" spans="2:5">
      <c r="B1571" s="1115">
        <v>44992</v>
      </c>
      <c r="C1571" s="242">
        <f t="shared" si="49"/>
        <v>3</v>
      </c>
      <c r="D1571" s="242">
        <v>38.5</v>
      </c>
      <c r="E1571" s="845">
        <f t="shared" si="50"/>
        <v>3.6111111111111112</v>
      </c>
    </row>
    <row r="1572" spans="2:5">
      <c r="B1572" s="1115">
        <v>44992</v>
      </c>
      <c r="C1572" s="242">
        <f t="shared" si="49"/>
        <v>3</v>
      </c>
      <c r="D1572" s="242">
        <v>38.799999999999997</v>
      </c>
      <c r="E1572" s="845">
        <f t="shared" si="50"/>
        <v>3.7777777777777759</v>
      </c>
    </row>
    <row r="1573" spans="2:5">
      <c r="B1573" s="1115">
        <v>44992</v>
      </c>
      <c r="C1573" s="242">
        <f t="shared" si="49"/>
        <v>3</v>
      </c>
      <c r="D1573" s="242">
        <v>39.200000000000003</v>
      </c>
      <c r="E1573" s="845">
        <f t="shared" si="50"/>
        <v>4.0000000000000018</v>
      </c>
    </row>
    <row r="1574" spans="2:5">
      <c r="B1574" s="1115">
        <v>44992</v>
      </c>
      <c r="C1574" s="242">
        <f t="shared" si="49"/>
        <v>3</v>
      </c>
      <c r="D1574" s="242">
        <v>39.4</v>
      </c>
      <c r="E1574" s="845">
        <f t="shared" si="50"/>
        <v>4.1111111111111098</v>
      </c>
    </row>
    <row r="1575" spans="2:5">
      <c r="B1575" s="1115">
        <v>44992</v>
      </c>
      <c r="C1575" s="242">
        <f t="shared" si="49"/>
        <v>3</v>
      </c>
      <c r="D1575" s="242">
        <v>39.4</v>
      </c>
      <c r="E1575" s="845">
        <f t="shared" si="50"/>
        <v>4.1111111111111098</v>
      </c>
    </row>
    <row r="1576" spans="2:5">
      <c r="B1576" s="1115">
        <v>44992</v>
      </c>
      <c r="C1576" s="242">
        <f t="shared" si="49"/>
        <v>3</v>
      </c>
      <c r="D1576" s="242">
        <v>39.200000000000003</v>
      </c>
      <c r="E1576" s="845">
        <f t="shared" si="50"/>
        <v>4.0000000000000018</v>
      </c>
    </row>
    <row r="1577" spans="2:5">
      <c r="B1577" s="1115">
        <v>44992</v>
      </c>
      <c r="C1577" s="242">
        <f t="shared" si="49"/>
        <v>3</v>
      </c>
      <c r="D1577" s="242" t="s">
        <v>1839</v>
      </c>
      <c r="E1577" s="845">
        <f t="shared" si="50"/>
        <v>3.8888888888888888</v>
      </c>
    </row>
    <row r="1578" spans="2:5">
      <c r="B1578" s="1115">
        <v>44992</v>
      </c>
      <c r="C1578" s="242">
        <f t="shared" si="49"/>
        <v>3</v>
      </c>
      <c r="D1578" s="242">
        <v>38.799999999999997</v>
      </c>
      <c r="E1578" s="845">
        <f t="shared" si="50"/>
        <v>3.7777777777777759</v>
      </c>
    </row>
    <row r="1579" spans="2:5">
      <c r="B1579" s="1115">
        <v>44992</v>
      </c>
      <c r="C1579" s="242">
        <f t="shared" si="49"/>
        <v>3</v>
      </c>
      <c r="D1579" s="242">
        <v>38.1</v>
      </c>
      <c r="E1579" s="845">
        <f t="shared" si="50"/>
        <v>3.3888888888888897</v>
      </c>
    </row>
    <row r="1580" spans="2:5">
      <c r="B1580" s="1115">
        <v>44992</v>
      </c>
      <c r="C1580" s="242">
        <f t="shared" si="49"/>
        <v>3</v>
      </c>
      <c r="D1580" s="242">
        <v>37.9</v>
      </c>
      <c r="E1580" s="845">
        <f t="shared" si="50"/>
        <v>3.2777777777777768</v>
      </c>
    </row>
    <row r="1581" spans="2:5">
      <c r="B1581" s="1115">
        <v>44992</v>
      </c>
      <c r="C1581" s="242">
        <f t="shared" si="49"/>
        <v>3</v>
      </c>
      <c r="D1581" s="242">
        <v>37.6</v>
      </c>
      <c r="E1581" s="845">
        <f t="shared" si="50"/>
        <v>3.1111111111111116</v>
      </c>
    </row>
    <row r="1582" spans="2:5">
      <c r="B1582" s="1115">
        <v>44992</v>
      </c>
      <c r="C1582" s="242">
        <f t="shared" si="49"/>
        <v>3</v>
      </c>
      <c r="D1582" s="242">
        <v>37.9</v>
      </c>
      <c r="E1582" s="845">
        <f t="shared" si="50"/>
        <v>3.2777777777777768</v>
      </c>
    </row>
    <row r="1583" spans="2:5">
      <c r="B1583" s="1115">
        <v>44992</v>
      </c>
      <c r="C1583" s="242">
        <f t="shared" si="49"/>
        <v>3</v>
      </c>
      <c r="D1583" s="242">
        <v>38.5</v>
      </c>
      <c r="E1583" s="845">
        <f t="shared" si="50"/>
        <v>3.6111111111111112</v>
      </c>
    </row>
    <row r="1584" spans="2:5">
      <c r="B1584" s="1115">
        <v>44992</v>
      </c>
      <c r="C1584" s="242">
        <f t="shared" si="49"/>
        <v>3</v>
      </c>
      <c r="D1584" s="242">
        <v>38.799999999999997</v>
      </c>
      <c r="E1584" s="845">
        <f t="shared" si="50"/>
        <v>3.7777777777777759</v>
      </c>
    </row>
    <row r="1585" spans="2:5">
      <c r="B1585" s="1115">
        <v>44992</v>
      </c>
      <c r="C1585" s="242">
        <f t="shared" si="49"/>
        <v>3</v>
      </c>
      <c r="D1585" s="242">
        <v>39.200000000000003</v>
      </c>
      <c r="E1585" s="845">
        <f t="shared" si="50"/>
        <v>4.0000000000000018</v>
      </c>
    </row>
    <row r="1586" spans="2:5">
      <c r="B1586" s="1115">
        <v>44992</v>
      </c>
      <c r="C1586" s="242">
        <f t="shared" si="49"/>
        <v>3</v>
      </c>
      <c r="D1586" s="242">
        <v>39.200000000000003</v>
      </c>
      <c r="E1586" s="845">
        <f t="shared" si="50"/>
        <v>4.0000000000000018</v>
      </c>
    </row>
    <row r="1587" spans="2:5">
      <c r="B1587" s="1115">
        <v>44992</v>
      </c>
      <c r="C1587" s="242">
        <f t="shared" si="49"/>
        <v>3</v>
      </c>
      <c r="D1587" s="242">
        <v>39.4</v>
      </c>
      <c r="E1587" s="845">
        <f t="shared" si="50"/>
        <v>4.1111111111111098</v>
      </c>
    </row>
    <row r="1588" spans="2:5">
      <c r="B1588" s="1115">
        <v>44992</v>
      </c>
      <c r="C1588" s="242">
        <f t="shared" si="49"/>
        <v>3</v>
      </c>
      <c r="D1588" s="242">
        <v>39.4</v>
      </c>
      <c r="E1588" s="845">
        <f t="shared" si="50"/>
        <v>4.1111111111111098</v>
      </c>
    </row>
    <row r="1589" spans="2:5">
      <c r="B1589" s="1115">
        <v>44992</v>
      </c>
      <c r="C1589" s="242">
        <f t="shared" si="49"/>
        <v>3</v>
      </c>
      <c r="D1589" s="242">
        <v>39.200000000000003</v>
      </c>
      <c r="E1589" s="845">
        <f t="shared" si="50"/>
        <v>4.0000000000000018</v>
      </c>
    </row>
    <row r="1590" spans="2:5">
      <c r="B1590" s="1115">
        <v>44992</v>
      </c>
      <c r="C1590" s="242">
        <f t="shared" si="49"/>
        <v>3</v>
      </c>
      <c r="D1590" s="242" t="s">
        <v>1839</v>
      </c>
      <c r="E1590" s="845">
        <f t="shared" si="50"/>
        <v>3.8888888888888888</v>
      </c>
    </row>
    <row r="1591" spans="2:5">
      <c r="B1591" s="1115">
        <v>44992</v>
      </c>
      <c r="C1591" s="242">
        <f t="shared" si="49"/>
        <v>3</v>
      </c>
      <c r="D1591" s="242">
        <v>38.700000000000003</v>
      </c>
      <c r="E1591" s="845">
        <f t="shared" si="50"/>
        <v>3.7222222222222237</v>
      </c>
    </row>
    <row r="1592" spans="2:5">
      <c r="B1592" s="1115">
        <v>44992</v>
      </c>
      <c r="C1592" s="242">
        <f t="shared" si="49"/>
        <v>3</v>
      </c>
      <c r="D1592" s="242">
        <v>38.5</v>
      </c>
      <c r="E1592" s="845">
        <f t="shared" si="50"/>
        <v>3.6111111111111112</v>
      </c>
    </row>
    <row r="1593" spans="2:5">
      <c r="B1593" s="1115">
        <v>44993</v>
      </c>
      <c r="C1593" s="242">
        <f t="shared" si="49"/>
        <v>3</v>
      </c>
      <c r="D1593" s="242">
        <v>38.1</v>
      </c>
      <c r="E1593" s="845">
        <f t="shared" si="50"/>
        <v>3.3888888888888897</v>
      </c>
    </row>
    <row r="1594" spans="2:5">
      <c r="B1594" s="1115">
        <v>44993</v>
      </c>
      <c r="C1594" s="242">
        <f t="shared" si="49"/>
        <v>3</v>
      </c>
      <c r="D1594" s="242">
        <v>38.1</v>
      </c>
      <c r="E1594" s="845">
        <f t="shared" si="50"/>
        <v>3.3888888888888897</v>
      </c>
    </row>
    <row r="1595" spans="2:5">
      <c r="B1595" s="1115">
        <v>44993</v>
      </c>
      <c r="C1595" s="242">
        <f t="shared" si="49"/>
        <v>3</v>
      </c>
      <c r="D1595" s="242">
        <v>38.299999999999997</v>
      </c>
      <c r="E1595" s="845">
        <f t="shared" si="50"/>
        <v>3.4999999999999982</v>
      </c>
    </row>
    <row r="1596" spans="2:5">
      <c r="B1596" s="1115">
        <v>44993</v>
      </c>
      <c r="C1596" s="242">
        <f t="shared" si="49"/>
        <v>3</v>
      </c>
      <c r="D1596" s="242">
        <v>38.799999999999997</v>
      </c>
      <c r="E1596" s="845">
        <f t="shared" si="50"/>
        <v>3.7777777777777759</v>
      </c>
    </row>
    <row r="1597" spans="2:5">
      <c r="B1597" s="1115">
        <v>44993</v>
      </c>
      <c r="C1597" s="242">
        <f t="shared" si="49"/>
        <v>3</v>
      </c>
      <c r="D1597" s="242">
        <v>38.799999999999997</v>
      </c>
      <c r="E1597" s="845">
        <f t="shared" si="50"/>
        <v>3.7777777777777759</v>
      </c>
    </row>
    <row r="1598" spans="2:5">
      <c r="B1598" s="1115">
        <v>44993</v>
      </c>
      <c r="C1598" s="242">
        <f t="shared" si="49"/>
        <v>3</v>
      </c>
      <c r="D1598" s="242" t="s">
        <v>1839</v>
      </c>
      <c r="E1598" s="845">
        <f t="shared" si="50"/>
        <v>3.8888888888888888</v>
      </c>
    </row>
    <row r="1599" spans="2:5">
      <c r="B1599" s="1115">
        <v>44993</v>
      </c>
      <c r="C1599" s="242">
        <f t="shared" si="49"/>
        <v>3</v>
      </c>
      <c r="D1599" s="242" t="s">
        <v>1839</v>
      </c>
      <c r="E1599" s="845">
        <f t="shared" si="50"/>
        <v>3.8888888888888888</v>
      </c>
    </row>
    <row r="1600" spans="2:5">
      <c r="B1600" s="1115">
        <v>44993</v>
      </c>
      <c r="C1600" s="242">
        <f t="shared" si="49"/>
        <v>3</v>
      </c>
      <c r="D1600" s="242" t="s">
        <v>1839</v>
      </c>
      <c r="E1600" s="845">
        <f t="shared" si="50"/>
        <v>3.8888888888888888</v>
      </c>
    </row>
    <row r="1601" spans="2:5">
      <c r="B1601" s="1115">
        <v>44993</v>
      </c>
      <c r="C1601" s="242">
        <f t="shared" si="49"/>
        <v>3</v>
      </c>
      <c r="D1601" s="242" t="s">
        <v>1839</v>
      </c>
      <c r="E1601" s="845">
        <f t="shared" si="50"/>
        <v>3.8888888888888888</v>
      </c>
    </row>
    <row r="1602" spans="2:5">
      <c r="B1602" s="1115">
        <v>44993</v>
      </c>
      <c r="C1602" s="242">
        <f t="shared" si="49"/>
        <v>3</v>
      </c>
      <c r="D1602" s="242">
        <v>38.799999999999997</v>
      </c>
      <c r="E1602" s="845">
        <f t="shared" si="50"/>
        <v>3.7777777777777759</v>
      </c>
    </row>
    <row r="1603" spans="2:5">
      <c r="B1603" s="1115">
        <v>44993</v>
      </c>
      <c r="C1603" s="242">
        <f t="shared" si="49"/>
        <v>3</v>
      </c>
      <c r="D1603" s="242">
        <v>38.299999999999997</v>
      </c>
      <c r="E1603" s="845">
        <f t="shared" si="50"/>
        <v>3.4999999999999982</v>
      </c>
    </row>
    <row r="1604" spans="2:5">
      <c r="B1604" s="1115">
        <v>44993</v>
      </c>
      <c r="C1604" s="242">
        <f t="shared" si="49"/>
        <v>3</v>
      </c>
      <c r="D1604" s="242">
        <v>37.9</v>
      </c>
      <c r="E1604" s="845">
        <f t="shared" si="50"/>
        <v>3.2777777777777768</v>
      </c>
    </row>
    <row r="1605" spans="2:5">
      <c r="B1605" s="1115">
        <v>44993</v>
      </c>
      <c r="C1605" s="242">
        <f t="shared" si="49"/>
        <v>3</v>
      </c>
      <c r="D1605" s="242">
        <v>37.799999999999997</v>
      </c>
      <c r="E1605" s="845">
        <f t="shared" si="50"/>
        <v>3.2222222222222205</v>
      </c>
    </row>
    <row r="1606" spans="2:5">
      <c r="B1606" s="1115">
        <v>44993</v>
      </c>
      <c r="C1606" s="242">
        <f t="shared" si="49"/>
        <v>3</v>
      </c>
      <c r="D1606" s="242">
        <v>37.799999999999997</v>
      </c>
      <c r="E1606" s="845">
        <f t="shared" si="50"/>
        <v>3.2222222222222205</v>
      </c>
    </row>
    <row r="1607" spans="2:5">
      <c r="B1607" s="1115">
        <v>44993</v>
      </c>
      <c r="C1607" s="242">
        <f t="shared" si="49"/>
        <v>3</v>
      </c>
      <c r="D1607" s="242">
        <v>37.9</v>
      </c>
      <c r="E1607" s="845">
        <f t="shared" si="50"/>
        <v>3.2777777777777768</v>
      </c>
    </row>
    <row r="1608" spans="2:5">
      <c r="B1608" s="1115">
        <v>44993</v>
      </c>
      <c r="C1608" s="242">
        <f t="shared" si="49"/>
        <v>3</v>
      </c>
      <c r="D1608" s="242">
        <v>38.299999999999997</v>
      </c>
      <c r="E1608" s="845">
        <f t="shared" si="50"/>
        <v>3.4999999999999982</v>
      </c>
    </row>
    <row r="1609" spans="2:5">
      <c r="B1609" s="1115">
        <v>44993</v>
      </c>
      <c r="C1609" s="242">
        <f t="shared" si="49"/>
        <v>3</v>
      </c>
      <c r="D1609" s="242">
        <v>38.700000000000003</v>
      </c>
      <c r="E1609" s="845">
        <f t="shared" si="50"/>
        <v>3.7222222222222237</v>
      </c>
    </row>
    <row r="1610" spans="2:5">
      <c r="B1610" s="1115">
        <v>44993</v>
      </c>
      <c r="C1610" s="242">
        <f t="shared" ref="C1610:C1673" si="51">MONTH(B1610)</f>
        <v>3</v>
      </c>
      <c r="D1610" s="242" t="s">
        <v>1839</v>
      </c>
      <c r="E1610" s="845">
        <f t="shared" ref="E1610:E1673" si="52">CONVERT(D1610,"F","C")</f>
        <v>3.8888888888888888</v>
      </c>
    </row>
    <row r="1611" spans="2:5">
      <c r="B1611" s="1115">
        <v>44993</v>
      </c>
      <c r="C1611" s="242">
        <f t="shared" si="51"/>
        <v>3</v>
      </c>
      <c r="D1611" s="242">
        <v>39.200000000000003</v>
      </c>
      <c r="E1611" s="845">
        <f t="shared" si="52"/>
        <v>4.0000000000000018</v>
      </c>
    </row>
    <row r="1612" spans="2:5">
      <c r="B1612" s="1115">
        <v>44993</v>
      </c>
      <c r="C1612" s="242">
        <f t="shared" si="51"/>
        <v>3</v>
      </c>
      <c r="D1612" s="242">
        <v>39.200000000000003</v>
      </c>
      <c r="E1612" s="845">
        <f t="shared" si="52"/>
        <v>4.0000000000000018</v>
      </c>
    </row>
    <row r="1613" spans="2:5">
      <c r="B1613" s="1115">
        <v>44993</v>
      </c>
      <c r="C1613" s="242">
        <f t="shared" si="51"/>
        <v>3</v>
      </c>
      <c r="D1613" s="242">
        <v>39.200000000000003</v>
      </c>
      <c r="E1613" s="845">
        <f t="shared" si="52"/>
        <v>4.0000000000000018</v>
      </c>
    </row>
    <row r="1614" spans="2:5">
      <c r="B1614" s="1115">
        <v>44993</v>
      </c>
      <c r="C1614" s="242">
        <f t="shared" si="51"/>
        <v>3</v>
      </c>
      <c r="D1614" s="242">
        <v>39.200000000000003</v>
      </c>
      <c r="E1614" s="845">
        <f t="shared" si="52"/>
        <v>4.0000000000000018</v>
      </c>
    </row>
    <row r="1615" spans="2:5">
      <c r="B1615" s="1115">
        <v>44993</v>
      </c>
      <c r="C1615" s="242">
        <f t="shared" si="51"/>
        <v>3</v>
      </c>
      <c r="D1615" s="242">
        <v>38.799999999999997</v>
      </c>
      <c r="E1615" s="845">
        <f t="shared" si="52"/>
        <v>3.7777777777777759</v>
      </c>
    </row>
    <row r="1616" spans="2:5">
      <c r="B1616" s="1115">
        <v>44993</v>
      </c>
      <c r="C1616" s="242">
        <f t="shared" si="51"/>
        <v>3</v>
      </c>
      <c r="D1616" s="242">
        <v>38.700000000000003</v>
      </c>
      <c r="E1616" s="845">
        <f t="shared" si="52"/>
        <v>3.7222222222222237</v>
      </c>
    </row>
    <row r="1617" spans="2:5">
      <c r="B1617" s="1115">
        <v>44994</v>
      </c>
      <c r="C1617" s="242">
        <f t="shared" si="51"/>
        <v>3</v>
      </c>
      <c r="D1617" s="242">
        <v>38.5</v>
      </c>
      <c r="E1617" s="845">
        <f t="shared" si="52"/>
        <v>3.6111111111111112</v>
      </c>
    </row>
    <row r="1618" spans="2:5">
      <c r="B1618" s="1115">
        <v>44994</v>
      </c>
      <c r="C1618" s="242">
        <f t="shared" si="51"/>
        <v>3</v>
      </c>
      <c r="D1618" s="242">
        <v>38.299999999999997</v>
      </c>
      <c r="E1618" s="845">
        <f t="shared" si="52"/>
        <v>3.4999999999999982</v>
      </c>
    </row>
    <row r="1619" spans="2:5">
      <c r="B1619" s="1115">
        <v>44994</v>
      </c>
      <c r="C1619" s="242">
        <f t="shared" si="51"/>
        <v>3</v>
      </c>
      <c r="D1619" s="242">
        <v>38.5</v>
      </c>
      <c r="E1619" s="845">
        <f t="shared" si="52"/>
        <v>3.6111111111111112</v>
      </c>
    </row>
    <row r="1620" spans="2:5">
      <c r="B1620" s="1115">
        <v>44994</v>
      </c>
      <c r="C1620" s="242">
        <f t="shared" si="51"/>
        <v>3</v>
      </c>
      <c r="D1620" s="242">
        <v>38.799999999999997</v>
      </c>
      <c r="E1620" s="845">
        <f t="shared" si="52"/>
        <v>3.7777777777777759</v>
      </c>
    </row>
    <row r="1621" spans="2:5">
      <c r="B1621" s="1115">
        <v>44994</v>
      </c>
      <c r="C1621" s="242">
        <f t="shared" si="51"/>
        <v>3</v>
      </c>
      <c r="D1621" s="242" t="s">
        <v>1839</v>
      </c>
      <c r="E1621" s="845">
        <f t="shared" si="52"/>
        <v>3.8888888888888888</v>
      </c>
    </row>
    <row r="1622" spans="2:5">
      <c r="B1622" s="1115">
        <v>44994</v>
      </c>
      <c r="C1622" s="242">
        <f t="shared" si="51"/>
        <v>3</v>
      </c>
      <c r="D1622" s="242">
        <v>39.200000000000003</v>
      </c>
      <c r="E1622" s="845">
        <f t="shared" si="52"/>
        <v>4.0000000000000018</v>
      </c>
    </row>
    <row r="1623" spans="2:5">
      <c r="B1623" s="1115">
        <v>44994</v>
      </c>
      <c r="C1623" s="242">
        <f t="shared" si="51"/>
        <v>3</v>
      </c>
      <c r="D1623" s="242">
        <v>39.200000000000003</v>
      </c>
      <c r="E1623" s="845">
        <f t="shared" si="52"/>
        <v>4.0000000000000018</v>
      </c>
    </row>
    <row r="1624" spans="2:5">
      <c r="B1624" s="1115">
        <v>44994</v>
      </c>
      <c r="C1624" s="242">
        <f t="shared" si="51"/>
        <v>3</v>
      </c>
      <c r="D1624" s="242">
        <v>39.200000000000003</v>
      </c>
      <c r="E1624" s="845">
        <f t="shared" si="52"/>
        <v>4.0000000000000018</v>
      </c>
    </row>
    <row r="1625" spans="2:5">
      <c r="B1625" s="1115">
        <v>44994</v>
      </c>
      <c r="C1625" s="242">
        <f t="shared" si="51"/>
        <v>3</v>
      </c>
      <c r="D1625" s="242">
        <v>39.200000000000003</v>
      </c>
      <c r="E1625" s="845">
        <f t="shared" si="52"/>
        <v>4.0000000000000018</v>
      </c>
    </row>
    <row r="1626" spans="2:5">
      <c r="B1626" s="1115">
        <v>44994</v>
      </c>
      <c r="C1626" s="242">
        <f t="shared" si="51"/>
        <v>3</v>
      </c>
      <c r="D1626" s="242" t="s">
        <v>1839</v>
      </c>
      <c r="E1626" s="845">
        <f t="shared" si="52"/>
        <v>3.8888888888888888</v>
      </c>
    </row>
    <row r="1627" spans="2:5">
      <c r="B1627" s="1115">
        <v>44994</v>
      </c>
      <c r="C1627" s="242">
        <f t="shared" si="51"/>
        <v>3</v>
      </c>
      <c r="D1627" s="242">
        <v>38.799999999999997</v>
      </c>
      <c r="E1627" s="845">
        <f t="shared" si="52"/>
        <v>3.7777777777777759</v>
      </c>
    </row>
    <row r="1628" spans="2:5">
      <c r="B1628" s="1115">
        <v>44994</v>
      </c>
      <c r="C1628" s="242">
        <f t="shared" si="51"/>
        <v>3</v>
      </c>
      <c r="D1628" s="242">
        <v>38.5</v>
      </c>
      <c r="E1628" s="845">
        <f t="shared" si="52"/>
        <v>3.6111111111111112</v>
      </c>
    </row>
    <row r="1629" spans="2:5">
      <c r="B1629" s="1115">
        <v>44994</v>
      </c>
      <c r="C1629" s="242">
        <f t="shared" si="51"/>
        <v>3</v>
      </c>
      <c r="D1629" s="242">
        <v>38.299999999999997</v>
      </c>
      <c r="E1629" s="845">
        <f t="shared" si="52"/>
        <v>3.4999999999999982</v>
      </c>
    </row>
    <row r="1630" spans="2:5">
      <c r="B1630" s="1115">
        <v>44994</v>
      </c>
      <c r="C1630" s="242">
        <f t="shared" si="51"/>
        <v>3</v>
      </c>
      <c r="D1630" s="242">
        <v>38.1</v>
      </c>
      <c r="E1630" s="845">
        <f t="shared" si="52"/>
        <v>3.3888888888888897</v>
      </c>
    </row>
    <row r="1631" spans="2:5">
      <c r="B1631" s="1115">
        <v>44994</v>
      </c>
      <c r="C1631" s="242">
        <f t="shared" si="51"/>
        <v>3</v>
      </c>
      <c r="D1631" s="242">
        <v>38.299999999999997</v>
      </c>
      <c r="E1631" s="845">
        <f t="shared" si="52"/>
        <v>3.4999999999999982</v>
      </c>
    </row>
    <row r="1632" spans="2:5">
      <c r="B1632" s="1115">
        <v>44994</v>
      </c>
      <c r="C1632" s="242">
        <f t="shared" si="51"/>
        <v>3</v>
      </c>
      <c r="D1632" s="242">
        <v>38.5</v>
      </c>
      <c r="E1632" s="845">
        <f t="shared" si="52"/>
        <v>3.6111111111111112</v>
      </c>
    </row>
    <row r="1633" spans="2:5">
      <c r="B1633" s="1115">
        <v>44994</v>
      </c>
      <c r="C1633" s="242">
        <f t="shared" si="51"/>
        <v>3</v>
      </c>
      <c r="D1633" s="242">
        <v>38.799999999999997</v>
      </c>
      <c r="E1633" s="845">
        <f t="shared" si="52"/>
        <v>3.7777777777777759</v>
      </c>
    </row>
    <row r="1634" spans="2:5">
      <c r="B1634" s="1115">
        <v>44994</v>
      </c>
      <c r="C1634" s="242">
        <f t="shared" si="51"/>
        <v>3</v>
      </c>
      <c r="D1634" s="242" t="s">
        <v>1839</v>
      </c>
      <c r="E1634" s="845">
        <f t="shared" si="52"/>
        <v>3.8888888888888888</v>
      </c>
    </row>
    <row r="1635" spans="2:5">
      <c r="B1635" s="1115">
        <v>44994</v>
      </c>
      <c r="C1635" s="242">
        <f t="shared" si="51"/>
        <v>3</v>
      </c>
      <c r="D1635" s="242">
        <v>39.200000000000003</v>
      </c>
      <c r="E1635" s="845">
        <f t="shared" si="52"/>
        <v>4.0000000000000018</v>
      </c>
    </row>
    <row r="1636" spans="2:5">
      <c r="B1636" s="1115">
        <v>44994</v>
      </c>
      <c r="C1636" s="242">
        <f t="shared" si="51"/>
        <v>3</v>
      </c>
      <c r="D1636" s="242">
        <v>39.200000000000003</v>
      </c>
      <c r="E1636" s="845">
        <f t="shared" si="52"/>
        <v>4.0000000000000018</v>
      </c>
    </row>
    <row r="1637" spans="2:5">
      <c r="B1637" s="1115">
        <v>44994</v>
      </c>
      <c r="C1637" s="242">
        <f t="shared" si="51"/>
        <v>3</v>
      </c>
      <c r="D1637" s="242">
        <v>39.4</v>
      </c>
      <c r="E1637" s="845">
        <f t="shared" si="52"/>
        <v>4.1111111111111098</v>
      </c>
    </row>
    <row r="1638" spans="2:5">
      <c r="B1638" s="1115">
        <v>44994</v>
      </c>
      <c r="C1638" s="242">
        <f t="shared" si="51"/>
        <v>3</v>
      </c>
      <c r="D1638" s="242">
        <v>39.4</v>
      </c>
      <c r="E1638" s="845">
        <f t="shared" si="52"/>
        <v>4.1111111111111098</v>
      </c>
    </row>
    <row r="1639" spans="2:5">
      <c r="B1639" s="1115">
        <v>44994</v>
      </c>
      <c r="C1639" s="242">
        <f t="shared" si="51"/>
        <v>3</v>
      </c>
      <c r="D1639" s="242">
        <v>39.4</v>
      </c>
      <c r="E1639" s="845">
        <f t="shared" si="52"/>
        <v>4.1111111111111098</v>
      </c>
    </row>
    <row r="1640" spans="2:5">
      <c r="B1640" s="1115">
        <v>44994</v>
      </c>
      <c r="C1640" s="242">
        <f t="shared" si="51"/>
        <v>3</v>
      </c>
      <c r="D1640" s="242">
        <v>39.200000000000003</v>
      </c>
      <c r="E1640" s="845">
        <f t="shared" si="52"/>
        <v>4.0000000000000018</v>
      </c>
    </row>
    <row r="1641" spans="2:5">
      <c r="B1641" s="1115">
        <v>44995</v>
      </c>
      <c r="C1641" s="242">
        <f t="shared" si="51"/>
        <v>3</v>
      </c>
      <c r="D1641" s="242" t="s">
        <v>1839</v>
      </c>
      <c r="E1641" s="845">
        <f t="shared" si="52"/>
        <v>3.8888888888888888</v>
      </c>
    </row>
    <row r="1642" spans="2:5">
      <c r="B1642" s="1115">
        <v>44995</v>
      </c>
      <c r="C1642" s="242">
        <f t="shared" si="51"/>
        <v>3</v>
      </c>
      <c r="D1642" s="242">
        <v>38.799999999999997</v>
      </c>
      <c r="E1642" s="845">
        <f t="shared" si="52"/>
        <v>3.7777777777777759</v>
      </c>
    </row>
    <row r="1643" spans="2:5">
      <c r="B1643" s="1115">
        <v>44995</v>
      </c>
      <c r="C1643" s="242">
        <f t="shared" si="51"/>
        <v>3</v>
      </c>
      <c r="D1643" s="242">
        <v>38.799999999999997</v>
      </c>
      <c r="E1643" s="845">
        <f t="shared" si="52"/>
        <v>3.7777777777777759</v>
      </c>
    </row>
    <row r="1644" spans="2:5">
      <c r="B1644" s="1115">
        <v>44995</v>
      </c>
      <c r="C1644" s="242">
        <f t="shared" si="51"/>
        <v>3</v>
      </c>
      <c r="D1644" s="242" t="s">
        <v>1839</v>
      </c>
      <c r="E1644" s="845">
        <f t="shared" si="52"/>
        <v>3.8888888888888888</v>
      </c>
    </row>
    <row r="1645" spans="2:5">
      <c r="B1645" s="1115">
        <v>44995</v>
      </c>
      <c r="C1645" s="242">
        <f t="shared" si="51"/>
        <v>3</v>
      </c>
      <c r="D1645" s="242">
        <v>39.200000000000003</v>
      </c>
      <c r="E1645" s="845">
        <f t="shared" si="52"/>
        <v>4.0000000000000018</v>
      </c>
    </row>
    <row r="1646" spans="2:5">
      <c r="B1646" s="1115">
        <v>44995</v>
      </c>
      <c r="C1646" s="242">
        <f t="shared" si="51"/>
        <v>3</v>
      </c>
      <c r="D1646" s="242">
        <v>39.200000000000003</v>
      </c>
      <c r="E1646" s="845">
        <f t="shared" si="52"/>
        <v>4.0000000000000018</v>
      </c>
    </row>
    <row r="1647" spans="2:5">
      <c r="B1647" s="1115">
        <v>44995</v>
      </c>
      <c r="C1647" s="242">
        <f t="shared" si="51"/>
        <v>3</v>
      </c>
      <c r="D1647" s="242">
        <v>39.4</v>
      </c>
      <c r="E1647" s="845">
        <f t="shared" si="52"/>
        <v>4.1111111111111098</v>
      </c>
    </row>
    <row r="1648" spans="2:5">
      <c r="B1648" s="1115">
        <v>44995</v>
      </c>
      <c r="C1648" s="242">
        <f t="shared" si="51"/>
        <v>3</v>
      </c>
      <c r="D1648" s="242">
        <v>39.4</v>
      </c>
      <c r="E1648" s="845">
        <f t="shared" si="52"/>
        <v>4.1111111111111098</v>
      </c>
    </row>
    <row r="1649" spans="2:5">
      <c r="B1649" s="1115">
        <v>44995</v>
      </c>
      <c r="C1649" s="242">
        <f t="shared" si="51"/>
        <v>3</v>
      </c>
      <c r="D1649" s="242">
        <v>39.200000000000003</v>
      </c>
      <c r="E1649" s="845">
        <f t="shared" si="52"/>
        <v>4.0000000000000018</v>
      </c>
    </row>
    <row r="1650" spans="2:5">
      <c r="B1650" s="1115">
        <v>44995</v>
      </c>
      <c r="C1650" s="242">
        <f t="shared" si="51"/>
        <v>3</v>
      </c>
      <c r="D1650" s="242">
        <v>39.200000000000003</v>
      </c>
      <c r="E1650" s="845">
        <f t="shared" si="52"/>
        <v>4.0000000000000018</v>
      </c>
    </row>
    <row r="1651" spans="2:5">
      <c r="B1651" s="1115">
        <v>44995</v>
      </c>
      <c r="C1651" s="242">
        <f t="shared" si="51"/>
        <v>3</v>
      </c>
      <c r="D1651" s="242">
        <v>39.200000000000003</v>
      </c>
      <c r="E1651" s="845">
        <f t="shared" si="52"/>
        <v>4.0000000000000018</v>
      </c>
    </row>
    <row r="1652" spans="2:5">
      <c r="B1652" s="1115">
        <v>44995</v>
      </c>
      <c r="C1652" s="242">
        <f t="shared" si="51"/>
        <v>3</v>
      </c>
      <c r="D1652" s="242">
        <v>38.799999999999997</v>
      </c>
      <c r="E1652" s="845">
        <f t="shared" si="52"/>
        <v>3.7777777777777759</v>
      </c>
    </row>
    <row r="1653" spans="2:5">
      <c r="B1653" s="1115">
        <v>44995</v>
      </c>
      <c r="C1653" s="242">
        <f t="shared" si="51"/>
        <v>3</v>
      </c>
      <c r="D1653" s="242">
        <v>38.700000000000003</v>
      </c>
      <c r="E1653" s="845">
        <f t="shared" si="52"/>
        <v>3.7222222222222237</v>
      </c>
    </row>
    <row r="1654" spans="2:5">
      <c r="B1654" s="1115">
        <v>44995</v>
      </c>
      <c r="C1654" s="242">
        <f t="shared" si="51"/>
        <v>3</v>
      </c>
      <c r="D1654" s="242">
        <v>38.700000000000003</v>
      </c>
      <c r="E1654" s="845">
        <f t="shared" si="52"/>
        <v>3.7222222222222237</v>
      </c>
    </row>
    <row r="1655" spans="2:5">
      <c r="B1655" s="1115">
        <v>44995</v>
      </c>
      <c r="C1655" s="242">
        <f t="shared" si="51"/>
        <v>3</v>
      </c>
      <c r="D1655" s="242">
        <v>38.700000000000003</v>
      </c>
      <c r="E1655" s="845">
        <f t="shared" si="52"/>
        <v>3.7222222222222237</v>
      </c>
    </row>
    <row r="1656" spans="2:5">
      <c r="B1656" s="1115">
        <v>44995</v>
      </c>
      <c r="C1656" s="242">
        <f t="shared" si="51"/>
        <v>3</v>
      </c>
      <c r="D1656" s="242">
        <v>38.700000000000003</v>
      </c>
      <c r="E1656" s="845">
        <f t="shared" si="52"/>
        <v>3.7222222222222237</v>
      </c>
    </row>
    <row r="1657" spans="2:5">
      <c r="B1657" s="1115">
        <v>44995</v>
      </c>
      <c r="C1657" s="242">
        <f t="shared" si="51"/>
        <v>3</v>
      </c>
      <c r="D1657" s="242">
        <v>38.799999999999997</v>
      </c>
      <c r="E1657" s="845">
        <f t="shared" si="52"/>
        <v>3.7777777777777759</v>
      </c>
    </row>
    <row r="1658" spans="2:5">
      <c r="B1658" s="1115">
        <v>44995</v>
      </c>
      <c r="C1658" s="242">
        <f t="shared" si="51"/>
        <v>3</v>
      </c>
      <c r="D1658" s="242" t="s">
        <v>1839</v>
      </c>
      <c r="E1658" s="845">
        <f t="shared" si="52"/>
        <v>3.8888888888888888</v>
      </c>
    </row>
    <row r="1659" spans="2:5">
      <c r="B1659" s="1115">
        <v>44995</v>
      </c>
      <c r="C1659" s="242">
        <f t="shared" si="51"/>
        <v>3</v>
      </c>
      <c r="D1659" s="242">
        <v>39.200000000000003</v>
      </c>
      <c r="E1659" s="845">
        <f t="shared" si="52"/>
        <v>4.0000000000000018</v>
      </c>
    </row>
    <row r="1660" spans="2:5">
      <c r="B1660" s="1115">
        <v>44995</v>
      </c>
      <c r="C1660" s="242">
        <f t="shared" si="51"/>
        <v>3</v>
      </c>
      <c r="D1660" s="242">
        <v>39.4</v>
      </c>
      <c r="E1660" s="845">
        <f t="shared" si="52"/>
        <v>4.1111111111111098</v>
      </c>
    </row>
    <row r="1661" spans="2:5">
      <c r="B1661" s="1115">
        <v>44995</v>
      </c>
      <c r="C1661" s="242">
        <f t="shared" si="51"/>
        <v>3</v>
      </c>
      <c r="D1661" s="242">
        <v>39.6</v>
      </c>
      <c r="E1661" s="845">
        <f t="shared" si="52"/>
        <v>4.2222222222222232</v>
      </c>
    </row>
    <row r="1662" spans="2:5">
      <c r="B1662" s="1115">
        <v>44995</v>
      </c>
      <c r="C1662" s="242">
        <f t="shared" si="51"/>
        <v>3</v>
      </c>
      <c r="D1662" s="242">
        <v>39.6</v>
      </c>
      <c r="E1662" s="845">
        <f t="shared" si="52"/>
        <v>4.2222222222222232</v>
      </c>
    </row>
    <row r="1663" spans="2:5">
      <c r="B1663" s="1115">
        <v>44995</v>
      </c>
      <c r="C1663" s="242">
        <f t="shared" si="51"/>
        <v>3</v>
      </c>
      <c r="D1663" s="242">
        <v>39.6</v>
      </c>
      <c r="E1663" s="845">
        <f t="shared" si="52"/>
        <v>4.2222222222222232</v>
      </c>
    </row>
    <row r="1664" spans="2:5">
      <c r="B1664" s="1115">
        <v>44995</v>
      </c>
      <c r="C1664" s="242">
        <f t="shared" si="51"/>
        <v>3</v>
      </c>
      <c r="D1664" s="242">
        <v>39.6</v>
      </c>
      <c r="E1664" s="845">
        <f t="shared" si="52"/>
        <v>4.2222222222222232</v>
      </c>
    </row>
    <row r="1665" spans="2:5">
      <c r="B1665" s="1115">
        <v>44996</v>
      </c>
      <c r="C1665" s="242">
        <f t="shared" si="51"/>
        <v>3</v>
      </c>
      <c r="D1665" s="242">
        <v>39.4</v>
      </c>
      <c r="E1665" s="845">
        <f t="shared" si="52"/>
        <v>4.1111111111111098</v>
      </c>
    </row>
    <row r="1666" spans="2:5">
      <c r="B1666" s="1115">
        <v>44996</v>
      </c>
      <c r="C1666" s="242">
        <f t="shared" si="51"/>
        <v>3</v>
      </c>
      <c r="D1666" s="242">
        <v>39.4</v>
      </c>
      <c r="E1666" s="845">
        <f t="shared" si="52"/>
        <v>4.1111111111111098</v>
      </c>
    </row>
    <row r="1667" spans="2:5">
      <c r="B1667" s="1115">
        <v>44996</v>
      </c>
      <c r="C1667" s="242">
        <f t="shared" si="51"/>
        <v>3</v>
      </c>
      <c r="D1667" s="242">
        <v>39.200000000000003</v>
      </c>
      <c r="E1667" s="845">
        <f t="shared" si="52"/>
        <v>4.0000000000000018</v>
      </c>
    </row>
    <row r="1668" spans="2:5">
      <c r="B1668" s="1115">
        <v>44996</v>
      </c>
      <c r="C1668" s="242">
        <f t="shared" si="51"/>
        <v>3</v>
      </c>
      <c r="D1668" s="242">
        <v>39.4</v>
      </c>
      <c r="E1668" s="845">
        <f t="shared" si="52"/>
        <v>4.1111111111111098</v>
      </c>
    </row>
    <row r="1669" spans="2:5">
      <c r="B1669" s="1115">
        <v>44996</v>
      </c>
      <c r="C1669" s="242">
        <f t="shared" si="51"/>
        <v>3</v>
      </c>
      <c r="D1669" s="242">
        <v>39.6</v>
      </c>
      <c r="E1669" s="845">
        <f t="shared" si="52"/>
        <v>4.2222222222222232</v>
      </c>
    </row>
    <row r="1670" spans="2:5">
      <c r="B1670" s="1115">
        <v>44996</v>
      </c>
      <c r="C1670" s="242">
        <f t="shared" si="51"/>
        <v>3</v>
      </c>
      <c r="D1670" s="242">
        <v>39.6</v>
      </c>
      <c r="E1670" s="845">
        <f t="shared" si="52"/>
        <v>4.2222222222222232</v>
      </c>
    </row>
    <row r="1671" spans="2:5">
      <c r="B1671" s="1115">
        <v>44996</v>
      </c>
      <c r="C1671" s="242">
        <f t="shared" si="51"/>
        <v>3</v>
      </c>
      <c r="D1671" s="242">
        <v>39.6</v>
      </c>
      <c r="E1671" s="845">
        <f t="shared" si="52"/>
        <v>4.2222222222222232</v>
      </c>
    </row>
    <row r="1672" spans="2:5">
      <c r="B1672" s="1115">
        <v>44996</v>
      </c>
      <c r="C1672" s="242">
        <f t="shared" si="51"/>
        <v>3</v>
      </c>
      <c r="D1672" s="242">
        <v>39.4</v>
      </c>
      <c r="E1672" s="845">
        <f t="shared" si="52"/>
        <v>4.1111111111111098</v>
      </c>
    </row>
    <row r="1673" spans="2:5">
      <c r="B1673" s="1115">
        <v>44996</v>
      </c>
      <c r="C1673" s="242">
        <f t="shared" si="51"/>
        <v>3</v>
      </c>
      <c r="D1673" s="242">
        <v>39.4</v>
      </c>
      <c r="E1673" s="845">
        <f t="shared" si="52"/>
        <v>4.1111111111111098</v>
      </c>
    </row>
    <row r="1674" spans="2:5">
      <c r="B1674" s="1115">
        <v>44996</v>
      </c>
      <c r="C1674" s="242">
        <f t="shared" ref="C1674:C1737" si="53">MONTH(B1674)</f>
        <v>3</v>
      </c>
      <c r="D1674" s="242">
        <v>39.4</v>
      </c>
      <c r="E1674" s="845">
        <f t="shared" ref="E1674:E1737" si="54">CONVERT(D1674,"F","C")</f>
        <v>4.1111111111111098</v>
      </c>
    </row>
    <row r="1675" spans="2:5">
      <c r="B1675" s="1115">
        <v>44996</v>
      </c>
      <c r="C1675" s="242">
        <f t="shared" si="53"/>
        <v>3</v>
      </c>
      <c r="D1675" s="242">
        <v>39.4</v>
      </c>
      <c r="E1675" s="845">
        <f t="shared" si="54"/>
        <v>4.1111111111111098</v>
      </c>
    </row>
    <row r="1676" spans="2:5">
      <c r="B1676" s="1115">
        <v>44996</v>
      </c>
      <c r="C1676" s="242">
        <f t="shared" si="53"/>
        <v>3</v>
      </c>
      <c r="D1676" s="242">
        <v>39.4</v>
      </c>
      <c r="E1676" s="845">
        <f t="shared" si="54"/>
        <v>4.1111111111111098</v>
      </c>
    </row>
    <row r="1677" spans="2:5">
      <c r="B1677" s="1115">
        <v>44996</v>
      </c>
      <c r="C1677" s="242">
        <f t="shared" si="53"/>
        <v>3</v>
      </c>
      <c r="D1677" s="242">
        <v>39.4</v>
      </c>
      <c r="E1677" s="845">
        <f t="shared" si="54"/>
        <v>4.1111111111111098</v>
      </c>
    </row>
    <row r="1678" spans="2:5">
      <c r="B1678" s="1115">
        <v>44996</v>
      </c>
      <c r="C1678" s="242">
        <f t="shared" si="53"/>
        <v>3</v>
      </c>
      <c r="D1678" s="242">
        <v>39.200000000000003</v>
      </c>
      <c r="E1678" s="845">
        <f t="shared" si="54"/>
        <v>4.0000000000000018</v>
      </c>
    </row>
    <row r="1679" spans="2:5">
      <c r="B1679" s="1115">
        <v>44996</v>
      </c>
      <c r="C1679" s="242">
        <f t="shared" si="53"/>
        <v>3</v>
      </c>
      <c r="D1679" s="242">
        <v>39.200000000000003</v>
      </c>
      <c r="E1679" s="845">
        <f t="shared" si="54"/>
        <v>4.0000000000000018</v>
      </c>
    </row>
    <row r="1680" spans="2:5">
      <c r="B1680" s="1115">
        <v>44996</v>
      </c>
      <c r="C1680" s="242">
        <f t="shared" si="53"/>
        <v>3</v>
      </c>
      <c r="D1680" s="242">
        <v>39.200000000000003</v>
      </c>
      <c r="E1680" s="845">
        <f t="shared" si="54"/>
        <v>4.0000000000000018</v>
      </c>
    </row>
    <row r="1681" spans="2:5">
      <c r="B1681" s="1115">
        <v>44996</v>
      </c>
      <c r="C1681" s="242">
        <f t="shared" si="53"/>
        <v>3</v>
      </c>
      <c r="D1681" s="242">
        <v>39.200000000000003</v>
      </c>
      <c r="E1681" s="845">
        <f t="shared" si="54"/>
        <v>4.0000000000000018</v>
      </c>
    </row>
    <row r="1682" spans="2:5">
      <c r="B1682" s="1115">
        <v>44996</v>
      </c>
      <c r="C1682" s="242">
        <f t="shared" si="53"/>
        <v>3</v>
      </c>
      <c r="D1682" s="242">
        <v>39.4</v>
      </c>
      <c r="E1682" s="845">
        <f t="shared" si="54"/>
        <v>4.1111111111111098</v>
      </c>
    </row>
    <row r="1683" spans="2:5">
      <c r="B1683" s="1115">
        <v>44996</v>
      </c>
      <c r="C1683" s="242">
        <f t="shared" si="53"/>
        <v>3</v>
      </c>
      <c r="D1683" s="242">
        <v>39.4</v>
      </c>
      <c r="E1683" s="845">
        <f t="shared" si="54"/>
        <v>4.1111111111111098</v>
      </c>
    </row>
    <row r="1684" spans="2:5">
      <c r="B1684" s="1115">
        <v>44996</v>
      </c>
      <c r="C1684" s="242">
        <f t="shared" si="53"/>
        <v>3</v>
      </c>
      <c r="D1684" s="242">
        <v>39.4</v>
      </c>
      <c r="E1684" s="845">
        <f t="shared" si="54"/>
        <v>4.1111111111111098</v>
      </c>
    </row>
    <row r="1685" spans="2:5">
      <c r="B1685" s="1115">
        <v>44996</v>
      </c>
      <c r="C1685" s="242">
        <f t="shared" si="53"/>
        <v>3</v>
      </c>
      <c r="D1685" s="242">
        <v>39.6</v>
      </c>
      <c r="E1685" s="845">
        <f t="shared" si="54"/>
        <v>4.2222222222222232</v>
      </c>
    </row>
    <row r="1686" spans="2:5">
      <c r="B1686" s="1115">
        <v>44996</v>
      </c>
      <c r="C1686" s="242">
        <f t="shared" si="53"/>
        <v>3</v>
      </c>
      <c r="D1686" s="242">
        <v>39.6</v>
      </c>
      <c r="E1686" s="845">
        <f t="shared" si="54"/>
        <v>4.2222222222222232</v>
      </c>
    </row>
    <row r="1687" spans="2:5">
      <c r="B1687" s="1115">
        <v>44996</v>
      </c>
      <c r="C1687" s="242">
        <f t="shared" si="53"/>
        <v>3</v>
      </c>
      <c r="D1687" s="242">
        <v>39.6</v>
      </c>
      <c r="E1687" s="845">
        <f t="shared" si="54"/>
        <v>4.2222222222222232</v>
      </c>
    </row>
    <row r="1688" spans="2:5">
      <c r="B1688" s="1115">
        <v>44996</v>
      </c>
      <c r="C1688" s="242">
        <f t="shared" si="53"/>
        <v>3</v>
      </c>
      <c r="D1688" s="242">
        <v>39.4</v>
      </c>
      <c r="E1688" s="845">
        <f t="shared" si="54"/>
        <v>4.1111111111111098</v>
      </c>
    </row>
    <row r="1689" spans="2:5">
      <c r="B1689" s="1115">
        <v>44997</v>
      </c>
      <c r="C1689" s="242">
        <f t="shared" si="53"/>
        <v>3</v>
      </c>
      <c r="D1689" s="242">
        <v>39.4</v>
      </c>
      <c r="E1689" s="845">
        <f t="shared" si="54"/>
        <v>4.1111111111111098</v>
      </c>
    </row>
    <row r="1690" spans="2:5">
      <c r="B1690" s="1115">
        <v>44997</v>
      </c>
      <c r="C1690" s="242">
        <f t="shared" si="53"/>
        <v>3</v>
      </c>
      <c r="D1690" s="242">
        <v>39.4</v>
      </c>
      <c r="E1690" s="845">
        <f t="shared" si="54"/>
        <v>4.1111111111111098</v>
      </c>
    </row>
    <row r="1691" spans="2:5">
      <c r="B1691" s="1115">
        <v>44997</v>
      </c>
      <c r="C1691" s="242">
        <f t="shared" si="53"/>
        <v>3</v>
      </c>
      <c r="D1691" s="242">
        <v>39.200000000000003</v>
      </c>
      <c r="E1691" s="845">
        <f t="shared" si="54"/>
        <v>4.0000000000000018</v>
      </c>
    </row>
    <row r="1692" spans="2:5">
      <c r="B1692" s="1115">
        <v>44997</v>
      </c>
      <c r="C1692" s="242">
        <f t="shared" si="53"/>
        <v>3</v>
      </c>
      <c r="D1692" s="242">
        <v>39.200000000000003</v>
      </c>
      <c r="E1692" s="845">
        <f t="shared" si="54"/>
        <v>4.0000000000000018</v>
      </c>
    </row>
    <row r="1693" spans="2:5">
      <c r="B1693" s="1115">
        <v>44997</v>
      </c>
      <c r="C1693" s="242">
        <f t="shared" si="53"/>
        <v>3</v>
      </c>
      <c r="D1693" s="242">
        <v>39.200000000000003</v>
      </c>
      <c r="E1693" s="845">
        <f t="shared" si="54"/>
        <v>4.0000000000000018</v>
      </c>
    </row>
    <row r="1694" spans="2:5">
      <c r="B1694" s="1115">
        <v>44997</v>
      </c>
      <c r="C1694" s="242">
        <f t="shared" si="53"/>
        <v>3</v>
      </c>
      <c r="D1694" s="242">
        <v>39.4</v>
      </c>
      <c r="E1694" s="845">
        <f t="shared" si="54"/>
        <v>4.1111111111111098</v>
      </c>
    </row>
    <row r="1695" spans="2:5">
      <c r="B1695" s="1115">
        <v>44997</v>
      </c>
      <c r="C1695" s="242">
        <f t="shared" si="53"/>
        <v>3</v>
      </c>
      <c r="D1695" s="242">
        <v>39.4</v>
      </c>
      <c r="E1695" s="845">
        <f t="shared" si="54"/>
        <v>4.1111111111111098</v>
      </c>
    </row>
    <row r="1696" spans="2:5">
      <c r="B1696" s="1115">
        <v>44997</v>
      </c>
      <c r="C1696" s="242">
        <f t="shared" si="53"/>
        <v>3</v>
      </c>
      <c r="D1696" s="242">
        <v>39.4</v>
      </c>
      <c r="E1696" s="845">
        <f t="shared" si="54"/>
        <v>4.1111111111111098</v>
      </c>
    </row>
    <row r="1697" spans="2:5">
      <c r="B1697" s="1115">
        <v>44997</v>
      </c>
      <c r="C1697" s="242">
        <f t="shared" si="53"/>
        <v>3</v>
      </c>
      <c r="D1697" s="242">
        <v>39.4</v>
      </c>
      <c r="E1697" s="845">
        <f t="shared" si="54"/>
        <v>4.1111111111111098</v>
      </c>
    </row>
    <row r="1698" spans="2:5">
      <c r="B1698" s="1115">
        <v>44997</v>
      </c>
      <c r="C1698" s="242">
        <f t="shared" si="53"/>
        <v>3</v>
      </c>
      <c r="D1698" s="242">
        <v>39.4</v>
      </c>
      <c r="E1698" s="845">
        <f t="shared" si="54"/>
        <v>4.1111111111111098</v>
      </c>
    </row>
    <row r="1699" spans="2:5">
      <c r="B1699" s="1115">
        <v>44997</v>
      </c>
      <c r="C1699" s="242">
        <f t="shared" si="53"/>
        <v>3</v>
      </c>
      <c r="D1699" s="242">
        <v>39.200000000000003</v>
      </c>
      <c r="E1699" s="845">
        <f t="shared" si="54"/>
        <v>4.0000000000000018</v>
      </c>
    </row>
    <row r="1700" spans="2:5">
      <c r="B1700" s="1115">
        <v>44997</v>
      </c>
      <c r="C1700" s="242">
        <f t="shared" si="53"/>
        <v>3</v>
      </c>
      <c r="D1700" s="242">
        <v>39.200000000000003</v>
      </c>
      <c r="E1700" s="845">
        <f t="shared" si="54"/>
        <v>4.0000000000000018</v>
      </c>
    </row>
    <row r="1701" spans="2:5">
      <c r="B1701" s="1115">
        <v>44997</v>
      </c>
      <c r="C1701" s="242">
        <f t="shared" si="53"/>
        <v>3</v>
      </c>
      <c r="D1701" s="242">
        <v>39.200000000000003</v>
      </c>
      <c r="E1701" s="845">
        <f t="shared" si="54"/>
        <v>4.0000000000000018</v>
      </c>
    </row>
    <row r="1702" spans="2:5">
      <c r="B1702" s="1115">
        <v>44997</v>
      </c>
      <c r="C1702" s="242">
        <f t="shared" si="53"/>
        <v>3</v>
      </c>
      <c r="D1702" s="242" t="s">
        <v>1839</v>
      </c>
      <c r="E1702" s="845">
        <f t="shared" si="54"/>
        <v>3.8888888888888888</v>
      </c>
    </row>
    <row r="1703" spans="2:5">
      <c r="B1703" s="1115">
        <v>44997</v>
      </c>
      <c r="C1703" s="242">
        <f t="shared" si="53"/>
        <v>3</v>
      </c>
      <c r="D1703" s="242" t="s">
        <v>1839</v>
      </c>
      <c r="E1703" s="845">
        <f t="shared" si="54"/>
        <v>3.8888888888888888</v>
      </c>
    </row>
    <row r="1704" spans="2:5">
      <c r="B1704" s="1115">
        <v>44997</v>
      </c>
      <c r="C1704" s="242">
        <f t="shared" si="53"/>
        <v>3</v>
      </c>
      <c r="D1704" s="242" t="s">
        <v>1839</v>
      </c>
      <c r="E1704" s="845">
        <f t="shared" si="54"/>
        <v>3.8888888888888888</v>
      </c>
    </row>
    <row r="1705" spans="2:5">
      <c r="B1705" s="1115">
        <v>44997</v>
      </c>
      <c r="C1705" s="242">
        <f t="shared" si="53"/>
        <v>3</v>
      </c>
      <c r="D1705" s="242" t="s">
        <v>1839</v>
      </c>
      <c r="E1705" s="845">
        <f t="shared" si="54"/>
        <v>3.8888888888888888</v>
      </c>
    </row>
    <row r="1706" spans="2:5">
      <c r="B1706" s="1115">
        <v>44997</v>
      </c>
      <c r="C1706" s="242">
        <f t="shared" si="53"/>
        <v>3</v>
      </c>
      <c r="D1706" s="242" t="s">
        <v>1839</v>
      </c>
      <c r="E1706" s="845">
        <f t="shared" si="54"/>
        <v>3.8888888888888888</v>
      </c>
    </row>
    <row r="1707" spans="2:5">
      <c r="B1707" s="1115">
        <v>44997</v>
      </c>
      <c r="C1707" s="242">
        <f t="shared" si="53"/>
        <v>3</v>
      </c>
      <c r="D1707" s="242">
        <v>39.200000000000003</v>
      </c>
      <c r="E1707" s="845">
        <f t="shared" si="54"/>
        <v>4.0000000000000018</v>
      </c>
    </row>
    <row r="1708" spans="2:5">
      <c r="B1708" s="1115">
        <v>44997</v>
      </c>
      <c r="C1708" s="242">
        <f t="shared" si="53"/>
        <v>3</v>
      </c>
      <c r="D1708" s="242">
        <v>39.4</v>
      </c>
      <c r="E1708" s="845">
        <f t="shared" si="54"/>
        <v>4.1111111111111098</v>
      </c>
    </row>
    <row r="1709" spans="2:5">
      <c r="B1709" s="1115">
        <v>44997</v>
      </c>
      <c r="C1709" s="242">
        <f t="shared" si="53"/>
        <v>3</v>
      </c>
      <c r="D1709" s="242">
        <v>39.4</v>
      </c>
      <c r="E1709" s="845">
        <f t="shared" si="54"/>
        <v>4.1111111111111098</v>
      </c>
    </row>
    <row r="1710" spans="2:5">
      <c r="B1710" s="1115">
        <v>44997</v>
      </c>
      <c r="C1710" s="242">
        <f t="shared" si="53"/>
        <v>3</v>
      </c>
      <c r="D1710" s="242">
        <v>39.6</v>
      </c>
      <c r="E1710" s="845">
        <f t="shared" si="54"/>
        <v>4.2222222222222232</v>
      </c>
    </row>
    <row r="1711" spans="2:5">
      <c r="B1711" s="1115">
        <v>44997</v>
      </c>
      <c r="C1711" s="242">
        <f t="shared" si="53"/>
        <v>3</v>
      </c>
      <c r="D1711" s="242">
        <v>39.6</v>
      </c>
      <c r="E1711" s="845">
        <f t="shared" si="54"/>
        <v>4.2222222222222232</v>
      </c>
    </row>
    <row r="1712" spans="2:5">
      <c r="B1712" s="1115">
        <v>44997</v>
      </c>
      <c r="C1712" s="242">
        <f t="shared" si="53"/>
        <v>3</v>
      </c>
      <c r="D1712" s="242">
        <v>39.6</v>
      </c>
      <c r="E1712" s="845">
        <f t="shared" si="54"/>
        <v>4.2222222222222232</v>
      </c>
    </row>
    <row r="1713" spans="2:5">
      <c r="B1713" s="1115">
        <v>44998</v>
      </c>
      <c r="C1713" s="242">
        <f t="shared" si="53"/>
        <v>3</v>
      </c>
      <c r="D1713" s="242">
        <v>39.6</v>
      </c>
      <c r="E1713" s="845">
        <f t="shared" si="54"/>
        <v>4.2222222222222232</v>
      </c>
    </row>
    <row r="1714" spans="2:5">
      <c r="B1714" s="1115">
        <v>44998</v>
      </c>
      <c r="C1714" s="242">
        <f t="shared" si="53"/>
        <v>3</v>
      </c>
      <c r="D1714" s="242">
        <v>39.6</v>
      </c>
      <c r="E1714" s="845">
        <f t="shared" si="54"/>
        <v>4.2222222222222232</v>
      </c>
    </row>
    <row r="1715" spans="2:5">
      <c r="B1715" s="1115">
        <v>44998</v>
      </c>
      <c r="C1715" s="242">
        <f t="shared" si="53"/>
        <v>3</v>
      </c>
      <c r="D1715" s="242">
        <v>39.6</v>
      </c>
      <c r="E1715" s="845">
        <f t="shared" si="54"/>
        <v>4.2222222222222232</v>
      </c>
    </row>
    <row r="1716" spans="2:5">
      <c r="B1716" s="1115">
        <v>44998</v>
      </c>
      <c r="C1716" s="242">
        <f t="shared" si="53"/>
        <v>3</v>
      </c>
      <c r="D1716" s="242">
        <v>39.6</v>
      </c>
      <c r="E1716" s="845">
        <f t="shared" si="54"/>
        <v>4.2222222222222232</v>
      </c>
    </row>
    <row r="1717" spans="2:5">
      <c r="B1717" s="1115">
        <v>44998</v>
      </c>
      <c r="C1717" s="242">
        <f t="shared" si="53"/>
        <v>3</v>
      </c>
      <c r="D1717" s="242">
        <v>39.4</v>
      </c>
      <c r="E1717" s="845">
        <f t="shared" si="54"/>
        <v>4.1111111111111098</v>
      </c>
    </row>
    <row r="1718" spans="2:5">
      <c r="B1718" s="1115">
        <v>44998</v>
      </c>
      <c r="C1718" s="242">
        <f t="shared" si="53"/>
        <v>3</v>
      </c>
      <c r="D1718" s="242">
        <v>39.6</v>
      </c>
      <c r="E1718" s="845">
        <f t="shared" si="54"/>
        <v>4.2222222222222232</v>
      </c>
    </row>
    <row r="1719" spans="2:5">
      <c r="B1719" s="1115">
        <v>44998</v>
      </c>
      <c r="C1719" s="242">
        <f t="shared" si="53"/>
        <v>3</v>
      </c>
      <c r="D1719" s="242">
        <v>39.6</v>
      </c>
      <c r="E1719" s="845">
        <f t="shared" si="54"/>
        <v>4.2222222222222232</v>
      </c>
    </row>
    <row r="1720" spans="2:5">
      <c r="B1720" s="1115">
        <v>44998</v>
      </c>
      <c r="C1720" s="242">
        <f t="shared" si="53"/>
        <v>3</v>
      </c>
      <c r="D1720" s="242">
        <v>39.6</v>
      </c>
      <c r="E1720" s="845">
        <f t="shared" si="54"/>
        <v>4.2222222222222232</v>
      </c>
    </row>
    <row r="1721" spans="2:5">
      <c r="B1721" s="1115">
        <v>44998</v>
      </c>
      <c r="C1721" s="242">
        <f t="shared" si="53"/>
        <v>3</v>
      </c>
      <c r="D1721" s="242">
        <v>39.6</v>
      </c>
      <c r="E1721" s="845">
        <f t="shared" si="54"/>
        <v>4.2222222222222232</v>
      </c>
    </row>
    <row r="1722" spans="2:5">
      <c r="B1722" s="1115">
        <v>44998</v>
      </c>
      <c r="C1722" s="242">
        <f t="shared" si="53"/>
        <v>3</v>
      </c>
      <c r="D1722" s="242">
        <v>39.6</v>
      </c>
      <c r="E1722" s="845">
        <f t="shared" si="54"/>
        <v>4.2222222222222232</v>
      </c>
    </row>
    <row r="1723" spans="2:5">
      <c r="B1723" s="1115">
        <v>44998</v>
      </c>
      <c r="C1723" s="242">
        <f t="shared" si="53"/>
        <v>3</v>
      </c>
      <c r="D1723" s="242">
        <v>39.6</v>
      </c>
      <c r="E1723" s="845">
        <f t="shared" si="54"/>
        <v>4.2222222222222232</v>
      </c>
    </row>
    <row r="1724" spans="2:5">
      <c r="B1724" s="1115">
        <v>44998</v>
      </c>
      <c r="C1724" s="242">
        <f t="shared" si="53"/>
        <v>3</v>
      </c>
      <c r="D1724" s="242">
        <v>39.6</v>
      </c>
      <c r="E1724" s="845">
        <f t="shared" si="54"/>
        <v>4.2222222222222232</v>
      </c>
    </row>
    <row r="1725" spans="2:5">
      <c r="B1725" s="1115">
        <v>44998</v>
      </c>
      <c r="C1725" s="242">
        <f t="shared" si="53"/>
        <v>3</v>
      </c>
      <c r="D1725" s="242">
        <v>39.6</v>
      </c>
      <c r="E1725" s="845">
        <f t="shared" si="54"/>
        <v>4.2222222222222232</v>
      </c>
    </row>
    <row r="1726" spans="2:5">
      <c r="B1726" s="1115">
        <v>44998</v>
      </c>
      <c r="C1726" s="242">
        <f t="shared" si="53"/>
        <v>3</v>
      </c>
      <c r="D1726" s="242">
        <v>39.4</v>
      </c>
      <c r="E1726" s="845">
        <f t="shared" si="54"/>
        <v>4.1111111111111098</v>
      </c>
    </row>
    <row r="1727" spans="2:5">
      <c r="B1727" s="1115">
        <v>44998</v>
      </c>
      <c r="C1727" s="242">
        <f t="shared" si="53"/>
        <v>3</v>
      </c>
      <c r="D1727" s="242">
        <v>39.4</v>
      </c>
      <c r="E1727" s="845">
        <f t="shared" si="54"/>
        <v>4.1111111111111098</v>
      </c>
    </row>
    <row r="1728" spans="2:5">
      <c r="B1728" s="1115">
        <v>44998</v>
      </c>
      <c r="C1728" s="242">
        <f t="shared" si="53"/>
        <v>3</v>
      </c>
      <c r="D1728" s="242">
        <v>39.4</v>
      </c>
      <c r="E1728" s="845">
        <f t="shared" si="54"/>
        <v>4.1111111111111098</v>
      </c>
    </row>
    <row r="1729" spans="2:5">
      <c r="B1729" s="1115">
        <v>44998</v>
      </c>
      <c r="C1729" s="242">
        <f t="shared" si="53"/>
        <v>3</v>
      </c>
      <c r="D1729" s="242">
        <v>39.4</v>
      </c>
      <c r="E1729" s="845">
        <f t="shared" si="54"/>
        <v>4.1111111111111098</v>
      </c>
    </row>
    <row r="1730" spans="2:5">
      <c r="B1730" s="1115">
        <v>44998</v>
      </c>
      <c r="C1730" s="242">
        <f t="shared" si="53"/>
        <v>3</v>
      </c>
      <c r="D1730" s="242">
        <v>39.4</v>
      </c>
      <c r="E1730" s="845">
        <f t="shared" si="54"/>
        <v>4.1111111111111098</v>
      </c>
    </row>
    <row r="1731" spans="2:5">
      <c r="B1731" s="1115">
        <v>44998</v>
      </c>
      <c r="C1731" s="242">
        <f t="shared" si="53"/>
        <v>3</v>
      </c>
      <c r="D1731" s="242">
        <v>39.6</v>
      </c>
      <c r="E1731" s="845">
        <f t="shared" si="54"/>
        <v>4.2222222222222232</v>
      </c>
    </row>
    <row r="1732" spans="2:5">
      <c r="B1732" s="1115">
        <v>44998</v>
      </c>
      <c r="C1732" s="242">
        <f t="shared" si="53"/>
        <v>3</v>
      </c>
      <c r="D1732" s="242">
        <v>39.6</v>
      </c>
      <c r="E1732" s="845">
        <f t="shared" si="54"/>
        <v>4.2222222222222232</v>
      </c>
    </row>
    <row r="1733" spans="2:5">
      <c r="B1733" s="1115">
        <v>44998</v>
      </c>
      <c r="C1733" s="242">
        <f t="shared" si="53"/>
        <v>3</v>
      </c>
      <c r="D1733" s="242">
        <v>39.6</v>
      </c>
      <c r="E1733" s="845">
        <f t="shared" si="54"/>
        <v>4.2222222222222232</v>
      </c>
    </row>
    <row r="1734" spans="2:5">
      <c r="B1734" s="1115">
        <v>44998</v>
      </c>
      <c r="C1734" s="242">
        <f t="shared" si="53"/>
        <v>3</v>
      </c>
      <c r="D1734" s="242">
        <v>39.6</v>
      </c>
      <c r="E1734" s="845">
        <f t="shared" si="54"/>
        <v>4.2222222222222232</v>
      </c>
    </row>
    <row r="1735" spans="2:5">
      <c r="B1735" s="1115">
        <v>44998</v>
      </c>
      <c r="C1735" s="242">
        <f t="shared" si="53"/>
        <v>3</v>
      </c>
      <c r="D1735" s="242">
        <v>39.6</v>
      </c>
      <c r="E1735" s="845">
        <f t="shared" si="54"/>
        <v>4.2222222222222232</v>
      </c>
    </row>
    <row r="1736" spans="2:5">
      <c r="B1736" s="1115">
        <v>44998</v>
      </c>
      <c r="C1736" s="242">
        <f t="shared" si="53"/>
        <v>3</v>
      </c>
      <c r="D1736" s="242">
        <v>39.6</v>
      </c>
      <c r="E1736" s="845">
        <f t="shared" si="54"/>
        <v>4.2222222222222232</v>
      </c>
    </row>
    <row r="1737" spans="2:5">
      <c r="B1737" s="1115">
        <v>44999</v>
      </c>
      <c r="C1737" s="242">
        <f t="shared" si="53"/>
        <v>3</v>
      </c>
      <c r="D1737" s="242">
        <v>39.6</v>
      </c>
      <c r="E1737" s="845">
        <f t="shared" si="54"/>
        <v>4.2222222222222232</v>
      </c>
    </row>
    <row r="1738" spans="2:5">
      <c r="B1738" s="1115">
        <v>44999</v>
      </c>
      <c r="C1738" s="242">
        <f t="shared" ref="C1738:C1801" si="55">MONTH(B1738)</f>
        <v>3</v>
      </c>
      <c r="D1738" s="242">
        <v>39.6</v>
      </c>
      <c r="E1738" s="845">
        <f t="shared" ref="E1738:E1801" si="56">CONVERT(D1738,"F","C")</f>
        <v>4.2222222222222232</v>
      </c>
    </row>
    <row r="1739" spans="2:5">
      <c r="B1739" s="1115">
        <v>44999</v>
      </c>
      <c r="C1739" s="242">
        <f t="shared" si="55"/>
        <v>3</v>
      </c>
      <c r="D1739" s="242">
        <v>39.6</v>
      </c>
      <c r="E1739" s="845">
        <f t="shared" si="56"/>
        <v>4.2222222222222232</v>
      </c>
    </row>
    <row r="1740" spans="2:5">
      <c r="B1740" s="1115">
        <v>44999</v>
      </c>
      <c r="C1740" s="242">
        <f t="shared" si="55"/>
        <v>3</v>
      </c>
      <c r="D1740" s="242">
        <v>39.6</v>
      </c>
      <c r="E1740" s="845">
        <f t="shared" si="56"/>
        <v>4.2222222222222232</v>
      </c>
    </row>
    <row r="1741" spans="2:5">
      <c r="B1741" s="1115">
        <v>44999</v>
      </c>
      <c r="C1741" s="242">
        <f t="shared" si="55"/>
        <v>3</v>
      </c>
      <c r="D1741" s="242">
        <v>39.6</v>
      </c>
      <c r="E1741" s="845">
        <f t="shared" si="56"/>
        <v>4.2222222222222232</v>
      </c>
    </row>
    <row r="1742" spans="2:5">
      <c r="B1742" s="1115">
        <v>44999</v>
      </c>
      <c r="C1742" s="242">
        <f t="shared" si="55"/>
        <v>3</v>
      </c>
      <c r="D1742" s="242">
        <v>39.6</v>
      </c>
      <c r="E1742" s="845">
        <f t="shared" si="56"/>
        <v>4.2222222222222232</v>
      </c>
    </row>
    <row r="1743" spans="2:5">
      <c r="B1743" s="1115">
        <v>44999</v>
      </c>
      <c r="C1743" s="242">
        <f t="shared" si="55"/>
        <v>3</v>
      </c>
      <c r="D1743" s="242">
        <v>39.6</v>
      </c>
      <c r="E1743" s="845">
        <f t="shared" si="56"/>
        <v>4.2222222222222232</v>
      </c>
    </row>
    <row r="1744" spans="2:5">
      <c r="B1744" s="1115">
        <v>44999</v>
      </c>
      <c r="C1744" s="242">
        <f t="shared" si="55"/>
        <v>3</v>
      </c>
      <c r="D1744" s="242">
        <v>39.6</v>
      </c>
      <c r="E1744" s="845">
        <f t="shared" si="56"/>
        <v>4.2222222222222232</v>
      </c>
    </row>
    <row r="1745" spans="2:5">
      <c r="B1745" s="1115">
        <v>44999</v>
      </c>
      <c r="C1745" s="242">
        <f t="shared" si="55"/>
        <v>3</v>
      </c>
      <c r="D1745" s="242">
        <v>39.6</v>
      </c>
      <c r="E1745" s="845">
        <f t="shared" si="56"/>
        <v>4.2222222222222232</v>
      </c>
    </row>
    <row r="1746" spans="2:5">
      <c r="B1746" s="1115">
        <v>44999</v>
      </c>
      <c r="C1746" s="242">
        <f t="shared" si="55"/>
        <v>3</v>
      </c>
      <c r="D1746" s="242">
        <v>39.6</v>
      </c>
      <c r="E1746" s="845">
        <f t="shared" si="56"/>
        <v>4.2222222222222232</v>
      </c>
    </row>
    <row r="1747" spans="2:5">
      <c r="B1747" s="1115">
        <v>44999</v>
      </c>
      <c r="C1747" s="242">
        <f t="shared" si="55"/>
        <v>3</v>
      </c>
      <c r="D1747" s="242">
        <v>39.6</v>
      </c>
      <c r="E1747" s="845">
        <f t="shared" si="56"/>
        <v>4.2222222222222232</v>
      </c>
    </row>
    <row r="1748" spans="2:5">
      <c r="B1748" s="1115">
        <v>44999</v>
      </c>
      <c r="C1748" s="242">
        <f t="shared" si="55"/>
        <v>3</v>
      </c>
      <c r="D1748" s="242">
        <v>39.6</v>
      </c>
      <c r="E1748" s="845">
        <f t="shared" si="56"/>
        <v>4.2222222222222232</v>
      </c>
    </row>
    <row r="1749" spans="2:5">
      <c r="B1749" s="1115">
        <v>44999</v>
      </c>
      <c r="C1749" s="242">
        <f t="shared" si="55"/>
        <v>3</v>
      </c>
      <c r="D1749" s="242">
        <v>39.6</v>
      </c>
      <c r="E1749" s="845">
        <f t="shared" si="56"/>
        <v>4.2222222222222232</v>
      </c>
    </row>
    <row r="1750" spans="2:5">
      <c r="B1750" s="1115">
        <v>44999</v>
      </c>
      <c r="C1750" s="242">
        <f t="shared" si="55"/>
        <v>3</v>
      </c>
      <c r="D1750" s="242">
        <v>39.6</v>
      </c>
      <c r="E1750" s="845">
        <f t="shared" si="56"/>
        <v>4.2222222222222232</v>
      </c>
    </row>
    <row r="1751" spans="2:5">
      <c r="B1751" s="1115">
        <v>44999</v>
      </c>
      <c r="C1751" s="242">
        <f t="shared" si="55"/>
        <v>3</v>
      </c>
      <c r="D1751" s="242">
        <v>39.4</v>
      </c>
      <c r="E1751" s="845">
        <f t="shared" si="56"/>
        <v>4.1111111111111098</v>
      </c>
    </row>
    <row r="1752" spans="2:5">
      <c r="B1752" s="1115">
        <v>44999</v>
      </c>
      <c r="C1752" s="242">
        <f t="shared" si="55"/>
        <v>3</v>
      </c>
      <c r="D1752" s="242">
        <v>39.4</v>
      </c>
      <c r="E1752" s="845">
        <f t="shared" si="56"/>
        <v>4.1111111111111098</v>
      </c>
    </row>
    <row r="1753" spans="2:5">
      <c r="B1753" s="1115">
        <v>44999</v>
      </c>
      <c r="C1753" s="242">
        <f t="shared" si="55"/>
        <v>3</v>
      </c>
      <c r="D1753" s="242">
        <v>39.200000000000003</v>
      </c>
      <c r="E1753" s="845">
        <f t="shared" si="56"/>
        <v>4.0000000000000018</v>
      </c>
    </row>
    <row r="1754" spans="2:5">
      <c r="B1754" s="1115">
        <v>44999</v>
      </c>
      <c r="C1754" s="242">
        <f t="shared" si="55"/>
        <v>3</v>
      </c>
      <c r="D1754" s="242" t="s">
        <v>1839</v>
      </c>
      <c r="E1754" s="845">
        <f t="shared" si="56"/>
        <v>3.8888888888888888</v>
      </c>
    </row>
    <row r="1755" spans="2:5">
      <c r="B1755" s="1115">
        <v>44999</v>
      </c>
      <c r="C1755" s="242">
        <f t="shared" si="55"/>
        <v>3</v>
      </c>
      <c r="D1755" s="242">
        <v>39.200000000000003</v>
      </c>
      <c r="E1755" s="845">
        <f t="shared" si="56"/>
        <v>4.0000000000000018</v>
      </c>
    </row>
    <row r="1756" spans="2:5">
      <c r="B1756" s="1115">
        <v>44999</v>
      </c>
      <c r="C1756" s="242">
        <f t="shared" si="55"/>
        <v>3</v>
      </c>
      <c r="D1756" s="242">
        <v>39.200000000000003</v>
      </c>
      <c r="E1756" s="845">
        <f t="shared" si="56"/>
        <v>4.0000000000000018</v>
      </c>
    </row>
    <row r="1757" spans="2:5">
      <c r="B1757" s="1115">
        <v>44999</v>
      </c>
      <c r="C1757" s="242">
        <f t="shared" si="55"/>
        <v>3</v>
      </c>
      <c r="D1757" s="242">
        <v>39.200000000000003</v>
      </c>
      <c r="E1757" s="845">
        <f t="shared" si="56"/>
        <v>4.0000000000000018</v>
      </c>
    </row>
    <row r="1758" spans="2:5">
      <c r="B1758" s="1115">
        <v>44999</v>
      </c>
      <c r="C1758" s="242">
        <f t="shared" si="55"/>
        <v>3</v>
      </c>
      <c r="D1758" s="242">
        <v>39.200000000000003</v>
      </c>
      <c r="E1758" s="845">
        <f t="shared" si="56"/>
        <v>4.0000000000000018</v>
      </c>
    </row>
    <row r="1759" spans="2:5">
      <c r="B1759" s="1115">
        <v>44999</v>
      </c>
      <c r="C1759" s="242">
        <f t="shared" si="55"/>
        <v>3</v>
      </c>
      <c r="D1759" s="242">
        <v>39.200000000000003</v>
      </c>
      <c r="E1759" s="845">
        <f t="shared" si="56"/>
        <v>4.0000000000000018</v>
      </c>
    </row>
    <row r="1760" spans="2:5">
      <c r="B1760" s="1115">
        <v>44999</v>
      </c>
      <c r="C1760" s="242">
        <f t="shared" si="55"/>
        <v>3</v>
      </c>
      <c r="D1760" s="242" t="s">
        <v>1839</v>
      </c>
      <c r="E1760" s="845">
        <f t="shared" si="56"/>
        <v>3.8888888888888888</v>
      </c>
    </row>
    <row r="1761" spans="2:5">
      <c r="B1761" s="1115">
        <v>45000</v>
      </c>
      <c r="C1761" s="242">
        <f t="shared" si="55"/>
        <v>3</v>
      </c>
      <c r="D1761" s="242">
        <v>38.799999999999997</v>
      </c>
      <c r="E1761" s="845">
        <f t="shared" si="56"/>
        <v>3.7777777777777759</v>
      </c>
    </row>
    <row r="1762" spans="2:5">
      <c r="B1762" s="1115">
        <v>45000</v>
      </c>
      <c r="C1762" s="242">
        <f t="shared" si="55"/>
        <v>3</v>
      </c>
      <c r="D1762" s="242">
        <v>38.799999999999997</v>
      </c>
      <c r="E1762" s="845">
        <f t="shared" si="56"/>
        <v>3.7777777777777759</v>
      </c>
    </row>
    <row r="1763" spans="2:5">
      <c r="B1763" s="1115">
        <v>45000</v>
      </c>
      <c r="C1763" s="242">
        <f t="shared" si="55"/>
        <v>3</v>
      </c>
      <c r="D1763" s="242">
        <v>38.700000000000003</v>
      </c>
      <c r="E1763" s="845">
        <f t="shared" si="56"/>
        <v>3.7222222222222237</v>
      </c>
    </row>
    <row r="1764" spans="2:5">
      <c r="B1764" s="1115">
        <v>45000</v>
      </c>
      <c r="C1764" s="242">
        <f t="shared" si="55"/>
        <v>3</v>
      </c>
      <c r="D1764" s="242">
        <v>38.5</v>
      </c>
      <c r="E1764" s="845">
        <f t="shared" si="56"/>
        <v>3.6111111111111112</v>
      </c>
    </row>
    <row r="1765" spans="2:5">
      <c r="B1765" s="1115">
        <v>45000</v>
      </c>
      <c r="C1765" s="242">
        <f t="shared" si="55"/>
        <v>3</v>
      </c>
      <c r="D1765" s="242">
        <v>38.299999999999997</v>
      </c>
      <c r="E1765" s="845">
        <f t="shared" si="56"/>
        <v>3.4999999999999982</v>
      </c>
    </row>
    <row r="1766" spans="2:5">
      <c r="B1766" s="1115">
        <v>45000</v>
      </c>
      <c r="C1766" s="242">
        <f t="shared" si="55"/>
        <v>3</v>
      </c>
      <c r="D1766" s="242">
        <v>38.299999999999997</v>
      </c>
      <c r="E1766" s="845">
        <f t="shared" si="56"/>
        <v>3.4999999999999982</v>
      </c>
    </row>
    <row r="1767" spans="2:5">
      <c r="B1767" s="1115">
        <v>45000</v>
      </c>
      <c r="C1767" s="242">
        <f t="shared" si="55"/>
        <v>3</v>
      </c>
      <c r="D1767" s="242">
        <v>38.5</v>
      </c>
      <c r="E1767" s="845">
        <f t="shared" si="56"/>
        <v>3.6111111111111112</v>
      </c>
    </row>
    <row r="1768" spans="2:5">
      <c r="B1768" s="1115">
        <v>45000</v>
      </c>
      <c r="C1768" s="242">
        <f t="shared" si="55"/>
        <v>3</v>
      </c>
      <c r="D1768" s="242">
        <v>38.5</v>
      </c>
      <c r="E1768" s="845">
        <f t="shared" si="56"/>
        <v>3.6111111111111112</v>
      </c>
    </row>
    <row r="1769" spans="2:5">
      <c r="B1769" s="1115">
        <v>45000</v>
      </c>
      <c r="C1769" s="242">
        <f t="shared" si="55"/>
        <v>3</v>
      </c>
      <c r="D1769" s="242">
        <v>38.700000000000003</v>
      </c>
      <c r="E1769" s="845">
        <f t="shared" si="56"/>
        <v>3.7222222222222237</v>
      </c>
    </row>
    <row r="1770" spans="2:5">
      <c r="B1770" s="1115">
        <v>45000</v>
      </c>
      <c r="C1770" s="242">
        <f t="shared" si="55"/>
        <v>3</v>
      </c>
      <c r="D1770" s="242">
        <v>38.700000000000003</v>
      </c>
      <c r="E1770" s="845">
        <f t="shared" si="56"/>
        <v>3.7222222222222237</v>
      </c>
    </row>
    <row r="1771" spans="2:5">
      <c r="B1771" s="1115">
        <v>45000</v>
      </c>
      <c r="C1771" s="242">
        <f t="shared" si="55"/>
        <v>3</v>
      </c>
      <c r="D1771" s="242">
        <v>38.799999999999997</v>
      </c>
      <c r="E1771" s="845">
        <f t="shared" si="56"/>
        <v>3.7777777777777759</v>
      </c>
    </row>
    <row r="1772" spans="2:5">
      <c r="B1772" s="1115">
        <v>45000</v>
      </c>
      <c r="C1772" s="242">
        <f t="shared" si="55"/>
        <v>3</v>
      </c>
      <c r="D1772" s="242">
        <v>38.799999999999997</v>
      </c>
      <c r="E1772" s="845">
        <f t="shared" si="56"/>
        <v>3.7777777777777759</v>
      </c>
    </row>
    <row r="1773" spans="2:5">
      <c r="B1773" s="1115">
        <v>45000</v>
      </c>
      <c r="C1773" s="242">
        <f t="shared" si="55"/>
        <v>3</v>
      </c>
      <c r="D1773" s="242">
        <v>38.799999999999997</v>
      </c>
      <c r="E1773" s="845">
        <f t="shared" si="56"/>
        <v>3.7777777777777759</v>
      </c>
    </row>
    <row r="1774" spans="2:5">
      <c r="B1774" s="1115">
        <v>45000</v>
      </c>
      <c r="C1774" s="242">
        <f t="shared" si="55"/>
        <v>3</v>
      </c>
      <c r="D1774" s="242">
        <v>38.700000000000003</v>
      </c>
      <c r="E1774" s="845">
        <f t="shared" si="56"/>
        <v>3.7222222222222237</v>
      </c>
    </row>
    <row r="1775" spans="2:5">
      <c r="B1775" s="1115">
        <v>45000</v>
      </c>
      <c r="C1775" s="242">
        <f t="shared" si="55"/>
        <v>3</v>
      </c>
      <c r="D1775" s="242">
        <v>38.5</v>
      </c>
      <c r="E1775" s="845">
        <f t="shared" si="56"/>
        <v>3.6111111111111112</v>
      </c>
    </row>
    <row r="1776" spans="2:5">
      <c r="B1776" s="1115">
        <v>45000</v>
      </c>
      <c r="C1776" s="242">
        <f t="shared" si="55"/>
        <v>3</v>
      </c>
      <c r="D1776" s="242">
        <v>38.299999999999997</v>
      </c>
      <c r="E1776" s="845">
        <f t="shared" si="56"/>
        <v>3.4999999999999982</v>
      </c>
    </row>
    <row r="1777" spans="2:5">
      <c r="B1777" s="1115">
        <v>45000</v>
      </c>
      <c r="C1777" s="242">
        <f t="shared" si="55"/>
        <v>3</v>
      </c>
      <c r="D1777" s="242">
        <v>38.299999999999997</v>
      </c>
      <c r="E1777" s="845">
        <f t="shared" si="56"/>
        <v>3.4999999999999982</v>
      </c>
    </row>
    <row r="1778" spans="2:5">
      <c r="B1778" s="1115">
        <v>45000</v>
      </c>
      <c r="C1778" s="242">
        <f t="shared" si="55"/>
        <v>3</v>
      </c>
      <c r="D1778" s="242">
        <v>38.299999999999997</v>
      </c>
      <c r="E1778" s="845">
        <f t="shared" si="56"/>
        <v>3.4999999999999982</v>
      </c>
    </row>
    <row r="1779" spans="2:5">
      <c r="B1779" s="1115">
        <v>45000</v>
      </c>
      <c r="C1779" s="242">
        <f t="shared" si="55"/>
        <v>3</v>
      </c>
      <c r="D1779" s="242">
        <v>38.299999999999997</v>
      </c>
      <c r="E1779" s="845">
        <f t="shared" si="56"/>
        <v>3.4999999999999982</v>
      </c>
    </row>
    <row r="1780" spans="2:5">
      <c r="B1780" s="1115">
        <v>45000</v>
      </c>
      <c r="C1780" s="242">
        <f t="shared" si="55"/>
        <v>3</v>
      </c>
      <c r="D1780" s="242">
        <v>38.299999999999997</v>
      </c>
      <c r="E1780" s="845">
        <f t="shared" si="56"/>
        <v>3.4999999999999982</v>
      </c>
    </row>
    <row r="1781" spans="2:5">
      <c r="B1781" s="1115">
        <v>45000</v>
      </c>
      <c r="C1781" s="242">
        <f t="shared" si="55"/>
        <v>3</v>
      </c>
      <c r="D1781" s="242">
        <v>38.299999999999997</v>
      </c>
      <c r="E1781" s="845">
        <f t="shared" si="56"/>
        <v>3.4999999999999982</v>
      </c>
    </row>
    <row r="1782" spans="2:5">
      <c r="B1782" s="1115">
        <v>45000</v>
      </c>
      <c r="C1782" s="242">
        <f t="shared" si="55"/>
        <v>3</v>
      </c>
      <c r="D1782" s="242">
        <v>38.5</v>
      </c>
      <c r="E1782" s="845">
        <f t="shared" si="56"/>
        <v>3.6111111111111112</v>
      </c>
    </row>
    <row r="1783" spans="2:5">
      <c r="B1783" s="1115">
        <v>45000</v>
      </c>
      <c r="C1783" s="242">
        <f t="shared" si="55"/>
        <v>3</v>
      </c>
      <c r="D1783" s="242">
        <v>38.700000000000003</v>
      </c>
      <c r="E1783" s="845">
        <f t="shared" si="56"/>
        <v>3.7222222222222237</v>
      </c>
    </row>
    <row r="1784" spans="2:5">
      <c r="B1784" s="1115">
        <v>45000</v>
      </c>
      <c r="C1784" s="242">
        <f t="shared" si="55"/>
        <v>3</v>
      </c>
      <c r="D1784" s="242">
        <v>38.799999999999997</v>
      </c>
      <c r="E1784" s="845">
        <f t="shared" si="56"/>
        <v>3.7777777777777759</v>
      </c>
    </row>
    <row r="1785" spans="2:5">
      <c r="B1785" s="1115">
        <v>45001</v>
      </c>
      <c r="C1785" s="242">
        <f t="shared" si="55"/>
        <v>3</v>
      </c>
      <c r="D1785" s="242">
        <v>38.799999999999997</v>
      </c>
      <c r="E1785" s="845">
        <f t="shared" si="56"/>
        <v>3.7777777777777759</v>
      </c>
    </row>
    <row r="1786" spans="2:5">
      <c r="B1786" s="1115">
        <v>45001</v>
      </c>
      <c r="C1786" s="242">
        <f t="shared" si="55"/>
        <v>3</v>
      </c>
      <c r="D1786" s="242">
        <v>38.799999999999997</v>
      </c>
      <c r="E1786" s="845">
        <f t="shared" si="56"/>
        <v>3.7777777777777759</v>
      </c>
    </row>
    <row r="1787" spans="2:5">
      <c r="B1787" s="1115">
        <v>45001</v>
      </c>
      <c r="C1787" s="242">
        <f t="shared" si="55"/>
        <v>3</v>
      </c>
      <c r="D1787" s="242">
        <v>38.700000000000003</v>
      </c>
      <c r="E1787" s="845">
        <f t="shared" si="56"/>
        <v>3.7222222222222237</v>
      </c>
    </row>
    <row r="1788" spans="2:5">
      <c r="B1788" s="1115">
        <v>45001</v>
      </c>
      <c r="C1788" s="242">
        <f t="shared" si="55"/>
        <v>3</v>
      </c>
      <c r="D1788" s="242">
        <v>38.5</v>
      </c>
      <c r="E1788" s="845">
        <f t="shared" si="56"/>
        <v>3.6111111111111112</v>
      </c>
    </row>
    <row r="1789" spans="2:5">
      <c r="B1789" s="1115">
        <v>45001</v>
      </c>
      <c r="C1789" s="242">
        <f t="shared" si="55"/>
        <v>3</v>
      </c>
      <c r="D1789" s="242">
        <v>38.299999999999997</v>
      </c>
      <c r="E1789" s="845">
        <f t="shared" si="56"/>
        <v>3.4999999999999982</v>
      </c>
    </row>
    <row r="1790" spans="2:5">
      <c r="B1790" s="1115">
        <v>45001</v>
      </c>
      <c r="C1790" s="242">
        <f t="shared" si="55"/>
        <v>3</v>
      </c>
      <c r="D1790" s="242">
        <v>38.1</v>
      </c>
      <c r="E1790" s="845">
        <f t="shared" si="56"/>
        <v>3.3888888888888897</v>
      </c>
    </row>
    <row r="1791" spans="2:5">
      <c r="B1791" s="1115">
        <v>45001</v>
      </c>
      <c r="C1791" s="242">
        <f t="shared" si="55"/>
        <v>3</v>
      </c>
      <c r="D1791" s="242">
        <v>38.1</v>
      </c>
      <c r="E1791" s="845">
        <f t="shared" si="56"/>
        <v>3.3888888888888897</v>
      </c>
    </row>
    <row r="1792" spans="2:5">
      <c r="B1792" s="1115">
        <v>45001</v>
      </c>
      <c r="C1792" s="242">
        <f t="shared" si="55"/>
        <v>3</v>
      </c>
      <c r="D1792" s="242">
        <v>38.1</v>
      </c>
      <c r="E1792" s="845">
        <f t="shared" si="56"/>
        <v>3.3888888888888897</v>
      </c>
    </row>
    <row r="1793" spans="2:5">
      <c r="B1793" s="1115">
        <v>45001</v>
      </c>
      <c r="C1793" s="242">
        <f t="shared" si="55"/>
        <v>3</v>
      </c>
      <c r="D1793" s="242">
        <v>38.5</v>
      </c>
      <c r="E1793" s="845">
        <f t="shared" si="56"/>
        <v>3.6111111111111112</v>
      </c>
    </row>
    <row r="1794" spans="2:5">
      <c r="B1794" s="1115">
        <v>45001</v>
      </c>
      <c r="C1794" s="242">
        <f t="shared" si="55"/>
        <v>3</v>
      </c>
      <c r="D1794" s="242">
        <v>38.700000000000003</v>
      </c>
      <c r="E1794" s="845">
        <f t="shared" si="56"/>
        <v>3.7222222222222237</v>
      </c>
    </row>
    <row r="1795" spans="2:5">
      <c r="B1795" s="1115">
        <v>45001</v>
      </c>
      <c r="C1795" s="242">
        <f t="shared" si="55"/>
        <v>3</v>
      </c>
      <c r="D1795" s="242">
        <v>38.700000000000003</v>
      </c>
      <c r="E1795" s="845">
        <f t="shared" si="56"/>
        <v>3.7222222222222237</v>
      </c>
    </row>
    <row r="1796" spans="2:5">
      <c r="B1796" s="1115">
        <v>45001</v>
      </c>
      <c r="C1796" s="242">
        <f t="shared" si="55"/>
        <v>3</v>
      </c>
      <c r="D1796" s="242">
        <v>38.799999999999997</v>
      </c>
      <c r="E1796" s="845">
        <f t="shared" si="56"/>
        <v>3.7777777777777759</v>
      </c>
    </row>
    <row r="1797" spans="2:5">
      <c r="B1797" s="1115">
        <v>45001</v>
      </c>
      <c r="C1797" s="242">
        <f t="shared" si="55"/>
        <v>3</v>
      </c>
      <c r="D1797" s="242">
        <v>38.799999999999997</v>
      </c>
      <c r="E1797" s="845">
        <f t="shared" si="56"/>
        <v>3.7777777777777759</v>
      </c>
    </row>
    <row r="1798" spans="2:5">
      <c r="B1798" s="1115">
        <v>45001</v>
      </c>
      <c r="C1798" s="242">
        <f t="shared" si="55"/>
        <v>3</v>
      </c>
      <c r="D1798" s="242">
        <v>38.700000000000003</v>
      </c>
      <c r="E1798" s="845">
        <f t="shared" si="56"/>
        <v>3.7222222222222237</v>
      </c>
    </row>
    <row r="1799" spans="2:5">
      <c r="B1799" s="1115">
        <v>45001</v>
      </c>
      <c r="C1799" s="242">
        <f t="shared" si="55"/>
        <v>3</v>
      </c>
      <c r="D1799" s="242">
        <v>38.700000000000003</v>
      </c>
      <c r="E1799" s="845">
        <f t="shared" si="56"/>
        <v>3.7222222222222237</v>
      </c>
    </row>
    <row r="1800" spans="2:5">
      <c r="B1800" s="1115">
        <v>45001</v>
      </c>
      <c r="C1800" s="242">
        <f t="shared" si="55"/>
        <v>3</v>
      </c>
      <c r="D1800" s="242">
        <v>38.700000000000003</v>
      </c>
      <c r="E1800" s="845">
        <f t="shared" si="56"/>
        <v>3.7222222222222237</v>
      </c>
    </row>
    <row r="1801" spans="2:5">
      <c r="B1801" s="1115">
        <v>45001</v>
      </c>
      <c r="C1801" s="242">
        <f t="shared" si="55"/>
        <v>3</v>
      </c>
      <c r="D1801" s="242">
        <v>38.5</v>
      </c>
      <c r="E1801" s="845">
        <f t="shared" si="56"/>
        <v>3.6111111111111112</v>
      </c>
    </row>
    <row r="1802" spans="2:5">
      <c r="B1802" s="1115">
        <v>45001</v>
      </c>
      <c r="C1802" s="242">
        <f t="shared" ref="C1802:C1865" si="57">MONTH(B1802)</f>
        <v>3</v>
      </c>
      <c r="D1802" s="242">
        <v>38.299999999999997</v>
      </c>
      <c r="E1802" s="845">
        <f t="shared" ref="E1802:E1865" si="58">CONVERT(D1802,"F","C")</f>
        <v>3.4999999999999982</v>
      </c>
    </row>
    <row r="1803" spans="2:5">
      <c r="B1803" s="1115">
        <v>45001</v>
      </c>
      <c r="C1803" s="242">
        <f t="shared" si="57"/>
        <v>3</v>
      </c>
      <c r="D1803" s="242">
        <v>38.299999999999997</v>
      </c>
      <c r="E1803" s="845">
        <f t="shared" si="58"/>
        <v>3.4999999999999982</v>
      </c>
    </row>
    <row r="1804" spans="2:5">
      <c r="B1804" s="1115">
        <v>45001</v>
      </c>
      <c r="C1804" s="242">
        <f t="shared" si="57"/>
        <v>3</v>
      </c>
      <c r="D1804" s="242">
        <v>38.299999999999997</v>
      </c>
      <c r="E1804" s="845">
        <f t="shared" si="58"/>
        <v>3.4999999999999982</v>
      </c>
    </row>
    <row r="1805" spans="2:5">
      <c r="B1805" s="1115">
        <v>45001</v>
      </c>
      <c r="C1805" s="242">
        <f t="shared" si="57"/>
        <v>3</v>
      </c>
      <c r="D1805" s="242">
        <v>38.299999999999997</v>
      </c>
      <c r="E1805" s="845">
        <f t="shared" si="58"/>
        <v>3.4999999999999982</v>
      </c>
    </row>
    <row r="1806" spans="2:5">
      <c r="B1806" s="1115">
        <v>45001</v>
      </c>
      <c r="C1806" s="242">
        <f t="shared" si="57"/>
        <v>3</v>
      </c>
      <c r="D1806" s="242">
        <v>38.5</v>
      </c>
      <c r="E1806" s="845">
        <f t="shared" si="58"/>
        <v>3.6111111111111112</v>
      </c>
    </row>
    <row r="1807" spans="2:5">
      <c r="B1807" s="1115">
        <v>45001</v>
      </c>
      <c r="C1807" s="242">
        <f t="shared" si="57"/>
        <v>3</v>
      </c>
      <c r="D1807" s="242">
        <v>38.799999999999997</v>
      </c>
      <c r="E1807" s="845">
        <f t="shared" si="58"/>
        <v>3.7777777777777759</v>
      </c>
    </row>
    <row r="1808" spans="2:5">
      <c r="B1808" s="1115">
        <v>45001</v>
      </c>
      <c r="C1808" s="242">
        <f t="shared" si="57"/>
        <v>3</v>
      </c>
      <c r="D1808" s="242">
        <v>38.799999999999997</v>
      </c>
      <c r="E1808" s="845">
        <f t="shared" si="58"/>
        <v>3.7777777777777759</v>
      </c>
    </row>
    <row r="1809" spans="2:5">
      <c r="B1809" s="1115">
        <v>45002</v>
      </c>
      <c r="C1809" s="242">
        <f t="shared" si="57"/>
        <v>3</v>
      </c>
      <c r="D1809" s="242" t="s">
        <v>1839</v>
      </c>
      <c r="E1809" s="845">
        <f t="shared" si="58"/>
        <v>3.8888888888888888</v>
      </c>
    </row>
    <row r="1810" spans="2:5">
      <c r="B1810" s="1115">
        <v>45002</v>
      </c>
      <c r="C1810" s="242">
        <f t="shared" si="57"/>
        <v>3</v>
      </c>
      <c r="D1810" s="242" t="s">
        <v>1839</v>
      </c>
      <c r="E1810" s="845">
        <f t="shared" si="58"/>
        <v>3.8888888888888888</v>
      </c>
    </row>
    <row r="1811" spans="2:5">
      <c r="B1811" s="1115">
        <v>45002</v>
      </c>
      <c r="C1811" s="242">
        <f t="shared" si="57"/>
        <v>3</v>
      </c>
      <c r="D1811" s="242">
        <v>38.799999999999997</v>
      </c>
      <c r="E1811" s="845">
        <f t="shared" si="58"/>
        <v>3.7777777777777759</v>
      </c>
    </row>
    <row r="1812" spans="2:5">
      <c r="B1812" s="1115">
        <v>45002</v>
      </c>
      <c r="C1812" s="242">
        <f t="shared" si="57"/>
        <v>3</v>
      </c>
      <c r="D1812" s="242">
        <v>38.799999999999997</v>
      </c>
      <c r="E1812" s="845">
        <f t="shared" si="58"/>
        <v>3.7777777777777759</v>
      </c>
    </row>
    <row r="1813" spans="2:5">
      <c r="B1813" s="1115">
        <v>45002</v>
      </c>
      <c r="C1813" s="242">
        <f t="shared" si="57"/>
        <v>3</v>
      </c>
      <c r="D1813" s="242">
        <v>38.700000000000003</v>
      </c>
      <c r="E1813" s="845">
        <f t="shared" si="58"/>
        <v>3.7222222222222237</v>
      </c>
    </row>
    <row r="1814" spans="2:5">
      <c r="B1814" s="1115">
        <v>45002</v>
      </c>
      <c r="C1814" s="242">
        <f t="shared" si="57"/>
        <v>3</v>
      </c>
      <c r="D1814" s="242">
        <v>38.5</v>
      </c>
      <c r="E1814" s="845">
        <f t="shared" si="58"/>
        <v>3.6111111111111112</v>
      </c>
    </row>
    <row r="1815" spans="2:5">
      <c r="B1815" s="1115">
        <v>45002</v>
      </c>
      <c r="C1815" s="242">
        <f t="shared" si="57"/>
        <v>3</v>
      </c>
      <c r="D1815" s="242">
        <v>38.299999999999997</v>
      </c>
      <c r="E1815" s="845">
        <f t="shared" si="58"/>
        <v>3.4999999999999982</v>
      </c>
    </row>
    <row r="1816" spans="2:5">
      <c r="B1816" s="1115">
        <v>45002</v>
      </c>
      <c r="C1816" s="242">
        <f t="shared" si="57"/>
        <v>3</v>
      </c>
      <c r="D1816" s="242">
        <v>38.1</v>
      </c>
      <c r="E1816" s="845">
        <f t="shared" si="58"/>
        <v>3.3888888888888897</v>
      </c>
    </row>
    <row r="1817" spans="2:5">
      <c r="B1817" s="1115">
        <v>45002</v>
      </c>
      <c r="C1817" s="242">
        <f t="shared" si="57"/>
        <v>3</v>
      </c>
      <c r="D1817" s="242">
        <v>38.299999999999997</v>
      </c>
      <c r="E1817" s="845">
        <f t="shared" si="58"/>
        <v>3.4999999999999982</v>
      </c>
    </row>
    <row r="1818" spans="2:5">
      <c r="B1818" s="1115">
        <v>45002</v>
      </c>
      <c r="C1818" s="242">
        <f t="shared" si="57"/>
        <v>3</v>
      </c>
      <c r="D1818" s="242">
        <v>38.700000000000003</v>
      </c>
      <c r="E1818" s="845">
        <f t="shared" si="58"/>
        <v>3.7222222222222237</v>
      </c>
    </row>
    <row r="1819" spans="2:5">
      <c r="B1819" s="1115">
        <v>45002</v>
      </c>
      <c r="C1819" s="242">
        <f t="shared" si="57"/>
        <v>3</v>
      </c>
      <c r="D1819" s="242">
        <v>38.700000000000003</v>
      </c>
      <c r="E1819" s="845">
        <f t="shared" si="58"/>
        <v>3.7222222222222237</v>
      </c>
    </row>
    <row r="1820" spans="2:5">
      <c r="B1820" s="1115">
        <v>45002</v>
      </c>
      <c r="C1820" s="242">
        <f t="shared" si="57"/>
        <v>3</v>
      </c>
      <c r="D1820" s="242">
        <v>38.799999999999997</v>
      </c>
      <c r="E1820" s="845">
        <f t="shared" si="58"/>
        <v>3.7777777777777759</v>
      </c>
    </row>
    <row r="1821" spans="2:5">
      <c r="B1821" s="1115">
        <v>45002</v>
      </c>
      <c r="C1821" s="242">
        <f t="shared" si="57"/>
        <v>3</v>
      </c>
      <c r="D1821" s="242" t="s">
        <v>1839</v>
      </c>
      <c r="E1821" s="845">
        <f t="shared" si="58"/>
        <v>3.8888888888888888</v>
      </c>
    </row>
    <row r="1822" spans="2:5">
      <c r="B1822" s="1115">
        <v>45002</v>
      </c>
      <c r="C1822" s="242">
        <f t="shared" si="57"/>
        <v>3</v>
      </c>
      <c r="D1822" s="242" t="s">
        <v>1839</v>
      </c>
      <c r="E1822" s="845">
        <f t="shared" si="58"/>
        <v>3.8888888888888888</v>
      </c>
    </row>
    <row r="1823" spans="2:5">
      <c r="B1823" s="1115">
        <v>45002</v>
      </c>
      <c r="C1823" s="242">
        <f t="shared" si="57"/>
        <v>3</v>
      </c>
      <c r="D1823" s="242" t="s">
        <v>1839</v>
      </c>
      <c r="E1823" s="845">
        <f t="shared" si="58"/>
        <v>3.8888888888888888</v>
      </c>
    </row>
    <row r="1824" spans="2:5">
      <c r="B1824" s="1115">
        <v>45002</v>
      </c>
      <c r="C1824" s="242">
        <f t="shared" si="57"/>
        <v>3</v>
      </c>
      <c r="D1824" s="242" t="s">
        <v>1839</v>
      </c>
      <c r="E1824" s="845">
        <f t="shared" si="58"/>
        <v>3.8888888888888888</v>
      </c>
    </row>
    <row r="1825" spans="2:5">
      <c r="B1825" s="1115">
        <v>45002</v>
      </c>
      <c r="C1825" s="242">
        <f t="shared" si="57"/>
        <v>3</v>
      </c>
      <c r="D1825" s="242" t="s">
        <v>1839</v>
      </c>
      <c r="E1825" s="845">
        <f t="shared" si="58"/>
        <v>3.8888888888888888</v>
      </c>
    </row>
    <row r="1826" spans="2:5">
      <c r="B1826" s="1115">
        <v>45002</v>
      </c>
      <c r="C1826" s="242">
        <f t="shared" si="57"/>
        <v>3</v>
      </c>
      <c r="D1826" s="242">
        <v>38.799999999999997</v>
      </c>
      <c r="E1826" s="845">
        <f t="shared" si="58"/>
        <v>3.7777777777777759</v>
      </c>
    </row>
    <row r="1827" spans="2:5">
      <c r="B1827" s="1115">
        <v>45002</v>
      </c>
      <c r="C1827" s="242">
        <f t="shared" si="57"/>
        <v>3</v>
      </c>
      <c r="D1827" s="242">
        <v>38.700000000000003</v>
      </c>
      <c r="E1827" s="845">
        <f t="shared" si="58"/>
        <v>3.7222222222222237</v>
      </c>
    </row>
    <row r="1828" spans="2:5">
      <c r="B1828" s="1115">
        <v>45002</v>
      </c>
      <c r="C1828" s="242">
        <f t="shared" si="57"/>
        <v>3</v>
      </c>
      <c r="D1828" s="242">
        <v>38.5</v>
      </c>
      <c r="E1828" s="845">
        <f t="shared" si="58"/>
        <v>3.6111111111111112</v>
      </c>
    </row>
    <row r="1829" spans="2:5">
      <c r="B1829" s="1115">
        <v>45002</v>
      </c>
      <c r="C1829" s="242">
        <f t="shared" si="57"/>
        <v>3</v>
      </c>
      <c r="D1829" s="242">
        <v>38.5</v>
      </c>
      <c r="E1829" s="845">
        <f t="shared" si="58"/>
        <v>3.6111111111111112</v>
      </c>
    </row>
    <row r="1830" spans="2:5">
      <c r="B1830" s="1115">
        <v>45002</v>
      </c>
      <c r="C1830" s="242">
        <f t="shared" si="57"/>
        <v>3</v>
      </c>
      <c r="D1830" s="242">
        <v>38.5</v>
      </c>
      <c r="E1830" s="845">
        <f t="shared" si="58"/>
        <v>3.6111111111111112</v>
      </c>
    </row>
    <row r="1831" spans="2:5">
      <c r="B1831" s="1115">
        <v>45002</v>
      </c>
      <c r="C1831" s="242">
        <f t="shared" si="57"/>
        <v>3</v>
      </c>
      <c r="D1831" s="242">
        <v>38.799999999999997</v>
      </c>
      <c r="E1831" s="845">
        <f t="shared" si="58"/>
        <v>3.7777777777777759</v>
      </c>
    </row>
    <row r="1832" spans="2:5">
      <c r="B1832" s="1115">
        <v>45002</v>
      </c>
      <c r="C1832" s="242">
        <f t="shared" si="57"/>
        <v>3</v>
      </c>
      <c r="D1832" s="242" t="s">
        <v>1839</v>
      </c>
      <c r="E1832" s="845">
        <f t="shared" si="58"/>
        <v>3.8888888888888888</v>
      </c>
    </row>
    <row r="1833" spans="2:5">
      <c r="B1833" s="1115">
        <v>45003</v>
      </c>
      <c r="C1833" s="242">
        <f t="shared" si="57"/>
        <v>3</v>
      </c>
      <c r="D1833" s="242" t="s">
        <v>1839</v>
      </c>
      <c r="E1833" s="845">
        <f t="shared" si="58"/>
        <v>3.8888888888888888</v>
      </c>
    </row>
    <row r="1834" spans="2:5">
      <c r="B1834" s="1115">
        <v>45003</v>
      </c>
      <c r="C1834" s="242">
        <f t="shared" si="57"/>
        <v>3</v>
      </c>
      <c r="D1834" s="242">
        <v>39.200000000000003</v>
      </c>
      <c r="E1834" s="845">
        <f t="shared" si="58"/>
        <v>4.0000000000000018</v>
      </c>
    </row>
    <row r="1835" spans="2:5">
      <c r="B1835" s="1115">
        <v>45003</v>
      </c>
      <c r="C1835" s="242">
        <f t="shared" si="57"/>
        <v>3</v>
      </c>
      <c r="D1835" s="242">
        <v>39.200000000000003</v>
      </c>
      <c r="E1835" s="845">
        <f t="shared" si="58"/>
        <v>4.0000000000000018</v>
      </c>
    </row>
    <row r="1836" spans="2:5">
      <c r="B1836" s="1115">
        <v>45003</v>
      </c>
      <c r="C1836" s="242">
        <f t="shared" si="57"/>
        <v>3</v>
      </c>
      <c r="D1836" s="242">
        <v>39.200000000000003</v>
      </c>
      <c r="E1836" s="845">
        <f t="shared" si="58"/>
        <v>4.0000000000000018</v>
      </c>
    </row>
    <row r="1837" spans="2:5">
      <c r="B1837" s="1115">
        <v>45003</v>
      </c>
      <c r="C1837" s="242">
        <f t="shared" si="57"/>
        <v>3</v>
      </c>
      <c r="D1837" s="242">
        <v>39.200000000000003</v>
      </c>
      <c r="E1837" s="845">
        <f t="shared" si="58"/>
        <v>4.0000000000000018</v>
      </c>
    </row>
    <row r="1838" spans="2:5">
      <c r="B1838" s="1115">
        <v>45003</v>
      </c>
      <c r="C1838" s="242">
        <f t="shared" si="57"/>
        <v>3</v>
      </c>
      <c r="D1838" s="242" t="s">
        <v>1839</v>
      </c>
      <c r="E1838" s="845">
        <f t="shared" si="58"/>
        <v>3.8888888888888888</v>
      </c>
    </row>
    <row r="1839" spans="2:5">
      <c r="B1839" s="1115">
        <v>45003</v>
      </c>
      <c r="C1839" s="242">
        <f t="shared" si="57"/>
        <v>3</v>
      </c>
      <c r="D1839" s="242">
        <v>38.799999999999997</v>
      </c>
      <c r="E1839" s="845">
        <f t="shared" si="58"/>
        <v>3.7777777777777759</v>
      </c>
    </row>
    <row r="1840" spans="2:5">
      <c r="B1840" s="1115">
        <v>45003</v>
      </c>
      <c r="C1840" s="242">
        <f t="shared" si="57"/>
        <v>3</v>
      </c>
      <c r="D1840" s="242">
        <v>38.700000000000003</v>
      </c>
      <c r="E1840" s="845">
        <f t="shared" si="58"/>
        <v>3.7222222222222237</v>
      </c>
    </row>
    <row r="1841" spans="2:5">
      <c r="B1841" s="1115">
        <v>45003</v>
      </c>
      <c r="C1841" s="242">
        <f t="shared" si="57"/>
        <v>3</v>
      </c>
      <c r="D1841" s="242">
        <v>38.700000000000003</v>
      </c>
      <c r="E1841" s="845">
        <f t="shared" si="58"/>
        <v>3.7222222222222237</v>
      </c>
    </row>
    <row r="1842" spans="2:5">
      <c r="B1842" s="1115">
        <v>45003</v>
      </c>
      <c r="C1842" s="242">
        <f t="shared" si="57"/>
        <v>3</v>
      </c>
      <c r="D1842" s="242">
        <v>38.700000000000003</v>
      </c>
      <c r="E1842" s="845">
        <f t="shared" si="58"/>
        <v>3.7222222222222237</v>
      </c>
    </row>
    <row r="1843" spans="2:5">
      <c r="B1843" s="1115">
        <v>45003</v>
      </c>
      <c r="C1843" s="242">
        <f t="shared" si="57"/>
        <v>3</v>
      </c>
      <c r="D1843" s="242">
        <v>38.799999999999997</v>
      </c>
      <c r="E1843" s="845">
        <f t="shared" si="58"/>
        <v>3.7777777777777759</v>
      </c>
    </row>
    <row r="1844" spans="2:5">
      <c r="B1844" s="1115">
        <v>45003</v>
      </c>
      <c r="C1844" s="242">
        <f t="shared" si="57"/>
        <v>3</v>
      </c>
      <c r="D1844" s="242" t="s">
        <v>1839</v>
      </c>
      <c r="E1844" s="845">
        <f t="shared" si="58"/>
        <v>3.8888888888888888</v>
      </c>
    </row>
    <row r="1845" spans="2:5">
      <c r="B1845" s="1115">
        <v>45003</v>
      </c>
      <c r="C1845" s="242">
        <f t="shared" si="57"/>
        <v>3</v>
      </c>
      <c r="D1845" s="242">
        <v>39.200000000000003</v>
      </c>
      <c r="E1845" s="845">
        <f t="shared" si="58"/>
        <v>4.0000000000000018</v>
      </c>
    </row>
    <row r="1846" spans="2:5">
      <c r="B1846" s="1115">
        <v>45003</v>
      </c>
      <c r="C1846" s="242">
        <f t="shared" si="57"/>
        <v>3</v>
      </c>
      <c r="D1846" s="242">
        <v>39.200000000000003</v>
      </c>
      <c r="E1846" s="845">
        <f t="shared" si="58"/>
        <v>4.0000000000000018</v>
      </c>
    </row>
    <row r="1847" spans="2:5">
      <c r="B1847" s="1115">
        <v>45003</v>
      </c>
      <c r="C1847" s="242">
        <f t="shared" si="57"/>
        <v>3</v>
      </c>
      <c r="D1847" s="242">
        <v>39.200000000000003</v>
      </c>
      <c r="E1847" s="845">
        <f t="shared" si="58"/>
        <v>4.0000000000000018</v>
      </c>
    </row>
    <row r="1848" spans="2:5">
      <c r="B1848" s="1115">
        <v>45003</v>
      </c>
      <c r="C1848" s="242">
        <f t="shared" si="57"/>
        <v>3</v>
      </c>
      <c r="D1848" s="242">
        <v>39.200000000000003</v>
      </c>
      <c r="E1848" s="845">
        <f t="shared" si="58"/>
        <v>4.0000000000000018</v>
      </c>
    </row>
    <row r="1849" spans="2:5">
      <c r="B1849" s="1115">
        <v>45003</v>
      </c>
      <c r="C1849" s="242">
        <f t="shared" si="57"/>
        <v>3</v>
      </c>
      <c r="D1849" s="242">
        <v>39.4</v>
      </c>
      <c r="E1849" s="845">
        <f t="shared" si="58"/>
        <v>4.1111111111111098</v>
      </c>
    </row>
    <row r="1850" spans="2:5">
      <c r="B1850" s="1115">
        <v>45003</v>
      </c>
      <c r="C1850" s="242">
        <f t="shared" si="57"/>
        <v>3</v>
      </c>
      <c r="D1850" s="242">
        <v>39.4</v>
      </c>
      <c r="E1850" s="845">
        <f t="shared" si="58"/>
        <v>4.1111111111111098</v>
      </c>
    </row>
    <row r="1851" spans="2:5">
      <c r="B1851" s="1115">
        <v>45003</v>
      </c>
      <c r="C1851" s="242">
        <f t="shared" si="57"/>
        <v>3</v>
      </c>
      <c r="D1851" s="242">
        <v>39.4</v>
      </c>
      <c r="E1851" s="845">
        <f t="shared" si="58"/>
        <v>4.1111111111111098</v>
      </c>
    </row>
    <row r="1852" spans="2:5">
      <c r="B1852" s="1115">
        <v>45003</v>
      </c>
      <c r="C1852" s="242">
        <f t="shared" si="57"/>
        <v>3</v>
      </c>
      <c r="D1852" s="242">
        <v>39.4</v>
      </c>
      <c r="E1852" s="845">
        <f t="shared" si="58"/>
        <v>4.1111111111111098</v>
      </c>
    </row>
    <row r="1853" spans="2:5">
      <c r="B1853" s="1115">
        <v>45003</v>
      </c>
      <c r="C1853" s="242">
        <f t="shared" si="57"/>
        <v>3</v>
      </c>
      <c r="D1853" s="242">
        <v>39.4</v>
      </c>
      <c r="E1853" s="845">
        <f t="shared" si="58"/>
        <v>4.1111111111111098</v>
      </c>
    </row>
    <row r="1854" spans="2:5">
      <c r="B1854" s="1115">
        <v>45003</v>
      </c>
      <c r="C1854" s="242">
        <f t="shared" si="57"/>
        <v>3</v>
      </c>
      <c r="D1854" s="242">
        <v>39.6</v>
      </c>
      <c r="E1854" s="845">
        <f t="shared" si="58"/>
        <v>4.2222222222222232</v>
      </c>
    </row>
    <row r="1855" spans="2:5">
      <c r="B1855" s="1115">
        <v>45003</v>
      </c>
      <c r="C1855" s="242">
        <f t="shared" si="57"/>
        <v>3</v>
      </c>
      <c r="D1855" s="242">
        <v>39.6</v>
      </c>
      <c r="E1855" s="845">
        <f t="shared" si="58"/>
        <v>4.2222222222222232</v>
      </c>
    </row>
    <row r="1856" spans="2:5">
      <c r="B1856" s="1115">
        <v>45003</v>
      </c>
      <c r="C1856" s="242">
        <f t="shared" si="57"/>
        <v>3</v>
      </c>
      <c r="D1856" s="242">
        <v>39.6</v>
      </c>
      <c r="E1856" s="845">
        <f t="shared" si="58"/>
        <v>4.2222222222222232</v>
      </c>
    </row>
    <row r="1857" spans="2:5">
      <c r="B1857" s="1115">
        <v>45004</v>
      </c>
      <c r="C1857" s="242">
        <f t="shared" si="57"/>
        <v>3</v>
      </c>
      <c r="D1857" s="242">
        <v>39.6</v>
      </c>
      <c r="E1857" s="845">
        <f t="shared" si="58"/>
        <v>4.2222222222222232</v>
      </c>
    </row>
    <row r="1858" spans="2:5">
      <c r="B1858" s="1115">
        <v>45004</v>
      </c>
      <c r="C1858" s="242">
        <f t="shared" si="57"/>
        <v>3</v>
      </c>
      <c r="D1858" s="242">
        <v>39.6</v>
      </c>
      <c r="E1858" s="845">
        <f t="shared" si="58"/>
        <v>4.2222222222222232</v>
      </c>
    </row>
    <row r="1859" spans="2:5">
      <c r="B1859" s="1115">
        <v>45004</v>
      </c>
      <c r="C1859" s="242">
        <f t="shared" si="57"/>
        <v>3</v>
      </c>
      <c r="D1859" s="242">
        <v>39.4</v>
      </c>
      <c r="E1859" s="845">
        <f t="shared" si="58"/>
        <v>4.1111111111111098</v>
      </c>
    </row>
    <row r="1860" spans="2:5">
      <c r="B1860" s="1115">
        <v>45004</v>
      </c>
      <c r="C1860" s="242">
        <f t="shared" si="57"/>
        <v>3</v>
      </c>
      <c r="D1860" s="242">
        <v>39.4</v>
      </c>
      <c r="E1860" s="845">
        <f t="shared" si="58"/>
        <v>4.1111111111111098</v>
      </c>
    </row>
    <row r="1861" spans="2:5">
      <c r="B1861" s="1115">
        <v>45004</v>
      </c>
      <c r="C1861" s="242">
        <f t="shared" si="57"/>
        <v>3</v>
      </c>
      <c r="D1861" s="242">
        <v>39.4</v>
      </c>
      <c r="E1861" s="845">
        <f t="shared" si="58"/>
        <v>4.1111111111111098</v>
      </c>
    </row>
    <row r="1862" spans="2:5">
      <c r="B1862" s="1115">
        <v>45004</v>
      </c>
      <c r="C1862" s="242">
        <f t="shared" si="57"/>
        <v>3</v>
      </c>
      <c r="D1862" s="242">
        <v>39.4</v>
      </c>
      <c r="E1862" s="845">
        <f t="shared" si="58"/>
        <v>4.1111111111111098</v>
      </c>
    </row>
    <row r="1863" spans="2:5">
      <c r="B1863" s="1115">
        <v>45004</v>
      </c>
      <c r="C1863" s="242">
        <f t="shared" si="57"/>
        <v>3</v>
      </c>
      <c r="D1863" s="242">
        <v>39.4</v>
      </c>
      <c r="E1863" s="845">
        <f t="shared" si="58"/>
        <v>4.1111111111111098</v>
      </c>
    </row>
    <row r="1864" spans="2:5">
      <c r="B1864" s="1115">
        <v>45004</v>
      </c>
      <c r="C1864" s="242">
        <f t="shared" si="57"/>
        <v>3</v>
      </c>
      <c r="D1864" s="242">
        <v>39.4</v>
      </c>
      <c r="E1864" s="845">
        <f t="shared" si="58"/>
        <v>4.1111111111111098</v>
      </c>
    </row>
    <row r="1865" spans="2:5">
      <c r="B1865" s="1115">
        <v>45004</v>
      </c>
      <c r="C1865" s="242">
        <f t="shared" si="57"/>
        <v>3</v>
      </c>
      <c r="D1865" s="242">
        <v>39.4</v>
      </c>
      <c r="E1865" s="845">
        <f t="shared" si="58"/>
        <v>4.1111111111111098</v>
      </c>
    </row>
    <row r="1866" spans="2:5">
      <c r="B1866" s="1115">
        <v>45004</v>
      </c>
      <c r="C1866" s="242">
        <f t="shared" ref="C1866:C1929" si="59">MONTH(B1866)</f>
        <v>3</v>
      </c>
      <c r="D1866" s="242">
        <v>39.200000000000003</v>
      </c>
      <c r="E1866" s="845">
        <f t="shared" ref="E1866:E1929" si="60">CONVERT(D1866,"F","C")</f>
        <v>4.0000000000000018</v>
      </c>
    </row>
    <row r="1867" spans="2:5">
      <c r="B1867" s="1115">
        <v>45004</v>
      </c>
      <c r="C1867" s="242">
        <f t="shared" si="59"/>
        <v>3</v>
      </c>
      <c r="D1867" s="242">
        <v>39.200000000000003</v>
      </c>
      <c r="E1867" s="845">
        <f t="shared" si="60"/>
        <v>4.0000000000000018</v>
      </c>
    </row>
    <row r="1868" spans="2:5">
      <c r="B1868" s="1115">
        <v>45004</v>
      </c>
      <c r="C1868" s="242">
        <f t="shared" si="59"/>
        <v>3</v>
      </c>
      <c r="D1868" s="242">
        <v>39.200000000000003</v>
      </c>
      <c r="E1868" s="845">
        <f t="shared" si="60"/>
        <v>4.0000000000000018</v>
      </c>
    </row>
    <row r="1869" spans="2:5">
      <c r="B1869" s="1115">
        <v>45004</v>
      </c>
      <c r="C1869" s="242">
        <f t="shared" si="59"/>
        <v>3</v>
      </c>
      <c r="D1869" s="242">
        <v>39.4</v>
      </c>
      <c r="E1869" s="845">
        <f t="shared" si="60"/>
        <v>4.1111111111111098</v>
      </c>
    </row>
    <row r="1870" spans="2:5">
      <c r="B1870" s="1115">
        <v>45004</v>
      </c>
      <c r="C1870" s="242">
        <f t="shared" si="59"/>
        <v>3</v>
      </c>
      <c r="D1870" s="242">
        <v>39.200000000000003</v>
      </c>
      <c r="E1870" s="845">
        <f t="shared" si="60"/>
        <v>4.0000000000000018</v>
      </c>
    </row>
    <row r="1871" spans="2:5">
      <c r="B1871" s="1115">
        <v>45004</v>
      </c>
      <c r="C1871" s="242">
        <f t="shared" si="59"/>
        <v>3</v>
      </c>
      <c r="D1871" s="242">
        <v>39.200000000000003</v>
      </c>
      <c r="E1871" s="845">
        <f t="shared" si="60"/>
        <v>4.0000000000000018</v>
      </c>
    </row>
    <row r="1872" spans="2:5">
      <c r="B1872" s="1115">
        <v>45004</v>
      </c>
      <c r="C1872" s="242">
        <f t="shared" si="59"/>
        <v>3</v>
      </c>
      <c r="D1872" s="242">
        <v>39.200000000000003</v>
      </c>
      <c r="E1872" s="845">
        <f t="shared" si="60"/>
        <v>4.0000000000000018</v>
      </c>
    </row>
    <row r="1873" spans="2:5">
      <c r="B1873" s="1115">
        <v>45004</v>
      </c>
      <c r="C1873" s="242">
        <f t="shared" si="59"/>
        <v>3</v>
      </c>
      <c r="D1873" s="242">
        <v>39.4</v>
      </c>
      <c r="E1873" s="845">
        <f t="shared" si="60"/>
        <v>4.1111111111111098</v>
      </c>
    </row>
    <row r="1874" spans="2:5">
      <c r="B1874" s="1115">
        <v>45004</v>
      </c>
      <c r="C1874" s="242">
        <f t="shared" si="59"/>
        <v>3</v>
      </c>
      <c r="D1874" s="242">
        <v>39.4</v>
      </c>
      <c r="E1874" s="845">
        <f t="shared" si="60"/>
        <v>4.1111111111111098</v>
      </c>
    </row>
    <row r="1875" spans="2:5">
      <c r="B1875" s="1115">
        <v>45004</v>
      </c>
      <c r="C1875" s="242">
        <f t="shared" si="59"/>
        <v>3</v>
      </c>
      <c r="D1875" s="242">
        <v>39.6</v>
      </c>
      <c r="E1875" s="845">
        <f t="shared" si="60"/>
        <v>4.2222222222222232</v>
      </c>
    </row>
    <row r="1876" spans="2:5">
      <c r="B1876" s="1115">
        <v>45004</v>
      </c>
      <c r="C1876" s="242">
        <f t="shared" si="59"/>
        <v>3</v>
      </c>
      <c r="D1876" s="242">
        <v>39.6</v>
      </c>
      <c r="E1876" s="845">
        <f t="shared" si="60"/>
        <v>4.2222222222222232</v>
      </c>
    </row>
    <row r="1877" spans="2:5">
      <c r="B1877" s="1115">
        <v>45004</v>
      </c>
      <c r="C1877" s="242">
        <f t="shared" si="59"/>
        <v>3</v>
      </c>
      <c r="D1877" s="242">
        <v>39.6</v>
      </c>
      <c r="E1877" s="845">
        <f t="shared" si="60"/>
        <v>4.2222222222222232</v>
      </c>
    </row>
    <row r="1878" spans="2:5">
      <c r="B1878" s="1115">
        <v>45004</v>
      </c>
      <c r="C1878" s="242">
        <f t="shared" si="59"/>
        <v>3</v>
      </c>
      <c r="D1878" s="242">
        <v>39.6</v>
      </c>
      <c r="E1878" s="845">
        <f t="shared" si="60"/>
        <v>4.2222222222222232</v>
      </c>
    </row>
    <row r="1879" spans="2:5">
      <c r="B1879" s="1115">
        <v>45004</v>
      </c>
      <c r="C1879" s="242">
        <f t="shared" si="59"/>
        <v>3</v>
      </c>
      <c r="D1879" s="242">
        <v>39.6</v>
      </c>
      <c r="E1879" s="845">
        <f t="shared" si="60"/>
        <v>4.2222222222222232</v>
      </c>
    </row>
    <row r="1880" spans="2:5">
      <c r="B1880" s="1115">
        <v>45004</v>
      </c>
      <c r="C1880" s="242">
        <f t="shared" si="59"/>
        <v>3</v>
      </c>
      <c r="D1880" s="242">
        <v>39.4</v>
      </c>
      <c r="E1880" s="845">
        <f t="shared" si="60"/>
        <v>4.1111111111111098</v>
      </c>
    </row>
    <row r="1881" spans="2:5">
      <c r="B1881" s="1115">
        <v>45005</v>
      </c>
      <c r="C1881" s="242">
        <f t="shared" si="59"/>
        <v>3</v>
      </c>
      <c r="D1881" s="242">
        <v>39.6</v>
      </c>
      <c r="E1881" s="845">
        <f t="shared" si="60"/>
        <v>4.2222222222222232</v>
      </c>
    </row>
    <row r="1882" spans="2:5">
      <c r="B1882" s="1115">
        <v>45005</v>
      </c>
      <c r="C1882" s="242">
        <f t="shared" si="59"/>
        <v>3</v>
      </c>
      <c r="D1882" s="242">
        <v>39.6</v>
      </c>
      <c r="E1882" s="845">
        <f t="shared" si="60"/>
        <v>4.2222222222222232</v>
      </c>
    </row>
    <row r="1883" spans="2:5">
      <c r="B1883" s="1115">
        <v>45005</v>
      </c>
      <c r="C1883" s="242">
        <f t="shared" si="59"/>
        <v>3</v>
      </c>
      <c r="D1883" s="242">
        <v>39.4</v>
      </c>
      <c r="E1883" s="845">
        <f t="shared" si="60"/>
        <v>4.1111111111111098</v>
      </c>
    </row>
    <row r="1884" spans="2:5">
      <c r="B1884" s="1115">
        <v>45005</v>
      </c>
      <c r="C1884" s="242">
        <f t="shared" si="59"/>
        <v>3</v>
      </c>
      <c r="D1884" s="242">
        <v>39.4</v>
      </c>
      <c r="E1884" s="845">
        <f t="shared" si="60"/>
        <v>4.1111111111111098</v>
      </c>
    </row>
    <row r="1885" spans="2:5">
      <c r="B1885" s="1115">
        <v>45005</v>
      </c>
      <c r="C1885" s="242">
        <f t="shared" si="59"/>
        <v>3</v>
      </c>
      <c r="D1885" s="242">
        <v>39.200000000000003</v>
      </c>
      <c r="E1885" s="845">
        <f t="shared" si="60"/>
        <v>4.0000000000000018</v>
      </c>
    </row>
    <row r="1886" spans="2:5">
      <c r="B1886" s="1115">
        <v>45005</v>
      </c>
      <c r="C1886" s="242">
        <f t="shared" si="59"/>
        <v>3</v>
      </c>
      <c r="D1886" s="242">
        <v>39.200000000000003</v>
      </c>
      <c r="E1886" s="845">
        <f t="shared" si="60"/>
        <v>4.0000000000000018</v>
      </c>
    </row>
    <row r="1887" spans="2:5">
      <c r="B1887" s="1115">
        <v>45005</v>
      </c>
      <c r="C1887" s="242">
        <f t="shared" si="59"/>
        <v>3</v>
      </c>
      <c r="D1887" s="242">
        <v>39.200000000000003</v>
      </c>
      <c r="E1887" s="845">
        <f t="shared" si="60"/>
        <v>4.0000000000000018</v>
      </c>
    </row>
    <row r="1888" spans="2:5">
      <c r="B1888" s="1115">
        <v>45005</v>
      </c>
      <c r="C1888" s="242">
        <f t="shared" si="59"/>
        <v>3</v>
      </c>
      <c r="D1888" s="242" t="s">
        <v>1839</v>
      </c>
      <c r="E1888" s="845">
        <f t="shared" si="60"/>
        <v>3.8888888888888888</v>
      </c>
    </row>
    <row r="1889" spans="2:5">
      <c r="B1889" s="1115">
        <v>45005</v>
      </c>
      <c r="C1889" s="242">
        <f t="shared" si="59"/>
        <v>3</v>
      </c>
      <c r="D1889" s="242" t="s">
        <v>1839</v>
      </c>
      <c r="E1889" s="845">
        <f t="shared" si="60"/>
        <v>3.8888888888888888</v>
      </c>
    </row>
    <row r="1890" spans="2:5">
      <c r="B1890" s="1115">
        <v>45005</v>
      </c>
      <c r="C1890" s="242">
        <f t="shared" si="59"/>
        <v>3</v>
      </c>
      <c r="D1890" s="242">
        <v>38.799999999999997</v>
      </c>
      <c r="E1890" s="845">
        <f t="shared" si="60"/>
        <v>3.7777777777777759</v>
      </c>
    </row>
    <row r="1891" spans="2:5">
      <c r="B1891" s="1115">
        <v>45005</v>
      </c>
      <c r="C1891" s="242">
        <f t="shared" si="59"/>
        <v>3</v>
      </c>
      <c r="D1891" s="242">
        <v>38.799999999999997</v>
      </c>
      <c r="E1891" s="845">
        <f t="shared" si="60"/>
        <v>3.7777777777777759</v>
      </c>
    </row>
    <row r="1892" spans="2:5">
      <c r="B1892" s="1115">
        <v>45005</v>
      </c>
      <c r="C1892" s="242">
        <f t="shared" si="59"/>
        <v>3</v>
      </c>
      <c r="D1892" s="242">
        <v>38.700000000000003</v>
      </c>
      <c r="E1892" s="845">
        <f t="shared" si="60"/>
        <v>3.7222222222222237</v>
      </c>
    </row>
    <row r="1893" spans="2:5">
      <c r="B1893" s="1115">
        <v>45005</v>
      </c>
      <c r="C1893" s="242">
        <f t="shared" si="59"/>
        <v>3</v>
      </c>
      <c r="D1893" s="242">
        <v>38.799999999999997</v>
      </c>
      <c r="E1893" s="845">
        <f t="shared" si="60"/>
        <v>3.7777777777777759</v>
      </c>
    </row>
    <row r="1894" spans="2:5">
      <c r="B1894" s="1115">
        <v>45005</v>
      </c>
      <c r="C1894" s="242">
        <f t="shared" si="59"/>
        <v>3</v>
      </c>
      <c r="D1894" s="242">
        <v>38.799999999999997</v>
      </c>
      <c r="E1894" s="845">
        <f t="shared" si="60"/>
        <v>3.7777777777777759</v>
      </c>
    </row>
    <row r="1895" spans="2:5">
      <c r="B1895" s="1115">
        <v>45005</v>
      </c>
      <c r="C1895" s="242">
        <f t="shared" si="59"/>
        <v>3</v>
      </c>
      <c r="D1895" s="242">
        <v>39.200000000000003</v>
      </c>
      <c r="E1895" s="845">
        <f t="shared" si="60"/>
        <v>4.0000000000000018</v>
      </c>
    </row>
    <row r="1896" spans="2:5">
      <c r="B1896" s="1115">
        <v>45005</v>
      </c>
      <c r="C1896" s="242">
        <f t="shared" si="59"/>
        <v>3</v>
      </c>
      <c r="D1896" s="242">
        <v>39.200000000000003</v>
      </c>
      <c r="E1896" s="845">
        <f t="shared" si="60"/>
        <v>4.0000000000000018</v>
      </c>
    </row>
    <row r="1897" spans="2:5">
      <c r="B1897" s="1115">
        <v>45005</v>
      </c>
      <c r="C1897" s="242">
        <f t="shared" si="59"/>
        <v>3</v>
      </c>
      <c r="D1897" s="242">
        <v>39.4</v>
      </c>
      <c r="E1897" s="845">
        <f t="shared" si="60"/>
        <v>4.1111111111111098</v>
      </c>
    </row>
    <row r="1898" spans="2:5">
      <c r="B1898" s="1115">
        <v>45005</v>
      </c>
      <c r="C1898" s="242">
        <f t="shared" si="59"/>
        <v>3</v>
      </c>
      <c r="D1898" s="242">
        <v>39.6</v>
      </c>
      <c r="E1898" s="845">
        <f t="shared" si="60"/>
        <v>4.2222222222222232</v>
      </c>
    </row>
    <row r="1899" spans="2:5">
      <c r="B1899" s="1115">
        <v>45005</v>
      </c>
      <c r="C1899" s="242">
        <f t="shared" si="59"/>
        <v>3</v>
      </c>
      <c r="D1899" s="242">
        <v>39.6</v>
      </c>
      <c r="E1899" s="845">
        <f t="shared" si="60"/>
        <v>4.2222222222222232</v>
      </c>
    </row>
    <row r="1900" spans="2:5">
      <c r="B1900" s="1115">
        <v>45005</v>
      </c>
      <c r="C1900" s="242">
        <f t="shared" si="59"/>
        <v>3</v>
      </c>
      <c r="D1900" s="242">
        <v>39.6</v>
      </c>
      <c r="E1900" s="845">
        <f t="shared" si="60"/>
        <v>4.2222222222222232</v>
      </c>
    </row>
    <row r="1901" spans="2:5">
      <c r="B1901" s="1115">
        <v>45005</v>
      </c>
      <c r="C1901" s="242">
        <f t="shared" si="59"/>
        <v>3</v>
      </c>
      <c r="D1901" s="242">
        <v>39.700000000000003</v>
      </c>
      <c r="E1901" s="845">
        <f t="shared" si="60"/>
        <v>4.2777777777777795</v>
      </c>
    </row>
    <row r="1902" spans="2:5">
      <c r="B1902" s="1115">
        <v>45005</v>
      </c>
      <c r="C1902" s="242">
        <f t="shared" si="59"/>
        <v>3</v>
      </c>
      <c r="D1902" s="242">
        <v>39.700000000000003</v>
      </c>
      <c r="E1902" s="845">
        <f t="shared" si="60"/>
        <v>4.2777777777777795</v>
      </c>
    </row>
    <row r="1903" spans="2:5">
      <c r="B1903" s="1115">
        <v>45005</v>
      </c>
      <c r="C1903" s="242">
        <f t="shared" si="59"/>
        <v>3</v>
      </c>
      <c r="D1903" s="242">
        <v>39.700000000000003</v>
      </c>
      <c r="E1903" s="845">
        <f t="shared" si="60"/>
        <v>4.2777777777777795</v>
      </c>
    </row>
    <row r="1904" spans="2:5">
      <c r="B1904" s="1115">
        <v>45005</v>
      </c>
      <c r="C1904" s="242">
        <f t="shared" si="59"/>
        <v>3</v>
      </c>
      <c r="D1904" s="242">
        <v>39.6</v>
      </c>
      <c r="E1904" s="845">
        <f t="shared" si="60"/>
        <v>4.2222222222222232</v>
      </c>
    </row>
    <row r="1905" spans="2:5">
      <c r="B1905" s="1115">
        <v>45006</v>
      </c>
      <c r="C1905" s="242">
        <f t="shared" si="59"/>
        <v>3</v>
      </c>
      <c r="D1905" s="242">
        <v>39.6</v>
      </c>
      <c r="E1905" s="845">
        <f t="shared" si="60"/>
        <v>4.2222222222222232</v>
      </c>
    </row>
    <row r="1906" spans="2:5">
      <c r="B1906" s="1115">
        <v>45006</v>
      </c>
      <c r="C1906" s="242">
        <f t="shared" si="59"/>
        <v>3</v>
      </c>
      <c r="D1906" s="242">
        <v>39.700000000000003</v>
      </c>
      <c r="E1906" s="845">
        <f t="shared" si="60"/>
        <v>4.2777777777777795</v>
      </c>
    </row>
    <row r="1907" spans="2:5">
      <c r="B1907" s="1115">
        <v>45006</v>
      </c>
      <c r="C1907" s="242">
        <f t="shared" si="59"/>
        <v>3</v>
      </c>
      <c r="D1907" s="242">
        <v>39.700000000000003</v>
      </c>
      <c r="E1907" s="845">
        <f t="shared" si="60"/>
        <v>4.2777777777777795</v>
      </c>
    </row>
    <row r="1908" spans="2:5">
      <c r="B1908" s="1115">
        <v>45006</v>
      </c>
      <c r="C1908" s="242">
        <f t="shared" si="59"/>
        <v>3</v>
      </c>
      <c r="D1908" s="242">
        <v>39.700000000000003</v>
      </c>
      <c r="E1908" s="845">
        <f t="shared" si="60"/>
        <v>4.2777777777777795</v>
      </c>
    </row>
    <row r="1909" spans="2:5">
      <c r="B1909" s="1115">
        <v>45006</v>
      </c>
      <c r="C1909" s="242">
        <f t="shared" si="59"/>
        <v>3</v>
      </c>
      <c r="D1909" s="242">
        <v>39.700000000000003</v>
      </c>
      <c r="E1909" s="845">
        <f t="shared" si="60"/>
        <v>4.2777777777777795</v>
      </c>
    </row>
    <row r="1910" spans="2:5">
      <c r="B1910" s="1115">
        <v>45006</v>
      </c>
      <c r="C1910" s="242">
        <f t="shared" si="59"/>
        <v>3</v>
      </c>
      <c r="D1910" s="242">
        <v>39.700000000000003</v>
      </c>
      <c r="E1910" s="845">
        <f t="shared" si="60"/>
        <v>4.2777777777777795</v>
      </c>
    </row>
    <row r="1911" spans="2:5">
      <c r="B1911" s="1115">
        <v>45006</v>
      </c>
      <c r="C1911" s="242">
        <f t="shared" si="59"/>
        <v>3</v>
      </c>
      <c r="D1911" s="242">
        <v>39.6</v>
      </c>
      <c r="E1911" s="845">
        <f t="shared" si="60"/>
        <v>4.2222222222222232</v>
      </c>
    </row>
    <row r="1912" spans="2:5">
      <c r="B1912" s="1115">
        <v>45006</v>
      </c>
      <c r="C1912" s="242">
        <f t="shared" si="59"/>
        <v>3</v>
      </c>
      <c r="D1912" s="242">
        <v>39.6</v>
      </c>
      <c r="E1912" s="845">
        <f t="shared" si="60"/>
        <v>4.2222222222222232</v>
      </c>
    </row>
    <row r="1913" spans="2:5">
      <c r="B1913" s="1115">
        <v>45006</v>
      </c>
      <c r="C1913" s="242">
        <f t="shared" si="59"/>
        <v>3</v>
      </c>
      <c r="D1913" s="242">
        <v>39.6</v>
      </c>
      <c r="E1913" s="845">
        <f t="shared" si="60"/>
        <v>4.2222222222222232</v>
      </c>
    </row>
    <row r="1914" spans="2:5">
      <c r="B1914" s="1115">
        <v>45006</v>
      </c>
      <c r="C1914" s="242">
        <f t="shared" si="59"/>
        <v>3</v>
      </c>
      <c r="D1914" s="242">
        <v>39.4</v>
      </c>
      <c r="E1914" s="845">
        <f t="shared" si="60"/>
        <v>4.1111111111111098</v>
      </c>
    </row>
    <row r="1915" spans="2:5">
      <c r="B1915" s="1115">
        <v>45006</v>
      </c>
      <c r="C1915" s="242">
        <f t="shared" si="59"/>
        <v>3</v>
      </c>
      <c r="D1915" s="242">
        <v>39.4</v>
      </c>
      <c r="E1915" s="845">
        <f t="shared" si="60"/>
        <v>4.1111111111111098</v>
      </c>
    </row>
    <row r="1916" spans="2:5">
      <c r="B1916" s="1115">
        <v>45006</v>
      </c>
      <c r="C1916" s="242">
        <f t="shared" si="59"/>
        <v>3</v>
      </c>
      <c r="D1916" s="242">
        <v>39.200000000000003</v>
      </c>
      <c r="E1916" s="845">
        <f t="shared" si="60"/>
        <v>4.0000000000000018</v>
      </c>
    </row>
    <row r="1917" spans="2:5">
      <c r="B1917" s="1115">
        <v>45006</v>
      </c>
      <c r="C1917" s="242">
        <f t="shared" si="59"/>
        <v>3</v>
      </c>
      <c r="D1917" s="242">
        <v>39.200000000000003</v>
      </c>
      <c r="E1917" s="845">
        <f t="shared" si="60"/>
        <v>4.0000000000000018</v>
      </c>
    </row>
    <row r="1918" spans="2:5">
      <c r="B1918" s="1115">
        <v>45006</v>
      </c>
      <c r="C1918" s="242">
        <f t="shared" si="59"/>
        <v>3</v>
      </c>
      <c r="D1918" s="242">
        <v>39.4</v>
      </c>
      <c r="E1918" s="845">
        <f t="shared" si="60"/>
        <v>4.1111111111111098</v>
      </c>
    </row>
    <row r="1919" spans="2:5">
      <c r="B1919" s="1115">
        <v>45006</v>
      </c>
      <c r="C1919" s="242">
        <f t="shared" si="59"/>
        <v>3</v>
      </c>
      <c r="D1919" s="242">
        <v>39.6</v>
      </c>
      <c r="E1919" s="845">
        <f t="shared" si="60"/>
        <v>4.2222222222222232</v>
      </c>
    </row>
    <row r="1920" spans="2:5">
      <c r="B1920" s="1115">
        <v>45006</v>
      </c>
      <c r="C1920" s="242">
        <f t="shared" si="59"/>
        <v>3</v>
      </c>
      <c r="D1920" s="242">
        <v>39.6</v>
      </c>
      <c r="E1920" s="845">
        <f t="shared" si="60"/>
        <v>4.2222222222222232</v>
      </c>
    </row>
    <row r="1921" spans="2:5">
      <c r="B1921" s="1115">
        <v>45006</v>
      </c>
      <c r="C1921" s="242">
        <f t="shared" si="59"/>
        <v>3</v>
      </c>
      <c r="D1921" s="242">
        <v>39.700000000000003</v>
      </c>
      <c r="E1921" s="845">
        <f t="shared" si="60"/>
        <v>4.2777777777777795</v>
      </c>
    </row>
    <row r="1922" spans="2:5">
      <c r="B1922" s="1115">
        <v>45006</v>
      </c>
      <c r="C1922" s="242">
        <f t="shared" si="59"/>
        <v>3</v>
      </c>
      <c r="D1922" s="242">
        <v>39.700000000000003</v>
      </c>
      <c r="E1922" s="845">
        <f t="shared" si="60"/>
        <v>4.2777777777777795</v>
      </c>
    </row>
    <row r="1923" spans="2:5">
      <c r="B1923" s="1115">
        <v>45006</v>
      </c>
      <c r="C1923" s="242">
        <f t="shared" si="59"/>
        <v>3</v>
      </c>
      <c r="D1923" s="242">
        <v>40.1</v>
      </c>
      <c r="E1923" s="845">
        <f t="shared" si="60"/>
        <v>4.5000000000000009</v>
      </c>
    </row>
    <row r="1924" spans="2:5">
      <c r="B1924" s="1115">
        <v>45006</v>
      </c>
      <c r="C1924" s="242">
        <f t="shared" si="59"/>
        <v>3</v>
      </c>
      <c r="D1924" s="242">
        <v>40.1</v>
      </c>
      <c r="E1924" s="845">
        <f t="shared" si="60"/>
        <v>4.5000000000000009</v>
      </c>
    </row>
    <row r="1925" spans="2:5">
      <c r="B1925" s="1115">
        <v>45006</v>
      </c>
      <c r="C1925" s="242">
        <f t="shared" si="59"/>
        <v>3</v>
      </c>
      <c r="D1925" s="242">
        <v>40.1</v>
      </c>
      <c r="E1925" s="845">
        <f t="shared" si="60"/>
        <v>4.5000000000000009</v>
      </c>
    </row>
    <row r="1926" spans="2:5">
      <c r="B1926" s="1115">
        <v>45006</v>
      </c>
      <c r="C1926" s="242">
        <f t="shared" si="59"/>
        <v>3</v>
      </c>
      <c r="D1926" s="242">
        <v>40.299999999999997</v>
      </c>
      <c r="E1926" s="845">
        <f t="shared" si="60"/>
        <v>4.6111111111111098</v>
      </c>
    </row>
    <row r="1927" spans="2:5">
      <c r="B1927" s="1115">
        <v>45006</v>
      </c>
      <c r="C1927" s="242">
        <f t="shared" si="59"/>
        <v>3</v>
      </c>
      <c r="D1927" s="242">
        <v>40.299999999999997</v>
      </c>
      <c r="E1927" s="845">
        <f t="shared" si="60"/>
        <v>4.6111111111111098</v>
      </c>
    </row>
    <row r="1928" spans="2:5">
      <c r="B1928" s="1115">
        <v>45006</v>
      </c>
      <c r="C1928" s="242">
        <f t="shared" si="59"/>
        <v>3</v>
      </c>
      <c r="D1928" s="242">
        <v>40.299999999999997</v>
      </c>
      <c r="E1928" s="845">
        <f t="shared" si="60"/>
        <v>4.6111111111111098</v>
      </c>
    </row>
    <row r="1929" spans="2:5">
      <c r="B1929" s="1115">
        <v>45007</v>
      </c>
      <c r="C1929" s="242">
        <f t="shared" si="59"/>
        <v>3</v>
      </c>
      <c r="D1929" s="242">
        <v>40.299999999999997</v>
      </c>
      <c r="E1929" s="845">
        <f t="shared" si="60"/>
        <v>4.6111111111111098</v>
      </c>
    </row>
    <row r="1930" spans="2:5">
      <c r="B1930" s="1115">
        <v>45007</v>
      </c>
      <c r="C1930" s="242">
        <f t="shared" ref="C1930:C1993" si="61">MONTH(B1930)</f>
        <v>3</v>
      </c>
      <c r="D1930" s="242">
        <v>40.299999999999997</v>
      </c>
      <c r="E1930" s="845">
        <f t="shared" ref="E1930:E1993" si="62">CONVERT(D1930,"F","C")</f>
        <v>4.6111111111111098</v>
      </c>
    </row>
    <row r="1931" spans="2:5">
      <c r="B1931" s="1115">
        <v>45007</v>
      </c>
      <c r="C1931" s="242">
        <f t="shared" si="61"/>
        <v>3</v>
      </c>
      <c r="D1931" s="242">
        <v>40.299999999999997</v>
      </c>
      <c r="E1931" s="845">
        <f t="shared" si="62"/>
        <v>4.6111111111111098</v>
      </c>
    </row>
    <row r="1932" spans="2:5">
      <c r="B1932" s="1115">
        <v>45007</v>
      </c>
      <c r="C1932" s="242">
        <f t="shared" si="61"/>
        <v>3</v>
      </c>
      <c r="D1932" s="242">
        <v>40.299999999999997</v>
      </c>
      <c r="E1932" s="845">
        <f t="shared" si="62"/>
        <v>4.6111111111111098</v>
      </c>
    </row>
    <row r="1933" spans="2:5">
      <c r="B1933" s="1115">
        <v>45007</v>
      </c>
      <c r="C1933" s="242">
        <f t="shared" si="61"/>
        <v>3</v>
      </c>
      <c r="D1933" s="242">
        <v>40.1</v>
      </c>
      <c r="E1933" s="845">
        <f t="shared" si="62"/>
        <v>4.5000000000000009</v>
      </c>
    </row>
    <row r="1934" spans="2:5">
      <c r="B1934" s="1115">
        <v>45007</v>
      </c>
      <c r="C1934" s="242">
        <f t="shared" si="61"/>
        <v>3</v>
      </c>
      <c r="D1934" s="242">
        <v>40.1</v>
      </c>
      <c r="E1934" s="845">
        <f t="shared" si="62"/>
        <v>4.5000000000000009</v>
      </c>
    </row>
    <row r="1935" spans="2:5">
      <c r="B1935" s="1115">
        <v>45007</v>
      </c>
      <c r="C1935" s="242">
        <f t="shared" si="61"/>
        <v>3</v>
      </c>
      <c r="D1935" s="242">
        <v>39.9</v>
      </c>
      <c r="E1935" s="845">
        <f t="shared" si="62"/>
        <v>4.3888888888888884</v>
      </c>
    </row>
    <row r="1936" spans="2:5">
      <c r="B1936" s="1115">
        <v>45007</v>
      </c>
      <c r="C1936" s="242">
        <f t="shared" si="61"/>
        <v>3</v>
      </c>
      <c r="D1936" s="242">
        <v>39.9</v>
      </c>
      <c r="E1936" s="845">
        <f t="shared" si="62"/>
        <v>4.3888888888888884</v>
      </c>
    </row>
    <row r="1937" spans="2:5">
      <c r="B1937" s="1115">
        <v>45007</v>
      </c>
      <c r="C1937" s="242">
        <f t="shared" si="61"/>
        <v>3</v>
      </c>
      <c r="D1937" s="242">
        <v>40.1</v>
      </c>
      <c r="E1937" s="845">
        <f t="shared" si="62"/>
        <v>4.5000000000000009</v>
      </c>
    </row>
    <row r="1938" spans="2:5">
      <c r="B1938" s="1115">
        <v>45007</v>
      </c>
      <c r="C1938" s="242">
        <f t="shared" si="61"/>
        <v>3</v>
      </c>
      <c r="D1938" s="242">
        <v>40.1</v>
      </c>
      <c r="E1938" s="845">
        <f t="shared" si="62"/>
        <v>4.5000000000000009</v>
      </c>
    </row>
    <row r="1939" spans="2:5">
      <c r="B1939" s="1115">
        <v>45007</v>
      </c>
      <c r="C1939" s="242">
        <f t="shared" si="61"/>
        <v>3</v>
      </c>
      <c r="D1939" s="242">
        <v>40.1</v>
      </c>
      <c r="E1939" s="845">
        <f t="shared" si="62"/>
        <v>4.5000000000000009</v>
      </c>
    </row>
    <row r="1940" spans="2:5">
      <c r="B1940" s="1115">
        <v>45007</v>
      </c>
      <c r="C1940" s="242">
        <f t="shared" si="61"/>
        <v>3</v>
      </c>
      <c r="D1940" s="242">
        <v>40.1</v>
      </c>
      <c r="E1940" s="845">
        <f t="shared" si="62"/>
        <v>4.5000000000000009</v>
      </c>
    </row>
    <row r="1941" spans="2:5">
      <c r="B1941" s="1115">
        <v>45007</v>
      </c>
      <c r="C1941" s="242">
        <f t="shared" si="61"/>
        <v>3</v>
      </c>
      <c r="D1941" s="242">
        <v>40.1</v>
      </c>
      <c r="E1941" s="845">
        <f t="shared" si="62"/>
        <v>4.5000000000000009</v>
      </c>
    </row>
    <row r="1942" spans="2:5">
      <c r="B1942" s="1115">
        <v>45007</v>
      </c>
      <c r="C1942" s="242">
        <f t="shared" si="61"/>
        <v>3</v>
      </c>
      <c r="D1942" s="242">
        <v>40.1</v>
      </c>
      <c r="E1942" s="845">
        <f t="shared" si="62"/>
        <v>4.5000000000000009</v>
      </c>
    </row>
    <row r="1943" spans="2:5">
      <c r="B1943" s="1115">
        <v>45007</v>
      </c>
      <c r="C1943" s="242">
        <f t="shared" si="61"/>
        <v>3</v>
      </c>
      <c r="D1943" s="242">
        <v>40.1</v>
      </c>
      <c r="E1943" s="845">
        <f t="shared" si="62"/>
        <v>4.5000000000000009</v>
      </c>
    </row>
    <row r="1944" spans="2:5">
      <c r="B1944" s="1115">
        <v>45007</v>
      </c>
      <c r="C1944" s="242">
        <f t="shared" si="61"/>
        <v>3</v>
      </c>
      <c r="D1944" s="242">
        <v>40.1</v>
      </c>
      <c r="E1944" s="845">
        <f t="shared" si="62"/>
        <v>4.5000000000000009</v>
      </c>
    </row>
    <row r="1945" spans="2:5">
      <c r="B1945" s="1115">
        <v>45007</v>
      </c>
      <c r="C1945" s="242">
        <f t="shared" si="61"/>
        <v>3</v>
      </c>
      <c r="D1945" s="242">
        <v>39.9</v>
      </c>
      <c r="E1945" s="845">
        <f t="shared" si="62"/>
        <v>4.3888888888888884</v>
      </c>
    </row>
    <row r="1946" spans="2:5">
      <c r="B1946" s="1115">
        <v>45007</v>
      </c>
      <c r="C1946" s="242">
        <f t="shared" si="61"/>
        <v>3</v>
      </c>
      <c r="D1946" s="242">
        <v>39.9</v>
      </c>
      <c r="E1946" s="845">
        <f t="shared" si="62"/>
        <v>4.3888888888888884</v>
      </c>
    </row>
    <row r="1947" spans="2:5">
      <c r="B1947" s="1115">
        <v>45007</v>
      </c>
      <c r="C1947" s="242">
        <f t="shared" si="61"/>
        <v>3</v>
      </c>
      <c r="D1947" s="242">
        <v>40.299999999999997</v>
      </c>
      <c r="E1947" s="845">
        <f t="shared" si="62"/>
        <v>4.6111111111111098</v>
      </c>
    </row>
    <row r="1948" spans="2:5">
      <c r="B1948" s="1115">
        <v>45007</v>
      </c>
      <c r="C1948" s="242">
        <f t="shared" si="61"/>
        <v>3</v>
      </c>
      <c r="D1948" s="242">
        <v>40.6</v>
      </c>
      <c r="E1948" s="845">
        <f t="shared" si="62"/>
        <v>4.7777777777777786</v>
      </c>
    </row>
    <row r="1949" spans="2:5">
      <c r="B1949" s="1115">
        <v>45007</v>
      </c>
      <c r="C1949" s="242">
        <f t="shared" si="61"/>
        <v>3</v>
      </c>
      <c r="D1949" s="242">
        <v>40.5</v>
      </c>
      <c r="E1949" s="845">
        <f t="shared" si="62"/>
        <v>4.7222222222222223</v>
      </c>
    </row>
    <row r="1950" spans="2:5">
      <c r="B1950" s="1115">
        <v>45007</v>
      </c>
      <c r="C1950" s="242">
        <f t="shared" si="61"/>
        <v>3</v>
      </c>
      <c r="D1950" s="242">
        <v>40.6</v>
      </c>
      <c r="E1950" s="845">
        <f t="shared" si="62"/>
        <v>4.7777777777777786</v>
      </c>
    </row>
    <row r="1951" spans="2:5">
      <c r="B1951" s="1115">
        <v>45007</v>
      </c>
      <c r="C1951" s="242">
        <f t="shared" si="61"/>
        <v>3</v>
      </c>
      <c r="D1951" s="242">
        <v>40.799999999999997</v>
      </c>
      <c r="E1951" s="845">
        <f t="shared" si="62"/>
        <v>4.8888888888888875</v>
      </c>
    </row>
    <row r="1952" spans="2:5">
      <c r="B1952" s="1115">
        <v>45007</v>
      </c>
      <c r="C1952" s="242">
        <f t="shared" si="61"/>
        <v>3</v>
      </c>
      <c r="D1952" s="242" t="s">
        <v>1837</v>
      </c>
      <c r="E1952" s="845">
        <f t="shared" si="62"/>
        <v>5</v>
      </c>
    </row>
    <row r="1953" spans="2:5">
      <c r="B1953" s="1115">
        <v>45008</v>
      </c>
      <c r="C1953" s="242">
        <f t="shared" si="61"/>
        <v>3</v>
      </c>
      <c r="D1953" s="242">
        <v>41.2</v>
      </c>
      <c r="E1953" s="845">
        <f t="shared" si="62"/>
        <v>5.1111111111111125</v>
      </c>
    </row>
    <row r="1954" spans="2:5">
      <c r="B1954" s="1115">
        <v>45008</v>
      </c>
      <c r="C1954" s="242">
        <f t="shared" si="61"/>
        <v>3</v>
      </c>
      <c r="D1954" s="242">
        <v>41.2</v>
      </c>
      <c r="E1954" s="845">
        <f t="shared" si="62"/>
        <v>5.1111111111111125</v>
      </c>
    </row>
    <row r="1955" spans="2:5">
      <c r="B1955" s="1115">
        <v>45008</v>
      </c>
      <c r="C1955" s="242">
        <f t="shared" si="61"/>
        <v>3</v>
      </c>
      <c r="D1955" s="242" t="s">
        <v>1837</v>
      </c>
      <c r="E1955" s="845">
        <f t="shared" si="62"/>
        <v>5</v>
      </c>
    </row>
    <row r="1956" spans="2:5">
      <c r="B1956" s="1115">
        <v>45008</v>
      </c>
      <c r="C1956" s="242">
        <f t="shared" si="61"/>
        <v>3</v>
      </c>
      <c r="D1956" s="242">
        <v>40.799999999999997</v>
      </c>
      <c r="E1956" s="845">
        <f t="shared" si="62"/>
        <v>4.8888888888888875</v>
      </c>
    </row>
    <row r="1957" spans="2:5">
      <c r="B1957" s="1115">
        <v>45008</v>
      </c>
      <c r="C1957" s="242">
        <f t="shared" si="61"/>
        <v>3</v>
      </c>
      <c r="D1957" s="242">
        <v>40.6</v>
      </c>
      <c r="E1957" s="845">
        <f t="shared" si="62"/>
        <v>4.7777777777777786</v>
      </c>
    </row>
    <row r="1958" spans="2:5">
      <c r="B1958" s="1115">
        <v>45008</v>
      </c>
      <c r="C1958" s="242">
        <f t="shared" si="61"/>
        <v>3</v>
      </c>
      <c r="D1958" s="242">
        <v>40.5</v>
      </c>
      <c r="E1958" s="845">
        <f t="shared" si="62"/>
        <v>4.7222222222222223</v>
      </c>
    </row>
    <row r="1959" spans="2:5">
      <c r="B1959" s="1115">
        <v>45008</v>
      </c>
      <c r="C1959" s="242">
        <f t="shared" si="61"/>
        <v>3</v>
      </c>
      <c r="D1959" s="242">
        <v>40.5</v>
      </c>
      <c r="E1959" s="845">
        <f t="shared" si="62"/>
        <v>4.7222222222222223</v>
      </c>
    </row>
    <row r="1960" spans="2:5">
      <c r="B1960" s="1115">
        <v>45008</v>
      </c>
      <c r="C1960" s="242">
        <f t="shared" si="61"/>
        <v>3</v>
      </c>
      <c r="D1960" s="242">
        <v>40.299999999999997</v>
      </c>
      <c r="E1960" s="845">
        <f t="shared" si="62"/>
        <v>4.6111111111111098</v>
      </c>
    </row>
    <row r="1961" spans="2:5">
      <c r="B1961" s="1115">
        <v>45008</v>
      </c>
      <c r="C1961" s="242">
        <f t="shared" si="61"/>
        <v>3</v>
      </c>
      <c r="D1961" s="242">
        <v>40.5</v>
      </c>
      <c r="E1961" s="845">
        <f t="shared" si="62"/>
        <v>4.7222222222222223</v>
      </c>
    </row>
    <row r="1962" spans="2:5">
      <c r="B1962" s="1115">
        <v>45008</v>
      </c>
      <c r="C1962" s="242">
        <f t="shared" si="61"/>
        <v>3</v>
      </c>
      <c r="D1962" s="242">
        <v>40.5</v>
      </c>
      <c r="E1962" s="845">
        <f t="shared" si="62"/>
        <v>4.7222222222222223</v>
      </c>
    </row>
    <row r="1963" spans="2:5">
      <c r="B1963" s="1115">
        <v>45008</v>
      </c>
      <c r="C1963" s="242">
        <f t="shared" si="61"/>
        <v>3</v>
      </c>
      <c r="D1963" s="242">
        <v>40.799999999999997</v>
      </c>
      <c r="E1963" s="845">
        <f t="shared" si="62"/>
        <v>4.8888888888888875</v>
      </c>
    </row>
    <row r="1964" spans="2:5">
      <c r="B1964" s="1115">
        <v>45008</v>
      </c>
      <c r="C1964" s="242">
        <f t="shared" si="61"/>
        <v>3</v>
      </c>
      <c r="D1964" s="242">
        <v>40.799999999999997</v>
      </c>
      <c r="E1964" s="845">
        <f t="shared" si="62"/>
        <v>4.8888888888888875</v>
      </c>
    </row>
    <row r="1965" spans="2:5">
      <c r="B1965" s="1115">
        <v>45008</v>
      </c>
      <c r="C1965" s="242">
        <f t="shared" si="61"/>
        <v>3</v>
      </c>
      <c r="D1965" s="242" t="s">
        <v>1837</v>
      </c>
      <c r="E1965" s="845">
        <f t="shared" si="62"/>
        <v>5</v>
      </c>
    </row>
    <row r="1966" spans="2:5">
      <c r="B1966" s="1115">
        <v>45008</v>
      </c>
      <c r="C1966" s="242">
        <f t="shared" si="61"/>
        <v>3</v>
      </c>
      <c r="D1966" s="242">
        <v>41.2</v>
      </c>
      <c r="E1966" s="845">
        <f t="shared" si="62"/>
        <v>5.1111111111111125</v>
      </c>
    </row>
    <row r="1967" spans="2:5">
      <c r="B1967" s="1115">
        <v>45008</v>
      </c>
      <c r="C1967" s="242">
        <f t="shared" si="61"/>
        <v>3</v>
      </c>
      <c r="D1967" s="242" t="s">
        <v>1837</v>
      </c>
      <c r="E1967" s="845">
        <f t="shared" si="62"/>
        <v>5</v>
      </c>
    </row>
    <row r="1968" spans="2:5">
      <c r="B1968" s="1115">
        <v>45008</v>
      </c>
      <c r="C1968" s="242">
        <f t="shared" si="61"/>
        <v>3</v>
      </c>
      <c r="D1968" s="242" t="s">
        <v>1837</v>
      </c>
      <c r="E1968" s="845">
        <f t="shared" si="62"/>
        <v>5</v>
      </c>
    </row>
    <row r="1969" spans="2:5">
      <c r="B1969" s="1115">
        <v>45008</v>
      </c>
      <c r="C1969" s="242">
        <f t="shared" si="61"/>
        <v>3</v>
      </c>
      <c r="D1969" s="242">
        <v>40.6</v>
      </c>
      <c r="E1969" s="845">
        <f t="shared" si="62"/>
        <v>4.7777777777777786</v>
      </c>
    </row>
    <row r="1970" spans="2:5">
      <c r="B1970" s="1115">
        <v>45008</v>
      </c>
      <c r="C1970" s="242">
        <f t="shared" si="61"/>
        <v>3</v>
      </c>
      <c r="D1970" s="242">
        <v>40.5</v>
      </c>
      <c r="E1970" s="845">
        <f t="shared" si="62"/>
        <v>4.7222222222222223</v>
      </c>
    </row>
    <row r="1971" spans="2:5">
      <c r="B1971" s="1115">
        <v>45008</v>
      </c>
      <c r="C1971" s="242">
        <f t="shared" si="61"/>
        <v>3</v>
      </c>
      <c r="D1971" s="242">
        <v>40.5</v>
      </c>
      <c r="E1971" s="845">
        <f t="shared" si="62"/>
        <v>4.7222222222222223</v>
      </c>
    </row>
    <row r="1972" spans="2:5">
      <c r="B1972" s="1115">
        <v>45008</v>
      </c>
      <c r="C1972" s="242">
        <f t="shared" si="61"/>
        <v>3</v>
      </c>
      <c r="D1972" s="242">
        <v>40.5</v>
      </c>
      <c r="E1972" s="845">
        <f t="shared" si="62"/>
        <v>4.7222222222222223</v>
      </c>
    </row>
    <row r="1973" spans="2:5">
      <c r="B1973" s="1115">
        <v>45008</v>
      </c>
      <c r="C1973" s="242">
        <f t="shared" si="61"/>
        <v>3</v>
      </c>
      <c r="D1973" s="242">
        <v>40.5</v>
      </c>
      <c r="E1973" s="845">
        <f t="shared" si="62"/>
        <v>4.7222222222222223</v>
      </c>
    </row>
    <row r="1974" spans="2:5">
      <c r="B1974" s="1115">
        <v>45008</v>
      </c>
      <c r="C1974" s="242">
        <f t="shared" si="61"/>
        <v>3</v>
      </c>
      <c r="D1974" s="242">
        <v>40.6</v>
      </c>
      <c r="E1974" s="845">
        <f t="shared" si="62"/>
        <v>4.7777777777777786</v>
      </c>
    </row>
    <row r="1975" spans="2:5">
      <c r="B1975" s="1115">
        <v>45008</v>
      </c>
      <c r="C1975" s="242">
        <f t="shared" si="61"/>
        <v>3</v>
      </c>
      <c r="D1975" s="242">
        <v>40.799999999999997</v>
      </c>
      <c r="E1975" s="845">
        <f t="shared" si="62"/>
        <v>4.8888888888888875</v>
      </c>
    </row>
    <row r="1976" spans="2:5">
      <c r="B1976" s="1115">
        <v>45008</v>
      </c>
      <c r="C1976" s="242">
        <f t="shared" si="61"/>
        <v>3</v>
      </c>
      <c r="D1976" s="242" t="s">
        <v>1837</v>
      </c>
      <c r="E1976" s="845">
        <f t="shared" si="62"/>
        <v>5</v>
      </c>
    </row>
    <row r="1977" spans="2:5">
      <c r="B1977" s="1115">
        <v>45009</v>
      </c>
      <c r="C1977" s="242">
        <f t="shared" si="61"/>
        <v>3</v>
      </c>
      <c r="D1977" s="242">
        <v>41.2</v>
      </c>
      <c r="E1977" s="845">
        <f t="shared" si="62"/>
        <v>5.1111111111111125</v>
      </c>
    </row>
    <row r="1978" spans="2:5">
      <c r="B1978" s="1115">
        <v>45009</v>
      </c>
      <c r="C1978" s="242">
        <f t="shared" si="61"/>
        <v>3</v>
      </c>
      <c r="D1978" s="242">
        <v>41.4</v>
      </c>
      <c r="E1978" s="845">
        <f t="shared" si="62"/>
        <v>5.2222222222222214</v>
      </c>
    </row>
    <row r="1979" spans="2:5">
      <c r="B1979" s="1115">
        <v>45009</v>
      </c>
      <c r="C1979" s="242">
        <f t="shared" si="61"/>
        <v>3</v>
      </c>
      <c r="D1979" s="242">
        <v>41.4</v>
      </c>
      <c r="E1979" s="845">
        <f t="shared" si="62"/>
        <v>5.2222222222222214</v>
      </c>
    </row>
    <row r="1980" spans="2:5">
      <c r="B1980" s="1115">
        <v>45009</v>
      </c>
      <c r="C1980" s="242">
        <f t="shared" si="61"/>
        <v>3</v>
      </c>
      <c r="D1980" s="242">
        <v>41.2</v>
      </c>
      <c r="E1980" s="845">
        <f t="shared" si="62"/>
        <v>5.1111111111111125</v>
      </c>
    </row>
    <row r="1981" spans="2:5">
      <c r="B1981" s="1115">
        <v>45009</v>
      </c>
      <c r="C1981" s="242">
        <f t="shared" si="61"/>
        <v>3</v>
      </c>
      <c r="D1981" s="242" t="s">
        <v>1837</v>
      </c>
      <c r="E1981" s="845">
        <f t="shared" si="62"/>
        <v>5</v>
      </c>
    </row>
    <row r="1982" spans="2:5">
      <c r="B1982" s="1115">
        <v>45009</v>
      </c>
      <c r="C1982" s="242">
        <f t="shared" si="61"/>
        <v>3</v>
      </c>
      <c r="D1982" s="242">
        <v>40.6</v>
      </c>
      <c r="E1982" s="845">
        <f t="shared" si="62"/>
        <v>4.7777777777777786</v>
      </c>
    </row>
    <row r="1983" spans="2:5">
      <c r="B1983" s="1115">
        <v>45009</v>
      </c>
      <c r="C1983" s="242">
        <f t="shared" si="61"/>
        <v>3</v>
      </c>
      <c r="D1983" s="242">
        <v>40.5</v>
      </c>
      <c r="E1983" s="845">
        <f t="shared" si="62"/>
        <v>4.7222222222222223</v>
      </c>
    </row>
    <row r="1984" spans="2:5">
      <c r="B1984" s="1115">
        <v>45009</v>
      </c>
      <c r="C1984" s="242">
        <f t="shared" si="61"/>
        <v>3</v>
      </c>
      <c r="D1984" s="242">
        <v>40.5</v>
      </c>
      <c r="E1984" s="845">
        <f t="shared" si="62"/>
        <v>4.7222222222222223</v>
      </c>
    </row>
    <row r="1985" spans="2:5">
      <c r="B1985" s="1115">
        <v>45009</v>
      </c>
      <c r="C1985" s="242">
        <f t="shared" si="61"/>
        <v>3</v>
      </c>
      <c r="D1985" s="242">
        <v>40.5</v>
      </c>
      <c r="E1985" s="845">
        <f t="shared" si="62"/>
        <v>4.7222222222222223</v>
      </c>
    </row>
    <row r="1986" spans="2:5">
      <c r="B1986" s="1115">
        <v>45009</v>
      </c>
      <c r="C1986" s="242">
        <f t="shared" si="61"/>
        <v>3</v>
      </c>
      <c r="D1986" s="242">
        <v>40.5</v>
      </c>
      <c r="E1986" s="845">
        <f t="shared" si="62"/>
        <v>4.7222222222222223</v>
      </c>
    </row>
    <row r="1987" spans="2:5">
      <c r="B1987" s="1115">
        <v>45009</v>
      </c>
      <c r="C1987" s="242">
        <f t="shared" si="61"/>
        <v>3</v>
      </c>
      <c r="D1987" s="242">
        <v>40.6</v>
      </c>
      <c r="E1987" s="845">
        <f t="shared" si="62"/>
        <v>4.7777777777777786</v>
      </c>
    </row>
    <row r="1988" spans="2:5">
      <c r="B1988" s="1115">
        <v>45009</v>
      </c>
      <c r="C1988" s="242">
        <f t="shared" si="61"/>
        <v>3</v>
      </c>
      <c r="D1988" s="242">
        <v>40.799999999999997</v>
      </c>
      <c r="E1988" s="845">
        <f t="shared" si="62"/>
        <v>4.8888888888888875</v>
      </c>
    </row>
    <row r="1989" spans="2:5">
      <c r="B1989" s="1115">
        <v>45009</v>
      </c>
      <c r="C1989" s="242">
        <f t="shared" si="61"/>
        <v>3</v>
      </c>
      <c r="D1989" s="242" t="s">
        <v>1837</v>
      </c>
      <c r="E1989" s="845">
        <f t="shared" si="62"/>
        <v>5</v>
      </c>
    </row>
    <row r="1990" spans="2:5">
      <c r="B1990" s="1115">
        <v>45009</v>
      </c>
      <c r="C1990" s="242">
        <f t="shared" si="61"/>
        <v>3</v>
      </c>
      <c r="D1990" s="242">
        <v>41.2</v>
      </c>
      <c r="E1990" s="845">
        <f t="shared" si="62"/>
        <v>5.1111111111111125</v>
      </c>
    </row>
    <row r="1991" spans="2:5">
      <c r="B1991" s="1115">
        <v>45009</v>
      </c>
      <c r="C1991" s="242">
        <f t="shared" si="61"/>
        <v>3</v>
      </c>
      <c r="D1991" s="242">
        <v>41.4</v>
      </c>
      <c r="E1991" s="845">
        <f t="shared" si="62"/>
        <v>5.2222222222222214</v>
      </c>
    </row>
    <row r="1992" spans="2:5">
      <c r="B1992" s="1115">
        <v>45009</v>
      </c>
      <c r="C1992" s="242">
        <f t="shared" si="61"/>
        <v>3</v>
      </c>
      <c r="D1992" s="242">
        <v>41.2</v>
      </c>
      <c r="E1992" s="845">
        <f t="shared" si="62"/>
        <v>5.1111111111111125</v>
      </c>
    </row>
    <row r="1993" spans="2:5">
      <c r="B1993" s="1115">
        <v>45009</v>
      </c>
      <c r="C1993" s="242">
        <f t="shared" si="61"/>
        <v>3</v>
      </c>
      <c r="D1993" s="242" t="s">
        <v>1837</v>
      </c>
      <c r="E1993" s="845">
        <f t="shared" si="62"/>
        <v>5</v>
      </c>
    </row>
    <row r="1994" spans="2:5">
      <c r="B1994" s="1115">
        <v>45009</v>
      </c>
      <c r="C1994" s="242">
        <f t="shared" ref="C1994:C2057" si="63">MONTH(B1994)</f>
        <v>3</v>
      </c>
      <c r="D1994" s="242">
        <v>40.6</v>
      </c>
      <c r="E1994" s="845">
        <f t="shared" ref="E1994:E2057" si="64">CONVERT(D1994,"F","C")</f>
        <v>4.7777777777777786</v>
      </c>
    </row>
    <row r="1995" spans="2:5">
      <c r="B1995" s="1115">
        <v>45009</v>
      </c>
      <c r="C1995" s="242">
        <f t="shared" si="63"/>
        <v>3</v>
      </c>
      <c r="D1995" s="242">
        <v>40.6</v>
      </c>
      <c r="E1995" s="845">
        <f t="shared" si="64"/>
        <v>4.7777777777777786</v>
      </c>
    </row>
    <row r="1996" spans="2:5">
      <c r="B1996" s="1115">
        <v>45009</v>
      </c>
      <c r="C1996" s="242">
        <f t="shared" si="63"/>
        <v>3</v>
      </c>
      <c r="D1996" s="242">
        <v>40.5</v>
      </c>
      <c r="E1996" s="845">
        <f t="shared" si="64"/>
        <v>4.7222222222222223</v>
      </c>
    </row>
    <row r="1997" spans="2:5">
      <c r="B1997" s="1115">
        <v>45009</v>
      </c>
      <c r="C1997" s="242">
        <f t="shared" si="63"/>
        <v>3</v>
      </c>
      <c r="D1997" s="242">
        <v>40.5</v>
      </c>
      <c r="E1997" s="845">
        <f t="shared" si="64"/>
        <v>4.7222222222222223</v>
      </c>
    </row>
    <row r="1998" spans="2:5">
      <c r="B1998" s="1115">
        <v>45009</v>
      </c>
      <c r="C1998" s="242">
        <f t="shared" si="63"/>
        <v>3</v>
      </c>
      <c r="D1998" s="242">
        <v>40.6</v>
      </c>
      <c r="E1998" s="845">
        <f t="shared" si="64"/>
        <v>4.7777777777777786</v>
      </c>
    </row>
    <row r="1999" spans="2:5">
      <c r="B1999" s="1115">
        <v>45009</v>
      </c>
      <c r="C1999" s="242">
        <f t="shared" si="63"/>
        <v>3</v>
      </c>
      <c r="D1999" s="242">
        <v>40.799999999999997</v>
      </c>
      <c r="E1999" s="845">
        <f t="shared" si="64"/>
        <v>4.8888888888888875</v>
      </c>
    </row>
    <row r="2000" spans="2:5">
      <c r="B2000" s="1115">
        <v>45009</v>
      </c>
      <c r="C2000" s="242">
        <f t="shared" si="63"/>
        <v>3</v>
      </c>
      <c r="D2000" s="242">
        <v>41.2</v>
      </c>
      <c r="E2000" s="845">
        <f t="shared" si="64"/>
        <v>5.1111111111111125</v>
      </c>
    </row>
    <row r="2001" spans="2:5">
      <c r="B2001" s="1115">
        <v>45010</v>
      </c>
      <c r="C2001" s="242">
        <f t="shared" si="63"/>
        <v>3</v>
      </c>
      <c r="D2001" s="242">
        <v>41.5</v>
      </c>
      <c r="E2001" s="845">
        <f t="shared" si="64"/>
        <v>5.2777777777777777</v>
      </c>
    </row>
    <row r="2002" spans="2:5">
      <c r="B2002" s="1115">
        <v>45010</v>
      </c>
      <c r="C2002" s="242">
        <f t="shared" si="63"/>
        <v>3</v>
      </c>
      <c r="D2002" s="242">
        <v>41.7</v>
      </c>
      <c r="E2002" s="845">
        <f t="shared" si="64"/>
        <v>5.3888888888888902</v>
      </c>
    </row>
    <row r="2003" spans="2:5">
      <c r="B2003" s="1115">
        <v>45010</v>
      </c>
      <c r="C2003" s="242">
        <f t="shared" si="63"/>
        <v>3</v>
      </c>
      <c r="D2003" s="242">
        <v>41.7</v>
      </c>
      <c r="E2003" s="845">
        <f t="shared" si="64"/>
        <v>5.3888888888888902</v>
      </c>
    </row>
    <row r="2004" spans="2:5">
      <c r="B2004" s="1115">
        <v>45010</v>
      </c>
      <c r="C2004" s="242">
        <f t="shared" si="63"/>
        <v>3</v>
      </c>
      <c r="D2004" s="242">
        <v>41.7</v>
      </c>
      <c r="E2004" s="845">
        <f t="shared" si="64"/>
        <v>5.3888888888888902</v>
      </c>
    </row>
    <row r="2005" spans="2:5">
      <c r="B2005" s="1115">
        <v>45010</v>
      </c>
      <c r="C2005" s="242">
        <f t="shared" si="63"/>
        <v>3</v>
      </c>
      <c r="D2005" s="242">
        <v>41.4</v>
      </c>
      <c r="E2005" s="845">
        <f t="shared" si="64"/>
        <v>5.2222222222222214</v>
      </c>
    </row>
    <row r="2006" spans="2:5">
      <c r="B2006" s="1115">
        <v>45010</v>
      </c>
      <c r="C2006" s="242">
        <f t="shared" si="63"/>
        <v>3</v>
      </c>
      <c r="D2006" s="242" t="s">
        <v>1837</v>
      </c>
      <c r="E2006" s="845">
        <f t="shared" si="64"/>
        <v>5</v>
      </c>
    </row>
    <row r="2007" spans="2:5">
      <c r="B2007" s="1115">
        <v>45010</v>
      </c>
      <c r="C2007" s="242">
        <f t="shared" si="63"/>
        <v>3</v>
      </c>
      <c r="D2007" s="242">
        <v>40.6</v>
      </c>
      <c r="E2007" s="845">
        <f t="shared" si="64"/>
        <v>4.7777777777777786</v>
      </c>
    </row>
    <row r="2008" spans="2:5">
      <c r="B2008" s="1115">
        <v>45010</v>
      </c>
      <c r="C2008" s="242">
        <f t="shared" si="63"/>
        <v>3</v>
      </c>
      <c r="D2008" s="242">
        <v>40.5</v>
      </c>
      <c r="E2008" s="845">
        <f t="shared" si="64"/>
        <v>4.7222222222222223</v>
      </c>
    </row>
    <row r="2009" spans="2:5">
      <c r="B2009" s="1115">
        <v>45010</v>
      </c>
      <c r="C2009" s="242">
        <f t="shared" si="63"/>
        <v>3</v>
      </c>
      <c r="D2009" s="242">
        <v>40.5</v>
      </c>
      <c r="E2009" s="845">
        <f t="shared" si="64"/>
        <v>4.7222222222222223</v>
      </c>
    </row>
    <row r="2010" spans="2:5">
      <c r="B2010" s="1115">
        <v>45010</v>
      </c>
      <c r="C2010" s="242">
        <f t="shared" si="63"/>
        <v>3</v>
      </c>
      <c r="D2010" s="242">
        <v>40.5</v>
      </c>
      <c r="E2010" s="845">
        <f t="shared" si="64"/>
        <v>4.7222222222222223</v>
      </c>
    </row>
    <row r="2011" spans="2:5">
      <c r="B2011" s="1115">
        <v>45010</v>
      </c>
      <c r="C2011" s="242">
        <f t="shared" si="63"/>
        <v>3</v>
      </c>
      <c r="D2011" s="242">
        <v>40.5</v>
      </c>
      <c r="E2011" s="845">
        <f t="shared" si="64"/>
        <v>4.7222222222222223</v>
      </c>
    </row>
    <row r="2012" spans="2:5">
      <c r="B2012" s="1115">
        <v>45010</v>
      </c>
      <c r="C2012" s="242">
        <f t="shared" si="63"/>
        <v>3</v>
      </c>
      <c r="D2012" s="242">
        <v>40.6</v>
      </c>
      <c r="E2012" s="845">
        <f t="shared" si="64"/>
        <v>4.7777777777777786</v>
      </c>
    </row>
    <row r="2013" spans="2:5">
      <c r="B2013" s="1115">
        <v>45010</v>
      </c>
      <c r="C2013" s="242">
        <f t="shared" si="63"/>
        <v>3</v>
      </c>
      <c r="D2013" s="242" t="s">
        <v>1837</v>
      </c>
      <c r="E2013" s="845">
        <f t="shared" si="64"/>
        <v>5</v>
      </c>
    </row>
    <row r="2014" spans="2:5">
      <c r="B2014" s="1115">
        <v>45010</v>
      </c>
      <c r="C2014" s="242">
        <f t="shared" si="63"/>
        <v>3</v>
      </c>
      <c r="D2014" s="242">
        <v>41.2</v>
      </c>
      <c r="E2014" s="845">
        <f t="shared" si="64"/>
        <v>5.1111111111111125</v>
      </c>
    </row>
    <row r="2015" spans="2:5">
      <c r="B2015" s="1115">
        <v>45010</v>
      </c>
      <c r="C2015" s="242">
        <f t="shared" si="63"/>
        <v>3</v>
      </c>
      <c r="D2015" s="242">
        <v>41.2</v>
      </c>
      <c r="E2015" s="845">
        <f t="shared" si="64"/>
        <v>5.1111111111111125</v>
      </c>
    </row>
    <row r="2016" spans="2:5">
      <c r="B2016" s="1115">
        <v>45010</v>
      </c>
      <c r="C2016" s="242">
        <f t="shared" si="63"/>
        <v>3</v>
      </c>
      <c r="D2016" s="242">
        <v>41.4</v>
      </c>
      <c r="E2016" s="845">
        <f t="shared" si="64"/>
        <v>5.2222222222222214</v>
      </c>
    </row>
    <row r="2017" spans="2:5">
      <c r="B2017" s="1115">
        <v>45010</v>
      </c>
      <c r="C2017" s="242">
        <f t="shared" si="63"/>
        <v>3</v>
      </c>
      <c r="D2017" s="242">
        <v>41.2</v>
      </c>
      <c r="E2017" s="845">
        <f t="shared" si="64"/>
        <v>5.1111111111111125</v>
      </c>
    </row>
    <row r="2018" spans="2:5">
      <c r="B2018" s="1115">
        <v>45010</v>
      </c>
      <c r="C2018" s="242">
        <f t="shared" si="63"/>
        <v>3</v>
      </c>
      <c r="D2018" s="242" t="s">
        <v>1837</v>
      </c>
      <c r="E2018" s="845">
        <f t="shared" si="64"/>
        <v>5</v>
      </c>
    </row>
    <row r="2019" spans="2:5">
      <c r="B2019" s="1115">
        <v>45010</v>
      </c>
      <c r="C2019" s="242">
        <f t="shared" si="63"/>
        <v>3</v>
      </c>
      <c r="D2019" s="242">
        <v>40.6</v>
      </c>
      <c r="E2019" s="845">
        <f t="shared" si="64"/>
        <v>4.7777777777777786</v>
      </c>
    </row>
    <row r="2020" spans="2:5">
      <c r="B2020" s="1115">
        <v>45010</v>
      </c>
      <c r="C2020" s="242">
        <f t="shared" si="63"/>
        <v>3</v>
      </c>
      <c r="D2020" s="242">
        <v>40.5</v>
      </c>
      <c r="E2020" s="845">
        <f t="shared" si="64"/>
        <v>4.7222222222222223</v>
      </c>
    </row>
    <row r="2021" spans="2:5">
      <c r="B2021" s="1115">
        <v>45010</v>
      </c>
      <c r="C2021" s="242">
        <f t="shared" si="63"/>
        <v>3</v>
      </c>
      <c r="D2021" s="242">
        <v>40.5</v>
      </c>
      <c r="E2021" s="845">
        <f t="shared" si="64"/>
        <v>4.7222222222222223</v>
      </c>
    </row>
    <row r="2022" spans="2:5">
      <c r="B2022" s="1115">
        <v>45010</v>
      </c>
      <c r="C2022" s="242">
        <f t="shared" si="63"/>
        <v>3</v>
      </c>
      <c r="D2022" s="242">
        <v>40.5</v>
      </c>
      <c r="E2022" s="845">
        <f t="shared" si="64"/>
        <v>4.7222222222222223</v>
      </c>
    </row>
    <row r="2023" spans="2:5">
      <c r="B2023" s="1115">
        <v>45010</v>
      </c>
      <c r="C2023" s="242">
        <f t="shared" si="63"/>
        <v>3</v>
      </c>
      <c r="D2023" s="242">
        <v>40.5</v>
      </c>
      <c r="E2023" s="845">
        <f t="shared" si="64"/>
        <v>4.7222222222222223</v>
      </c>
    </row>
    <row r="2024" spans="2:5">
      <c r="B2024" s="1115">
        <v>45010</v>
      </c>
      <c r="C2024" s="242">
        <f t="shared" si="63"/>
        <v>3</v>
      </c>
      <c r="D2024" s="242">
        <v>40.5</v>
      </c>
      <c r="E2024" s="845">
        <f t="shared" si="64"/>
        <v>4.7222222222222223</v>
      </c>
    </row>
    <row r="2025" spans="2:5">
      <c r="B2025" s="1115">
        <v>45011</v>
      </c>
      <c r="C2025" s="242">
        <f t="shared" si="63"/>
        <v>3</v>
      </c>
      <c r="D2025" s="242">
        <v>40.6</v>
      </c>
      <c r="E2025" s="845">
        <f t="shared" si="64"/>
        <v>4.7777777777777786</v>
      </c>
    </row>
    <row r="2026" spans="2:5">
      <c r="B2026" s="1115">
        <v>45011</v>
      </c>
      <c r="C2026" s="242">
        <f t="shared" si="63"/>
        <v>3</v>
      </c>
      <c r="D2026" s="242">
        <v>40.799999999999997</v>
      </c>
      <c r="E2026" s="845">
        <f t="shared" si="64"/>
        <v>4.8888888888888875</v>
      </c>
    </row>
    <row r="2027" spans="2:5">
      <c r="B2027" s="1115">
        <v>45011</v>
      </c>
      <c r="C2027" s="242">
        <f t="shared" si="63"/>
        <v>3</v>
      </c>
      <c r="D2027" s="242" t="s">
        <v>1837</v>
      </c>
      <c r="E2027" s="845">
        <f t="shared" si="64"/>
        <v>5</v>
      </c>
    </row>
    <row r="2028" spans="2:5">
      <c r="B2028" s="1115">
        <v>45011</v>
      </c>
      <c r="C2028" s="242">
        <f t="shared" si="63"/>
        <v>3</v>
      </c>
      <c r="D2028" s="242" t="s">
        <v>1837</v>
      </c>
      <c r="E2028" s="845">
        <f t="shared" si="64"/>
        <v>5</v>
      </c>
    </row>
    <row r="2029" spans="2:5">
      <c r="B2029" s="1115">
        <v>45011</v>
      </c>
      <c r="C2029" s="242">
        <f t="shared" si="63"/>
        <v>3</v>
      </c>
      <c r="D2029" s="242" t="s">
        <v>1837</v>
      </c>
      <c r="E2029" s="845">
        <f t="shared" si="64"/>
        <v>5</v>
      </c>
    </row>
    <row r="2030" spans="2:5">
      <c r="B2030" s="1115">
        <v>45011</v>
      </c>
      <c r="C2030" s="242">
        <f t="shared" si="63"/>
        <v>3</v>
      </c>
      <c r="D2030" s="242">
        <v>40.6</v>
      </c>
      <c r="E2030" s="845">
        <f t="shared" si="64"/>
        <v>4.7777777777777786</v>
      </c>
    </row>
    <row r="2031" spans="2:5">
      <c r="B2031" s="1115">
        <v>45011</v>
      </c>
      <c r="C2031" s="242">
        <f t="shared" si="63"/>
        <v>3</v>
      </c>
      <c r="D2031" s="242">
        <v>40.5</v>
      </c>
      <c r="E2031" s="845">
        <f t="shared" si="64"/>
        <v>4.7222222222222223</v>
      </c>
    </row>
    <row r="2032" spans="2:5">
      <c r="B2032" s="1115">
        <v>45011</v>
      </c>
      <c r="C2032" s="242">
        <f t="shared" si="63"/>
        <v>3</v>
      </c>
      <c r="D2032" s="242">
        <v>40.299999999999997</v>
      </c>
      <c r="E2032" s="845">
        <f t="shared" si="64"/>
        <v>4.6111111111111098</v>
      </c>
    </row>
    <row r="2033" spans="2:5">
      <c r="B2033" s="1115">
        <v>45011</v>
      </c>
      <c r="C2033" s="242">
        <f t="shared" si="63"/>
        <v>3</v>
      </c>
      <c r="D2033" s="242">
        <v>40.299999999999997</v>
      </c>
      <c r="E2033" s="845">
        <f t="shared" si="64"/>
        <v>4.6111111111111098</v>
      </c>
    </row>
    <row r="2034" spans="2:5">
      <c r="B2034" s="1115">
        <v>45011</v>
      </c>
      <c r="C2034" s="242">
        <f t="shared" si="63"/>
        <v>3</v>
      </c>
      <c r="D2034" s="242">
        <v>40.299999999999997</v>
      </c>
      <c r="E2034" s="845">
        <f t="shared" si="64"/>
        <v>4.6111111111111098</v>
      </c>
    </row>
    <row r="2035" spans="2:5">
      <c r="B2035" s="1115">
        <v>45011</v>
      </c>
      <c r="C2035" s="242">
        <f t="shared" si="63"/>
        <v>3</v>
      </c>
      <c r="D2035" s="242">
        <v>40.299999999999997</v>
      </c>
      <c r="E2035" s="845">
        <f t="shared" si="64"/>
        <v>4.6111111111111098</v>
      </c>
    </row>
    <row r="2036" spans="2:5">
      <c r="B2036" s="1115">
        <v>45011</v>
      </c>
      <c r="C2036" s="242">
        <f t="shared" si="63"/>
        <v>3</v>
      </c>
      <c r="D2036" s="242">
        <v>40.5</v>
      </c>
      <c r="E2036" s="845">
        <f t="shared" si="64"/>
        <v>4.7222222222222223</v>
      </c>
    </row>
    <row r="2037" spans="2:5">
      <c r="B2037" s="1115">
        <v>45011</v>
      </c>
      <c r="C2037" s="242">
        <f t="shared" si="63"/>
        <v>3</v>
      </c>
      <c r="D2037" s="242">
        <v>40.5</v>
      </c>
      <c r="E2037" s="845">
        <f t="shared" si="64"/>
        <v>4.7222222222222223</v>
      </c>
    </row>
    <row r="2038" spans="2:5">
      <c r="B2038" s="1115">
        <v>45011</v>
      </c>
      <c r="C2038" s="242">
        <f t="shared" si="63"/>
        <v>3</v>
      </c>
      <c r="D2038" s="242">
        <v>40.799999999999997</v>
      </c>
      <c r="E2038" s="845">
        <f t="shared" si="64"/>
        <v>4.8888888888888875</v>
      </c>
    </row>
    <row r="2039" spans="2:5">
      <c r="B2039" s="1115">
        <v>45011</v>
      </c>
      <c r="C2039" s="242">
        <f t="shared" si="63"/>
        <v>3</v>
      </c>
      <c r="D2039" s="242" t="s">
        <v>1837</v>
      </c>
      <c r="E2039" s="845">
        <f t="shared" si="64"/>
        <v>5</v>
      </c>
    </row>
    <row r="2040" spans="2:5">
      <c r="B2040" s="1115">
        <v>45011</v>
      </c>
      <c r="C2040" s="242">
        <f t="shared" si="63"/>
        <v>3</v>
      </c>
      <c r="D2040" s="242" t="s">
        <v>1837</v>
      </c>
      <c r="E2040" s="845">
        <f t="shared" si="64"/>
        <v>5</v>
      </c>
    </row>
    <row r="2041" spans="2:5">
      <c r="B2041" s="1115">
        <v>45011</v>
      </c>
      <c r="C2041" s="242">
        <f t="shared" si="63"/>
        <v>3</v>
      </c>
      <c r="D2041" s="242">
        <v>41.2</v>
      </c>
      <c r="E2041" s="845">
        <f t="shared" si="64"/>
        <v>5.1111111111111125</v>
      </c>
    </row>
    <row r="2042" spans="2:5">
      <c r="B2042" s="1115">
        <v>45011</v>
      </c>
      <c r="C2042" s="242">
        <f t="shared" si="63"/>
        <v>3</v>
      </c>
      <c r="D2042" s="242" t="s">
        <v>1837</v>
      </c>
      <c r="E2042" s="845">
        <f t="shared" si="64"/>
        <v>5</v>
      </c>
    </row>
    <row r="2043" spans="2:5">
      <c r="B2043" s="1115">
        <v>45011</v>
      </c>
      <c r="C2043" s="242">
        <f t="shared" si="63"/>
        <v>3</v>
      </c>
      <c r="D2043" s="242">
        <v>40.799999999999997</v>
      </c>
      <c r="E2043" s="845">
        <f t="shared" si="64"/>
        <v>4.8888888888888875</v>
      </c>
    </row>
    <row r="2044" spans="2:5">
      <c r="B2044" s="1115">
        <v>45011</v>
      </c>
      <c r="C2044" s="242">
        <f t="shared" si="63"/>
        <v>3</v>
      </c>
      <c r="D2044" s="242">
        <v>40.6</v>
      </c>
      <c r="E2044" s="845">
        <f t="shared" si="64"/>
        <v>4.7777777777777786</v>
      </c>
    </row>
    <row r="2045" spans="2:5">
      <c r="B2045" s="1115">
        <v>45011</v>
      </c>
      <c r="C2045" s="242">
        <f t="shared" si="63"/>
        <v>3</v>
      </c>
      <c r="D2045" s="242">
        <v>40.6</v>
      </c>
      <c r="E2045" s="845">
        <f t="shared" si="64"/>
        <v>4.7777777777777786</v>
      </c>
    </row>
    <row r="2046" spans="2:5">
      <c r="B2046" s="1115">
        <v>45011</v>
      </c>
      <c r="C2046" s="242">
        <f t="shared" si="63"/>
        <v>3</v>
      </c>
      <c r="D2046" s="242">
        <v>40.6</v>
      </c>
      <c r="E2046" s="845">
        <f t="shared" si="64"/>
        <v>4.7777777777777786</v>
      </c>
    </row>
    <row r="2047" spans="2:5">
      <c r="B2047" s="1115">
        <v>45011</v>
      </c>
      <c r="C2047" s="242">
        <f t="shared" si="63"/>
        <v>3</v>
      </c>
      <c r="D2047" s="242">
        <v>40.6</v>
      </c>
      <c r="E2047" s="845">
        <f t="shared" si="64"/>
        <v>4.7777777777777786</v>
      </c>
    </row>
    <row r="2048" spans="2:5">
      <c r="B2048" s="1115">
        <v>45011</v>
      </c>
      <c r="C2048" s="242">
        <f t="shared" si="63"/>
        <v>3</v>
      </c>
      <c r="D2048" s="242">
        <v>40.6</v>
      </c>
      <c r="E2048" s="845">
        <f t="shared" si="64"/>
        <v>4.7777777777777786</v>
      </c>
    </row>
    <row r="2049" spans="2:5">
      <c r="B2049" s="1115">
        <v>45012</v>
      </c>
      <c r="C2049" s="242">
        <f t="shared" si="63"/>
        <v>3</v>
      </c>
      <c r="D2049" s="242">
        <v>40.799999999999997</v>
      </c>
      <c r="E2049" s="845">
        <f t="shared" si="64"/>
        <v>4.8888888888888875</v>
      </c>
    </row>
    <row r="2050" spans="2:5">
      <c r="B2050" s="1115">
        <v>45012</v>
      </c>
      <c r="C2050" s="242">
        <f t="shared" si="63"/>
        <v>3</v>
      </c>
      <c r="D2050" s="242" t="s">
        <v>1837</v>
      </c>
      <c r="E2050" s="845">
        <f t="shared" si="64"/>
        <v>5</v>
      </c>
    </row>
    <row r="2051" spans="2:5">
      <c r="B2051" s="1115">
        <v>45012</v>
      </c>
      <c r="C2051" s="242">
        <f t="shared" si="63"/>
        <v>3</v>
      </c>
      <c r="D2051" s="242">
        <v>41.2</v>
      </c>
      <c r="E2051" s="845">
        <f t="shared" si="64"/>
        <v>5.1111111111111125</v>
      </c>
    </row>
    <row r="2052" spans="2:5">
      <c r="B2052" s="1115">
        <v>45012</v>
      </c>
      <c r="C2052" s="242">
        <f t="shared" si="63"/>
        <v>3</v>
      </c>
      <c r="D2052" s="242">
        <v>41.4</v>
      </c>
      <c r="E2052" s="845">
        <f t="shared" si="64"/>
        <v>5.2222222222222214</v>
      </c>
    </row>
    <row r="2053" spans="2:5">
      <c r="B2053" s="1115">
        <v>45012</v>
      </c>
      <c r="C2053" s="242">
        <f t="shared" si="63"/>
        <v>3</v>
      </c>
      <c r="D2053" s="242">
        <v>41.4</v>
      </c>
      <c r="E2053" s="845">
        <f t="shared" si="64"/>
        <v>5.2222222222222214</v>
      </c>
    </row>
    <row r="2054" spans="2:5">
      <c r="B2054" s="1115">
        <v>45012</v>
      </c>
      <c r="C2054" s="242">
        <f t="shared" si="63"/>
        <v>3</v>
      </c>
      <c r="D2054" s="242">
        <v>41.4</v>
      </c>
      <c r="E2054" s="845">
        <f t="shared" si="64"/>
        <v>5.2222222222222214</v>
      </c>
    </row>
    <row r="2055" spans="2:5">
      <c r="B2055" s="1115">
        <v>45012</v>
      </c>
      <c r="C2055" s="242">
        <f t="shared" si="63"/>
        <v>3</v>
      </c>
      <c r="D2055" s="242" t="s">
        <v>1837</v>
      </c>
      <c r="E2055" s="845">
        <f t="shared" si="64"/>
        <v>5</v>
      </c>
    </row>
    <row r="2056" spans="2:5">
      <c r="B2056" s="1115">
        <v>45012</v>
      </c>
      <c r="C2056" s="242">
        <f t="shared" si="63"/>
        <v>3</v>
      </c>
      <c r="D2056" s="242">
        <v>40.799999999999997</v>
      </c>
      <c r="E2056" s="845">
        <f t="shared" si="64"/>
        <v>4.8888888888888875</v>
      </c>
    </row>
    <row r="2057" spans="2:5">
      <c r="B2057" s="1115">
        <v>45012</v>
      </c>
      <c r="C2057" s="242">
        <f t="shared" si="63"/>
        <v>3</v>
      </c>
      <c r="D2057" s="242">
        <v>40.6</v>
      </c>
      <c r="E2057" s="845">
        <f t="shared" si="64"/>
        <v>4.7777777777777786</v>
      </c>
    </row>
    <row r="2058" spans="2:5">
      <c r="B2058" s="1115">
        <v>45012</v>
      </c>
      <c r="C2058" s="242">
        <f t="shared" ref="C2058:C2121" si="65">MONTH(B2058)</f>
        <v>3</v>
      </c>
      <c r="D2058" s="242">
        <v>40.5</v>
      </c>
      <c r="E2058" s="845">
        <f t="shared" ref="E2058:E2121" si="66">CONVERT(D2058,"F","C")</f>
        <v>4.7222222222222223</v>
      </c>
    </row>
    <row r="2059" spans="2:5">
      <c r="B2059" s="1115">
        <v>45012</v>
      </c>
      <c r="C2059" s="242">
        <f t="shared" si="65"/>
        <v>3</v>
      </c>
      <c r="D2059" s="242">
        <v>40.5</v>
      </c>
      <c r="E2059" s="845">
        <f t="shared" si="66"/>
        <v>4.7222222222222223</v>
      </c>
    </row>
    <row r="2060" spans="2:5">
      <c r="B2060" s="1115">
        <v>45012</v>
      </c>
      <c r="C2060" s="242">
        <f t="shared" si="65"/>
        <v>3</v>
      </c>
      <c r="D2060" s="242">
        <v>40.5</v>
      </c>
      <c r="E2060" s="845">
        <f t="shared" si="66"/>
        <v>4.7222222222222223</v>
      </c>
    </row>
    <row r="2061" spans="2:5">
      <c r="B2061" s="1115">
        <v>45012</v>
      </c>
      <c r="C2061" s="242">
        <f t="shared" si="65"/>
        <v>3</v>
      </c>
      <c r="D2061" s="242">
        <v>40.6</v>
      </c>
      <c r="E2061" s="845">
        <f t="shared" si="66"/>
        <v>4.7777777777777786</v>
      </c>
    </row>
    <row r="2062" spans="2:5">
      <c r="B2062" s="1115">
        <v>45012</v>
      </c>
      <c r="C2062" s="242">
        <f t="shared" si="65"/>
        <v>3</v>
      </c>
      <c r="D2062" s="242">
        <v>40.799999999999997</v>
      </c>
      <c r="E2062" s="845">
        <f t="shared" si="66"/>
        <v>4.8888888888888875</v>
      </c>
    </row>
    <row r="2063" spans="2:5">
      <c r="B2063" s="1115">
        <v>45012</v>
      </c>
      <c r="C2063" s="242">
        <f t="shared" si="65"/>
        <v>3</v>
      </c>
      <c r="D2063" s="242" t="s">
        <v>1837</v>
      </c>
      <c r="E2063" s="845">
        <f t="shared" si="66"/>
        <v>5</v>
      </c>
    </row>
    <row r="2064" spans="2:5">
      <c r="B2064" s="1115">
        <v>45012</v>
      </c>
      <c r="C2064" s="242">
        <f t="shared" si="65"/>
        <v>3</v>
      </c>
      <c r="D2064" s="242">
        <v>41.4</v>
      </c>
      <c r="E2064" s="845">
        <f t="shared" si="66"/>
        <v>5.2222222222222214</v>
      </c>
    </row>
    <row r="2065" spans="2:5">
      <c r="B2065" s="1115">
        <v>45012</v>
      </c>
      <c r="C2065" s="242">
        <f t="shared" si="65"/>
        <v>3</v>
      </c>
      <c r="D2065" s="242">
        <v>41.4</v>
      </c>
      <c r="E2065" s="845">
        <f t="shared" si="66"/>
        <v>5.2222222222222214</v>
      </c>
    </row>
    <row r="2066" spans="2:5">
      <c r="B2066" s="1115">
        <v>45012</v>
      </c>
      <c r="C2066" s="242">
        <f t="shared" si="65"/>
        <v>3</v>
      </c>
      <c r="D2066" s="242">
        <v>41.7</v>
      </c>
      <c r="E2066" s="845">
        <f t="shared" si="66"/>
        <v>5.3888888888888902</v>
      </c>
    </row>
    <row r="2067" spans="2:5">
      <c r="B2067" s="1115">
        <v>45012</v>
      </c>
      <c r="C2067" s="242">
        <f t="shared" si="65"/>
        <v>3</v>
      </c>
      <c r="D2067" s="242">
        <v>41.4</v>
      </c>
      <c r="E2067" s="845">
        <f t="shared" si="66"/>
        <v>5.2222222222222214</v>
      </c>
    </row>
    <row r="2068" spans="2:5">
      <c r="B2068" s="1115">
        <v>45012</v>
      </c>
      <c r="C2068" s="242">
        <f t="shared" si="65"/>
        <v>3</v>
      </c>
      <c r="D2068" s="242">
        <v>40.799999999999997</v>
      </c>
      <c r="E2068" s="845">
        <f t="shared" si="66"/>
        <v>4.8888888888888875</v>
      </c>
    </row>
    <row r="2069" spans="2:5">
      <c r="B2069" s="1115">
        <v>45012</v>
      </c>
      <c r="C2069" s="242">
        <f t="shared" si="65"/>
        <v>3</v>
      </c>
      <c r="D2069" s="242" t="s">
        <v>1837</v>
      </c>
      <c r="E2069" s="845">
        <f t="shared" si="66"/>
        <v>5</v>
      </c>
    </row>
    <row r="2070" spans="2:5">
      <c r="B2070" s="1115">
        <v>45012</v>
      </c>
      <c r="C2070" s="242">
        <f t="shared" si="65"/>
        <v>3</v>
      </c>
      <c r="D2070" s="242" t="s">
        <v>1837</v>
      </c>
      <c r="E2070" s="845">
        <f t="shared" si="66"/>
        <v>5</v>
      </c>
    </row>
    <row r="2071" spans="2:5">
      <c r="B2071" s="1115">
        <v>45012</v>
      </c>
      <c r="C2071" s="242">
        <f t="shared" si="65"/>
        <v>3</v>
      </c>
      <c r="D2071" s="242">
        <v>40.799999999999997</v>
      </c>
      <c r="E2071" s="845">
        <f t="shared" si="66"/>
        <v>4.8888888888888875</v>
      </c>
    </row>
    <row r="2072" spans="2:5">
      <c r="B2072" s="1115">
        <v>45012</v>
      </c>
      <c r="C2072" s="242">
        <f t="shared" si="65"/>
        <v>3</v>
      </c>
      <c r="D2072" s="242">
        <v>41.2</v>
      </c>
      <c r="E2072" s="845">
        <f t="shared" si="66"/>
        <v>5.1111111111111125</v>
      </c>
    </row>
    <row r="2073" spans="2:5">
      <c r="B2073" s="1115">
        <v>45013</v>
      </c>
      <c r="C2073" s="242">
        <f t="shared" si="65"/>
        <v>3</v>
      </c>
      <c r="D2073" s="242">
        <v>41.2</v>
      </c>
      <c r="E2073" s="845">
        <f t="shared" si="66"/>
        <v>5.1111111111111125</v>
      </c>
    </row>
    <row r="2074" spans="2:5">
      <c r="B2074" s="1115">
        <v>45013</v>
      </c>
      <c r="C2074" s="242">
        <f t="shared" si="65"/>
        <v>3</v>
      </c>
      <c r="D2074" s="242">
        <v>41.2</v>
      </c>
      <c r="E2074" s="845">
        <f t="shared" si="66"/>
        <v>5.1111111111111125</v>
      </c>
    </row>
    <row r="2075" spans="2:5">
      <c r="B2075" s="1115">
        <v>45013</v>
      </c>
      <c r="C2075" s="242">
        <f t="shared" si="65"/>
        <v>3</v>
      </c>
      <c r="D2075" s="242">
        <v>41.4</v>
      </c>
      <c r="E2075" s="845">
        <f t="shared" si="66"/>
        <v>5.2222222222222214</v>
      </c>
    </row>
    <row r="2076" spans="2:5">
      <c r="B2076" s="1115">
        <v>45013</v>
      </c>
      <c r="C2076" s="242">
        <f t="shared" si="65"/>
        <v>3</v>
      </c>
      <c r="D2076" s="242">
        <v>41.7</v>
      </c>
      <c r="E2076" s="845">
        <f t="shared" si="66"/>
        <v>5.3888888888888902</v>
      </c>
    </row>
    <row r="2077" spans="2:5">
      <c r="B2077" s="1115">
        <v>45013</v>
      </c>
      <c r="C2077" s="242">
        <f t="shared" si="65"/>
        <v>3</v>
      </c>
      <c r="D2077" s="242">
        <v>41.7</v>
      </c>
      <c r="E2077" s="845">
        <f t="shared" si="66"/>
        <v>5.3888888888888902</v>
      </c>
    </row>
    <row r="2078" spans="2:5">
      <c r="B2078" s="1115">
        <v>45013</v>
      </c>
      <c r="C2078" s="242">
        <f t="shared" si="65"/>
        <v>3</v>
      </c>
      <c r="D2078" s="242">
        <v>41.7</v>
      </c>
      <c r="E2078" s="845">
        <f t="shared" si="66"/>
        <v>5.3888888888888902</v>
      </c>
    </row>
    <row r="2079" spans="2:5">
      <c r="B2079" s="1115">
        <v>45013</v>
      </c>
      <c r="C2079" s="242">
        <f t="shared" si="65"/>
        <v>3</v>
      </c>
      <c r="D2079" s="242">
        <v>41.5</v>
      </c>
      <c r="E2079" s="845">
        <f t="shared" si="66"/>
        <v>5.2777777777777777</v>
      </c>
    </row>
    <row r="2080" spans="2:5">
      <c r="B2080" s="1115">
        <v>45013</v>
      </c>
      <c r="C2080" s="242">
        <f t="shared" si="65"/>
        <v>3</v>
      </c>
      <c r="D2080" s="242">
        <v>41.4</v>
      </c>
      <c r="E2080" s="845">
        <f t="shared" si="66"/>
        <v>5.2222222222222214</v>
      </c>
    </row>
    <row r="2081" spans="2:5">
      <c r="B2081" s="1115">
        <v>45013</v>
      </c>
      <c r="C2081" s="242">
        <f t="shared" si="65"/>
        <v>3</v>
      </c>
      <c r="D2081" s="242">
        <v>41.2</v>
      </c>
      <c r="E2081" s="845">
        <f t="shared" si="66"/>
        <v>5.1111111111111125</v>
      </c>
    </row>
    <row r="2082" spans="2:5">
      <c r="B2082" s="1115">
        <v>45013</v>
      </c>
      <c r="C2082" s="242">
        <f t="shared" si="65"/>
        <v>3</v>
      </c>
      <c r="D2082" s="242" t="s">
        <v>1837</v>
      </c>
      <c r="E2082" s="845">
        <f t="shared" si="66"/>
        <v>5</v>
      </c>
    </row>
    <row r="2083" spans="2:5">
      <c r="B2083" s="1115">
        <v>45013</v>
      </c>
      <c r="C2083" s="242">
        <f t="shared" si="65"/>
        <v>3</v>
      </c>
      <c r="D2083" s="242" t="s">
        <v>1837</v>
      </c>
      <c r="E2083" s="845">
        <f t="shared" si="66"/>
        <v>5</v>
      </c>
    </row>
    <row r="2084" spans="2:5">
      <c r="B2084" s="1115">
        <v>45013</v>
      </c>
      <c r="C2084" s="242">
        <f t="shared" si="65"/>
        <v>3</v>
      </c>
      <c r="D2084" s="242">
        <v>40.799999999999997</v>
      </c>
      <c r="E2084" s="845">
        <f t="shared" si="66"/>
        <v>4.8888888888888875</v>
      </c>
    </row>
    <row r="2085" spans="2:5">
      <c r="B2085" s="1115">
        <v>45013</v>
      </c>
      <c r="C2085" s="242">
        <f t="shared" si="65"/>
        <v>3</v>
      </c>
      <c r="D2085" s="242" t="s">
        <v>1837</v>
      </c>
      <c r="E2085" s="845">
        <f t="shared" si="66"/>
        <v>5</v>
      </c>
    </row>
    <row r="2086" spans="2:5">
      <c r="B2086" s="1115">
        <v>45013</v>
      </c>
      <c r="C2086" s="242">
        <f t="shared" si="65"/>
        <v>3</v>
      </c>
      <c r="D2086" s="242" t="s">
        <v>1837</v>
      </c>
      <c r="E2086" s="845">
        <f t="shared" si="66"/>
        <v>5</v>
      </c>
    </row>
    <row r="2087" spans="2:5">
      <c r="B2087" s="1115">
        <v>45013</v>
      </c>
      <c r="C2087" s="242">
        <f t="shared" si="65"/>
        <v>3</v>
      </c>
      <c r="D2087" s="242">
        <v>41.4</v>
      </c>
      <c r="E2087" s="845">
        <f t="shared" si="66"/>
        <v>5.2222222222222214</v>
      </c>
    </row>
    <row r="2088" spans="2:5">
      <c r="B2088" s="1115">
        <v>45013</v>
      </c>
      <c r="C2088" s="242">
        <f t="shared" si="65"/>
        <v>3</v>
      </c>
      <c r="D2088" s="242">
        <v>41.5</v>
      </c>
      <c r="E2088" s="845">
        <f t="shared" si="66"/>
        <v>5.2777777777777777</v>
      </c>
    </row>
    <row r="2089" spans="2:5">
      <c r="B2089" s="1115">
        <v>45013</v>
      </c>
      <c r="C2089" s="242">
        <f t="shared" si="65"/>
        <v>3</v>
      </c>
      <c r="D2089" s="242">
        <v>41.7</v>
      </c>
      <c r="E2089" s="845">
        <f t="shared" si="66"/>
        <v>5.3888888888888902</v>
      </c>
    </row>
    <row r="2090" spans="2:5">
      <c r="B2090" s="1115">
        <v>45013</v>
      </c>
      <c r="C2090" s="242">
        <f t="shared" si="65"/>
        <v>3</v>
      </c>
      <c r="D2090" s="242">
        <v>41.9</v>
      </c>
      <c r="E2090" s="845">
        <f t="shared" si="66"/>
        <v>5.4999999999999991</v>
      </c>
    </row>
    <row r="2091" spans="2:5">
      <c r="B2091" s="1115">
        <v>45013</v>
      </c>
      <c r="C2091" s="242">
        <f t="shared" si="65"/>
        <v>3</v>
      </c>
      <c r="D2091" s="242">
        <v>42.1</v>
      </c>
      <c r="E2091" s="845">
        <f t="shared" si="66"/>
        <v>5.6111111111111116</v>
      </c>
    </row>
    <row r="2092" spans="2:5">
      <c r="B2092" s="1115">
        <v>45013</v>
      </c>
      <c r="C2092" s="242">
        <f t="shared" si="65"/>
        <v>3</v>
      </c>
      <c r="D2092" s="242">
        <v>41.7</v>
      </c>
      <c r="E2092" s="845">
        <f t="shared" si="66"/>
        <v>5.3888888888888902</v>
      </c>
    </row>
    <row r="2093" spans="2:5">
      <c r="B2093" s="1115">
        <v>45013</v>
      </c>
      <c r="C2093" s="242">
        <f t="shared" si="65"/>
        <v>3</v>
      </c>
      <c r="D2093" s="242">
        <v>41.2</v>
      </c>
      <c r="E2093" s="845">
        <f t="shared" si="66"/>
        <v>5.1111111111111125</v>
      </c>
    </row>
    <row r="2094" spans="2:5">
      <c r="B2094" s="1115">
        <v>45013</v>
      </c>
      <c r="C2094" s="242">
        <f t="shared" si="65"/>
        <v>3</v>
      </c>
      <c r="D2094" s="242" t="s">
        <v>1837</v>
      </c>
      <c r="E2094" s="845">
        <f t="shared" si="66"/>
        <v>5</v>
      </c>
    </row>
    <row r="2095" spans="2:5">
      <c r="B2095" s="1115">
        <v>45013</v>
      </c>
      <c r="C2095" s="242">
        <f t="shared" si="65"/>
        <v>3</v>
      </c>
      <c r="D2095" s="242" t="s">
        <v>1837</v>
      </c>
      <c r="E2095" s="845">
        <f t="shared" si="66"/>
        <v>5</v>
      </c>
    </row>
    <row r="2096" spans="2:5">
      <c r="B2096" s="1115">
        <v>45013</v>
      </c>
      <c r="C2096" s="242">
        <f t="shared" si="65"/>
        <v>3</v>
      </c>
      <c r="D2096" s="242" t="s">
        <v>1837</v>
      </c>
      <c r="E2096" s="845">
        <f t="shared" si="66"/>
        <v>5</v>
      </c>
    </row>
    <row r="2097" spans="2:5">
      <c r="B2097" s="1115">
        <v>45014</v>
      </c>
      <c r="C2097" s="242">
        <f t="shared" si="65"/>
        <v>3</v>
      </c>
      <c r="D2097" s="242">
        <v>41.2</v>
      </c>
      <c r="E2097" s="845">
        <f t="shared" si="66"/>
        <v>5.1111111111111125</v>
      </c>
    </row>
    <row r="2098" spans="2:5">
      <c r="B2098" s="1115">
        <v>45014</v>
      </c>
      <c r="C2098" s="242">
        <f t="shared" si="65"/>
        <v>3</v>
      </c>
      <c r="D2098" s="242">
        <v>41.2</v>
      </c>
      <c r="E2098" s="845">
        <f t="shared" si="66"/>
        <v>5.1111111111111125</v>
      </c>
    </row>
    <row r="2099" spans="2:5">
      <c r="B2099" s="1115">
        <v>45014</v>
      </c>
      <c r="C2099" s="242">
        <f t="shared" si="65"/>
        <v>3</v>
      </c>
      <c r="D2099" s="242">
        <v>41.4</v>
      </c>
      <c r="E2099" s="845">
        <f t="shared" si="66"/>
        <v>5.2222222222222214</v>
      </c>
    </row>
    <row r="2100" spans="2:5">
      <c r="B2100" s="1115">
        <v>45014</v>
      </c>
      <c r="C2100" s="242">
        <f t="shared" si="65"/>
        <v>3</v>
      </c>
      <c r="D2100" s="242">
        <v>41.5</v>
      </c>
      <c r="E2100" s="845">
        <f t="shared" si="66"/>
        <v>5.2777777777777777</v>
      </c>
    </row>
    <row r="2101" spans="2:5">
      <c r="B2101" s="1115">
        <v>45014</v>
      </c>
      <c r="C2101" s="242">
        <f t="shared" si="65"/>
        <v>3</v>
      </c>
      <c r="D2101" s="242">
        <v>41.7</v>
      </c>
      <c r="E2101" s="845">
        <f t="shared" si="66"/>
        <v>5.3888888888888902</v>
      </c>
    </row>
    <row r="2102" spans="2:5">
      <c r="B2102" s="1115">
        <v>45014</v>
      </c>
      <c r="C2102" s="242">
        <f t="shared" si="65"/>
        <v>3</v>
      </c>
      <c r="D2102" s="242">
        <v>41.9</v>
      </c>
      <c r="E2102" s="845">
        <f t="shared" si="66"/>
        <v>5.4999999999999991</v>
      </c>
    </row>
    <row r="2103" spans="2:5">
      <c r="B2103" s="1115">
        <v>45014</v>
      </c>
      <c r="C2103" s="242">
        <f t="shared" si="65"/>
        <v>3</v>
      </c>
      <c r="D2103" s="242">
        <v>41.7</v>
      </c>
      <c r="E2103" s="845">
        <f t="shared" si="66"/>
        <v>5.3888888888888902</v>
      </c>
    </row>
    <row r="2104" spans="2:5">
      <c r="B2104" s="1115">
        <v>45014</v>
      </c>
      <c r="C2104" s="242">
        <f t="shared" si="65"/>
        <v>3</v>
      </c>
      <c r="D2104" s="242">
        <v>41.7</v>
      </c>
      <c r="E2104" s="845">
        <f t="shared" si="66"/>
        <v>5.3888888888888902</v>
      </c>
    </row>
    <row r="2105" spans="2:5">
      <c r="B2105" s="1115">
        <v>45014</v>
      </c>
      <c r="C2105" s="242">
        <f t="shared" si="65"/>
        <v>3</v>
      </c>
      <c r="D2105" s="242">
        <v>41.4</v>
      </c>
      <c r="E2105" s="845">
        <f t="shared" si="66"/>
        <v>5.2222222222222214</v>
      </c>
    </row>
    <row r="2106" spans="2:5">
      <c r="B2106" s="1115">
        <v>45014</v>
      </c>
      <c r="C2106" s="242">
        <f t="shared" si="65"/>
        <v>3</v>
      </c>
      <c r="D2106" s="242">
        <v>41.2</v>
      </c>
      <c r="E2106" s="845">
        <f t="shared" si="66"/>
        <v>5.1111111111111125</v>
      </c>
    </row>
    <row r="2107" spans="2:5">
      <c r="B2107" s="1115">
        <v>45014</v>
      </c>
      <c r="C2107" s="242">
        <f t="shared" si="65"/>
        <v>3</v>
      </c>
      <c r="D2107" s="242">
        <v>41.2</v>
      </c>
      <c r="E2107" s="845">
        <f t="shared" si="66"/>
        <v>5.1111111111111125</v>
      </c>
    </row>
    <row r="2108" spans="2:5">
      <c r="B2108" s="1115">
        <v>45014</v>
      </c>
      <c r="C2108" s="242">
        <f t="shared" si="65"/>
        <v>3</v>
      </c>
      <c r="D2108" s="242">
        <v>41.2</v>
      </c>
      <c r="E2108" s="845">
        <f t="shared" si="66"/>
        <v>5.1111111111111125</v>
      </c>
    </row>
    <row r="2109" spans="2:5">
      <c r="B2109" s="1115">
        <v>45014</v>
      </c>
      <c r="C2109" s="242">
        <f t="shared" si="65"/>
        <v>3</v>
      </c>
      <c r="D2109" s="242">
        <v>41.2</v>
      </c>
      <c r="E2109" s="845">
        <f t="shared" si="66"/>
        <v>5.1111111111111125</v>
      </c>
    </row>
    <row r="2110" spans="2:5">
      <c r="B2110" s="1115">
        <v>45014</v>
      </c>
      <c r="C2110" s="242">
        <f t="shared" si="65"/>
        <v>3</v>
      </c>
      <c r="D2110" s="242">
        <v>41.2</v>
      </c>
      <c r="E2110" s="845">
        <f t="shared" si="66"/>
        <v>5.1111111111111125</v>
      </c>
    </row>
    <row r="2111" spans="2:5">
      <c r="B2111" s="1115">
        <v>45014</v>
      </c>
      <c r="C2111" s="242">
        <f t="shared" si="65"/>
        <v>3</v>
      </c>
      <c r="D2111" s="242">
        <v>41.2</v>
      </c>
      <c r="E2111" s="845">
        <f t="shared" si="66"/>
        <v>5.1111111111111125</v>
      </c>
    </row>
    <row r="2112" spans="2:5">
      <c r="B2112" s="1115">
        <v>45014</v>
      </c>
      <c r="C2112" s="242">
        <f t="shared" si="65"/>
        <v>3</v>
      </c>
      <c r="D2112" s="242">
        <v>41.4</v>
      </c>
      <c r="E2112" s="845">
        <f t="shared" si="66"/>
        <v>5.2222222222222214</v>
      </c>
    </row>
    <row r="2113" spans="2:5">
      <c r="B2113" s="1115">
        <v>45014</v>
      </c>
      <c r="C2113" s="242">
        <f t="shared" si="65"/>
        <v>3</v>
      </c>
      <c r="D2113" s="242">
        <v>41.7</v>
      </c>
      <c r="E2113" s="845">
        <f t="shared" si="66"/>
        <v>5.3888888888888902</v>
      </c>
    </row>
    <row r="2114" spans="2:5">
      <c r="B2114" s="1115">
        <v>45014</v>
      </c>
      <c r="C2114" s="242">
        <f t="shared" si="65"/>
        <v>3</v>
      </c>
      <c r="D2114" s="242">
        <v>42.1</v>
      </c>
      <c r="E2114" s="845">
        <f t="shared" si="66"/>
        <v>5.6111111111111116</v>
      </c>
    </row>
    <row r="2115" spans="2:5">
      <c r="B2115" s="1115">
        <v>45014</v>
      </c>
      <c r="C2115" s="242">
        <f t="shared" si="65"/>
        <v>3</v>
      </c>
      <c r="D2115" s="242">
        <v>42.3</v>
      </c>
      <c r="E2115" s="845">
        <f t="shared" si="66"/>
        <v>5.7222222222222205</v>
      </c>
    </row>
    <row r="2116" spans="2:5">
      <c r="B2116" s="1115">
        <v>45014</v>
      </c>
      <c r="C2116" s="242">
        <f t="shared" si="65"/>
        <v>3</v>
      </c>
      <c r="D2116" s="242">
        <v>42.4</v>
      </c>
      <c r="E2116" s="845">
        <f t="shared" si="66"/>
        <v>5.7777777777777768</v>
      </c>
    </row>
    <row r="2117" spans="2:5">
      <c r="B2117" s="1115">
        <v>45014</v>
      </c>
      <c r="C2117" s="242">
        <f t="shared" si="65"/>
        <v>3</v>
      </c>
      <c r="D2117" s="242">
        <v>42.1</v>
      </c>
      <c r="E2117" s="845">
        <f t="shared" si="66"/>
        <v>5.6111111111111116</v>
      </c>
    </row>
    <row r="2118" spans="2:5">
      <c r="B2118" s="1115">
        <v>45014</v>
      </c>
      <c r="C2118" s="242">
        <f t="shared" si="65"/>
        <v>3</v>
      </c>
      <c r="D2118" s="242">
        <v>41.5</v>
      </c>
      <c r="E2118" s="845">
        <f t="shared" si="66"/>
        <v>5.2777777777777777</v>
      </c>
    </row>
    <row r="2119" spans="2:5">
      <c r="B2119" s="1115">
        <v>45014</v>
      </c>
      <c r="C2119" s="242">
        <f t="shared" si="65"/>
        <v>3</v>
      </c>
      <c r="D2119" s="242">
        <v>41.5</v>
      </c>
      <c r="E2119" s="845">
        <f t="shared" si="66"/>
        <v>5.2777777777777777</v>
      </c>
    </row>
    <row r="2120" spans="2:5">
      <c r="B2120" s="1115">
        <v>45014</v>
      </c>
      <c r="C2120" s="242">
        <f t="shared" si="65"/>
        <v>3</v>
      </c>
      <c r="D2120" s="242">
        <v>41.5</v>
      </c>
      <c r="E2120" s="845">
        <f t="shared" si="66"/>
        <v>5.2777777777777777</v>
      </c>
    </row>
    <row r="2121" spans="2:5">
      <c r="B2121" s="1115">
        <v>45015</v>
      </c>
      <c r="C2121" s="242">
        <f t="shared" si="65"/>
        <v>3</v>
      </c>
      <c r="D2121" s="242">
        <v>41.5</v>
      </c>
      <c r="E2121" s="845">
        <f t="shared" si="66"/>
        <v>5.2777777777777777</v>
      </c>
    </row>
    <row r="2122" spans="2:5">
      <c r="B2122" s="1115">
        <v>45015</v>
      </c>
      <c r="C2122" s="242">
        <f t="shared" ref="C2122:C2185" si="67">MONTH(B2122)</f>
        <v>3</v>
      </c>
      <c r="D2122" s="242">
        <v>41.5</v>
      </c>
      <c r="E2122" s="845">
        <f t="shared" ref="E2122:E2185" si="68">CONVERT(D2122,"F","C")</f>
        <v>5.2777777777777777</v>
      </c>
    </row>
    <row r="2123" spans="2:5">
      <c r="B2123" s="1115">
        <v>45015</v>
      </c>
      <c r="C2123" s="242">
        <f t="shared" si="67"/>
        <v>3</v>
      </c>
      <c r="D2123" s="242">
        <v>41.7</v>
      </c>
      <c r="E2123" s="845">
        <f t="shared" si="68"/>
        <v>5.3888888888888902</v>
      </c>
    </row>
    <row r="2124" spans="2:5">
      <c r="B2124" s="1115">
        <v>45015</v>
      </c>
      <c r="C2124" s="242">
        <f t="shared" si="67"/>
        <v>3</v>
      </c>
      <c r="D2124" s="242">
        <v>41.7</v>
      </c>
      <c r="E2124" s="845">
        <f t="shared" si="68"/>
        <v>5.3888888888888902</v>
      </c>
    </row>
    <row r="2125" spans="2:5">
      <c r="B2125" s="1115">
        <v>45015</v>
      </c>
      <c r="C2125" s="242">
        <f t="shared" si="67"/>
        <v>3</v>
      </c>
      <c r="D2125" s="242">
        <v>41.9</v>
      </c>
      <c r="E2125" s="845">
        <f t="shared" si="68"/>
        <v>5.4999999999999991</v>
      </c>
    </row>
    <row r="2126" spans="2:5">
      <c r="B2126" s="1115">
        <v>45015</v>
      </c>
      <c r="C2126" s="242">
        <f t="shared" si="67"/>
        <v>3</v>
      </c>
      <c r="D2126" s="242">
        <v>42.1</v>
      </c>
      <c r="E2126" s="845">
        <f t="shared" si="68"/>
        <v>5.6111111111111116</v>
      </c>
    </row>
    <row r="2127" spans="2:5">
      <c r="B2127" s="1115">
        <v>45015</v>
      </c>
      <c r="C2127" s="242">
        <f t="shared" si="67"/>
        <v>3</v>
      </c>
      <c r="D2127" s="242">
        <v>42.3</v>
      </c>
      <c r="E2127" s="845">
        <f t="shared" si="68"/>
        <v>5.7222222222222205</v>
      </c>
    </row>
    <row r="2128" spans="2:5">
      <c r="B2128" s="1115">
        <v>45015</v>
      </c>
      <c r="C2128" s="242">
        <f t="shared" si="67"/>
        <v>3</v>
      </c>
      <c r="D2128" s="242">
        <v>42.3</v>
      </c>
      <c r="E2128" s="845">
        <f t="shared" si="68"/>
        <v>5.7222222222222205</v>
      </c>
    </row>
    <row r="2129" spans="2:5">
      <c r="B2129" s="1115">
        <v>45015</v>
      </c>
      <c r="C2129" s="242">
        <f t="shared" si="67"/>
        <v>3</v>
      </c>
      <c r="D2129" s="242">
        <v>42.1</v>
      </c>
      <c r="E2129" s="845">
        <f t="shared" si="68"/>
        <v>5.6111111111111116</v>
      </c>
    </row>
    <row r="2130" spans="2:5">
      <c r="B2130" s="1115">
        <v>45015</v>
      </c>
      <c r="C2130" s="242">
        <f t="shared" si="67"/>
        <v>3</v>
      </c>
      <c r="D2130" s="242">
        <v>41.7</v>
      </c>
      <c r="E2130" s="845">
        <f t="shared" si="68"/>
        <v>5.3888888888888902</v>
      </c>
    </row>
    <row r="2131" spans="2:5">
      <c r="B2131" s="1115">
        <v>45015</v>
      </c>
      <c r="C2131" s="242">
        <f t="shared" si="67"/>
        <v>3</v>
      </c>
      <c r="D2131" s="242">
        <v>41.7</v>
      </c>
      <c r="E2131" s="845">
        <f t="shared" si="68"/>
        <v>5.3888888888888902</v>
      </c>
    </row>
    <row r="2132" spans="2:5">
      <c r="B2132" s="1115">
        <v>45015</v>
      </c>
      <c r="C2132" s="242">
        <f t="shared" si="67"/>
        <v>3</v>
      </c>
      <c r="D2132" s="242">
        <v>41.4</v>
      </c>
      <c r="E2132" s="845">
        <f t="shared" si="68"/>
        <v>5.2222222222222214</v>
      </c>
    </row>
    <row r="2133" spans="2:5">
      <c r="B2133" s="1115">
        <v>45015</v>
      </c>
      <c r="C2133" s="242">
        <f t="shared" si="67"/>
        <v>3</v>
      </c>
      <c r="D2133" s="242">
        <v>41.2</v>
      </c>
      <c r="E2133" s="845">
        <f t="shared" si="68"/>
        <v>5.1111111111111125</v>
      </c>
    </row>
    <row r="2134" spans="2:5">
      <c r="B2134" s="1115">
        <v>45015</v>
      </c>
      <c r="C2134" s="242">
        <f t="shared" si="67"/>
        <v>3</v>
      </c>
      <c r="D2134" s="242">
        <v>41.2</v>
      </c>
      <c r="E2134" s="845">
        <f t="shared" si="68"/>
        <v>5.1111111111111125</v>
      </c>
    </row>
    <row r="2135" spans="2:5">
      <c r="B2135" s="1115">
        <v>45015</v>
      </c>
      <c r="C2135" s="242">
        <f t="shared" si="67"/>
        <v>3</v>
      </c>
      <c r="D2135" s="242">
        <v>41.2</v>
      </c>
      <c r="E2135" s="845">
        <f t="shared" si="68"/>
        <v>5.1111111111111125</v>
      </c>
    </row>
    <row r="2136" spans="2:5">
      <c r="B2136" s="1115">
        <v>45015</v>
      </c>
      <c r="C2136" s="242">
        <f t="shared" si="67"/>
        <v>3</v>
      </c>
      <c r="D2136" s="242">
        <v>41.4</v>
      </c>
      <c r="E2136" s="845">
        <f t="shared" si="68"/>
        <v>5.2222222222222214</v>
      </c>
    </row>
    <row r="2137" spans="2:5">
      <c r="B2137" s="1115">
        <v>45015</v>
      </c>
      <c r="C2137" s="242">
        <f t="shared" si="67"/>
        <v>3</v>
      </c>
      <c r="D2137" s="242">
        <v>41.7</v>
      </c>
      <c r="E2137" s="845">
        <f t="shared" si="68"/>
        <v>5.3888888888888902</v>
      </c>
    </row>
    <row r="2138" spans="2:5">
      <c r="B2138" s="1115">
        <v>45015</v>
      </c>
      <c r="C2138" s="242">
        <f t="shared" si="67"/>
        <v>3</v>
      </c>
      <c r="D2138" s="242">
        <v>42.1</v>
      </c>
      <c r="E2138" s="845">
        <f t="shared" si="68"/>
        <v>5.6111111111111116</v>
      </c>
    </row>
    <row r="2139" spans="2:5">
      <c r="B2139" s="1115">
        <v>45015</v>
      </c>
      <c r="C2139" s="242">
        <f t="shared" si="67"/>
        <v>3</v>
      </c>
      <c r="D2139" s="242">
        <v>42.4</v>
      </c>
      <c r="E2139" s="845">
        <f t="shared" si="68"/>
        <v>5.7777777777777768</v>
      </c>
    </row>
    <row r="2140" spans="2:5">
      <c r="B2140" s="1115">
        <v>45015</v>
      </c>
      <c r="C2140" s="242">
        <f t="shared" si="67"/>
        <v>3</v>
      </c>
      <c r="D2140" s="242">
        <v>42.4</v>
      </c>
      <c r="E2140" s="845">
        <f t="shared" si="68"/>
        <v>5.7777777777777768</v>
      </c>
    </row>
    <row r="2141" spans="2:5">
      <c r="B2141" s="1115">
        <v>45015</v>
      </c>
      <c r="C2141" s="242">
        <f t="shared" si="67"/>
        <v>3</v>
      </c>
      <c r="D2141" s="242">
        <v>42.6</v>
      </c>
      <c r="E2141" s="845">
        <f t="shared" si="68"/>
        <v>5.8888888888888893</v>
      </c>
    </row>
    <row r="2142" spans="2:5">
      <c r="B2142" s="1115">
        <v>45015</v>
      </c>
      <c r="C2142" s="242">
        <f t="shared" si="67"/>
        <v>3</v>
      </c>
      <c r="D2142" s="242">
        <v>42.3</v>
      </c>
      <c r="E2142" s="845">
        <f t="shared" si="68"/>
        <v>5.7222222222222205</v>
      </c>
    </row>
    <row r="2143" spans="2:5">
      <c r="B2143" s="1115">
        <v>45015</v>
      </c>
      <c r="C2143" s="242">
        <f t="shared" si="67"/>
        <v>3</v>
      </c>
      <c r="D2143" s="242">
        <v>41.4</v>
      </c>
      <c r="E2143" s="845">
        <f t="shared" si="68"/>
        <v>5.2222222222222214</v>
      </c>
    </row>
    <row r="2144" spans="2:5">
      <c r="B2144" s="1115">
        <v>45015</v>
      </c>
      <c r="C2144" s="242">
        <f t="shared" si="67"/>
        <v>3</v>
      </c>
      <c r="D2144" s="242">
        <v>41.4</v>
      </c>
      <c r="E2144" s="845">
        <f t="shared" si="68"/>
        <v>5.2222222222222214</v>
      </c>
    </row>
    <row r="2145" spans="2:5">
      <c r="B2145" s="1115">
        <v>45016</v>
      </c>
      <c r="C2145" s="242">
        <f t="shared" si="67"/>
        <v>3</v>
      </c>
      <c r="D2145" s="242" t="s">
        <v>1837</v>
      </c>
      <c r="E2145" s="845">
        <f t="shared" si="68"/>
        <v>5</v>
      </c>
    </row>
    <row r="2146" spans="2:5">
      <c r="B2146" s="1115">
        <v>45016</v>
      </c>
      <c r="C2146" s="242">
        <f t="shared" si="67"/>
        <v>3</v>
      </c>
      <c r="D2146" s="242" t="s">
        <v>1837</v>
      </c>
      <c r="E2146" s="845">
        <f t="shared" si="68"/>
        <v>5</v>
      </c>
    </row>
    <row r="2147" spans="2:5">
      <c r="B2147" s="1115">
        <v>45016</v>
      </c>
      <c r="C2147" s="242">
        <f t="shared" si="67"/>
        <v>3</v>
      </c>
      <c r="D2147" s="242" t="s">
        <v>1837</v>
      </c>
      <c r="E2147" s="845">
        <f t="shared" si="68"/>
        <v>5</v>
      </c>
    </row>
    <row r="2148" spans="2:5">
      <c r="B2148" s="1115">
        <v>45016</v>
      </c>
      <c r="C2148" s="242">
        <f t="shared" si="67"/>
        <v>3</v>
      </c>
      <c r="D2148" s="242" t="s">
        <v>1837</v>
      </c>
      <c r="E2148" s="845">
        <f t="shared" si="68"/>
        <v>5</v>
      </c>
    </row>
    <row r="2149" spans="2:5">
      <c r="B2149" s="1115">
        <v>45016</v>
      </c>
      <c r="C2149" s="242">
        <f t="shared" si="67"/>
        <v>3</v>
      </c>
      <c r="D2149" s="242">
        <v>41.4</v>
      </c>
      <c r="E2149" s="845">
        <f t="shared" si="68"/>
        <v>5.2222222222222214</v>
      </c>
    </row>
    <row r="2150" spans="2:5">
      <c r="B2150" s="1115">
        <v>45016</v>
      </c>
      <c r="C2150" s="242">
        <f t="shared" si="67"/>
        <v>3</v>
      </c>
      <c r="D2150" s="242">
        <v>41.5</v>
      </c>
      <c r="E2150" s="845">
        <f t="shared" si="68"/>
        <v>5.2777777777777777</v>
      </c>
    </row>
    <row r="2151" spans="2:5">
      <c r="B2151" s="1115">
        <v>45016</v>
      </c>
      <c r="C2151" s="242">
        <f t="shared" si="67"/>
        <v>3</v>
      </c>
      <c r="D2151" s="242">
        <v>41.9</v>
      </c>
      <c r="E2151" s="845">
        <f t="shared" si="68"/>
        <v>5.4999999999999991</v>
      </c>
    </row>
    <row r="2152" spans="2:5">
      <c r="B2152" s="1115">
        <v>45016</v>
      </c>
      <c r="C2152" s="242">
        <f t="shared" si="67"/>
        <v>3</v>
      </c>
      <c r="D2152" s="242">
        <v>41.9</v>
      </c>
      <c r="E2152" s="845">
        <f t="shared" si="68"/>
        <v>5.4999999999999991</v>
      </c>
    </row>
    <row r="2153" spans="2:5">
      <c r="B2153" s="1115">
        <v>45016</v>
      </c>
      <c r="C2153" s="242">
        <f t="shared" si="67"/>
        <v>3</v>
      </c>
      <c r="D2153" s="242">
        <v>41.9</v>
      </c>
      <c r="E2153" s="845">
        <f t="shared" si="68"/>
        <v>5.4999999999999991</v>
      </c>
    </row>
    <row r="2154" spans="2:5">
      <c r="B2154" s="1115">
        <v>45016</v>
      </c>
      <c r="C2154" s="242">
        <f t="shared" si="67"/>
        <v>3</v>
      </c>
      <c r="D2154" s="242">
        <v>41.7</v>
      </c>
      <c r="E2154" s="845">
        <f t="shared" si="68"/>
        <v>5.3888888888888902</v>
      </c>
    </row>
    <row r="2155" spans="2:5">
      <c r="B2155" s="1115">
        <v>45016</v>
      </c>
      <c r="C2155" s="242">
        <f t="shared" si="67"/>
        <v>3</v>
      </c>
      <c r="D2155" s="242">
        <v>41.2</v>
      </c>
      <c r="E2155" s="845">
        <f t="shared" si="68"/>
        <v>5.1111111111111125</v>
      </c>
    </row>
    <row r="2156" spans="2:5">
      <c r="B2156" s="1115">
        <v>45016</v>
      </c>
      <c r="C2156" s="242">
        <f t="shared" si="67"/>
        <v>3</v>
      </c>
      <c r="D2156" s="242" t="s">
        <v>1837</v>
      </c>
      <c r="E2156" s="845">
        <f t="shared" si="68"/>
        <v>5</v>
      </c>
    </row>
    <row r="2157" spans="2:5">
      <c r="B2157" s="1115">
        <v>45016</v>
      </c>
      <c r="C2157" s="242">
        <f t="shared" si="67"/>
        <v>3</v>
      </c>
      <c r="D2157" s="242" t="s">
        <v>1837</v>
      </c>
      <c r="E2157" s="845">
        <f t="shared" si="68"/>
        <v>5</v>
      </c>
    </row>
    <row r="2158" spans="2:5">
      <c r="B2158" s="1115">
        <v>45016</v>
      </c>
      <c r="C2158" s="242">
        <f t="shared" si="67"/>
        <v>3</v>
      </c>
      <c r="D2158" s="242">
        <v>40.799999999999997</v>
      </c>
      <c r="E2158" s="845">
        <f t="shared" si="68"/>
        <v>4.8888888888888875</v>
      </c>
    </row>
    <row r="2159" spans="2:5">
      <c r="B2159" s="1115">
        <v>45016</v>
      </c>
      <c r="C2159" s="242">
        <f t="shared" si="67"/>
        <v>3</v>
      </c>
      <c r="D2159" s="242" t="s">
        <v>1837</v>
      </c>
      <c r="E2159" s="845">
        <f t="shared" si="68"/>
        <v>5</v>
      </c>
    </row>
    <row r="2160" spans="2:5">
      <c r="B2160" s="1115">
        <v>45016</v>
      </c>
      <c r="C2160" s="242">
        <f t="shared" si="67"/>
        <v>3</v>
      </c>
      <c r="D2160" s="242" t="s">
        <v>1837</v>
      </c>
      <c r="E2160" s="845">
        <f t="shared" si="68"/>
        <v>5</v>
      </c>
    </row>
    <row r="2161" spans="2:5">
      <c r="B2161" s="1115">
        <v>45016</v>
      </c>
      <c r="C2161" s="242">
        <f t="shared" si="67"/>
        <v>3</v>
      </c>
      <c r="D2161" s="242">
        <v>41.2</v>
      </c>
      <c r="E2161" s="845">
        <f t="shared" si="68"/>
        <v>5.1111111111111125</v>
      </c>
    </row>
    <row r="2162" spans="2:5">
      <c r="B2162" s="1115">
        <v>45016</v>
      </c>
      <c r="C2162" s="242">
        <f t="shared" si="67"/>
        <v>3</v>
      </c>
      <c r="D2162" s="242">
        <v>41.5</v>
      </c>
      <c r="E2162" s="845">
        <f t="shared" si="68"/>
        <v>5.2777777777777777</v>
      </c>
    </row>
    <row r="2163" spans="2:5">
      <c r="B2163" s="1115">
        <v>45016</v>
      </c>
      <c r="C2163" s="242">
        <f t="shared" si="67"/>
        <v>3</v>
      </c>
      <c r="D2163" s="242">
        <v>42.1</v>
      </c>
      <c r="E2163" s="845">
        <f t="shared" si="68"/>
        <v>5.6111111111111116</v>
      </c>
    </row>
    <row r="2164" spans="2:5">
      <c r="B2164" s="1115">
        <v>45016</v>
      </c>
      <c r="C2164" s="242">
        <f t="shared" si="67"/>
        <v>3</v>
      </c>
      <c r="D2164" s="242">
        <v>42.4</v>
      </c>
      <c r="E2164" s="845">
        <f t="shared" si="68"/>
        <v>5.7777777777777768</v>
      </c>
    </row>
    <row r="2165" spans="2:5">
      <c r="B2165" s="1115">
        <v>45016</v>
      </c>
      <c r="C2165" s="242">
        <f t="shared" si="67"/>
        <v>3</v>
      </c>
      <c r="D2165" s="242">
        <v>42.4</v>
      </c>
      <c r="E2165" s="845">
        <f t="shared" si="68"/>
        <v>5.7777777777777768</v>
      </c>
    </row>
    <row r="2166" spans="2:5">
      <c r="B2166" s="1115">
        <v>45016</v>
      </c>
      <c r="C2166" s="242">
        <f t="shared" si="67"/>
        <v>3</v>
      </c>
      <c r="D2166" s="242">
        <v>42.4</v>
      </c>
      <c r="E2166" s="845">
        <f t="shared" si="68"/>
        <v>5.7777777777777768</v>
      </c>
    </row>
    <row r="2167" spans="2:5">
      <c r="B2167" s="1115">
        <v>45016</v>
      </c>
      <c r="C2167" s="242">
        <f t="shared" si="67"/>
        <v>3</v>
      </c>
      <c r="D2167" s="242">
        <v>42.3</v>
      </c>
      <c r="E2167" s="845">
        <f t="shared" si="68"/>
        <v>5.7222222222222205</v>
      </c>
    </row>
    <row r="2168" spans="2:5">
      <c r="B2168" s="1115">
        <v>45016</v>
      </c>
      <c r="C2168" s="242">
        <f t="shared" si="67"/>
        <v>3</v>
      </c>
      <c r="D2168" s="242">
        <v>41.7</v>
      </c>
      <c r="E2168" s="845">
        <f t="shared" si="68"/>
        <v>5.3888888888888902</v>
      </c>
    </row>
    <row r="2169" spans="2:5">
      <c r="B2169" s="1115">
        <v>45017</v>
      </c>
      <c r="C2169" s="242">
        <f t="shared" si="67"/>
        <v>4</v>
      </c>
      <c r="D2169" s="242">
        <v>41.5</v>
      </c>
      <c r="E2169" s="845">
        <f t="shared" si="68"/>
        <v>5.2777777777777777</v>
      </c>
    </row>
    <row r="2170" spans="2:5">
      <c r="B2170" s="1115">
        <v>45017</v>
      </c>
      <c r="C2170" s="242">
        <f t="shared" si="67"/>
        <v>4</v>
      </c>
      <c r="D2170" s="242">
        <v>41.5</v>
      </c>
      <c r="E2170" s="845">
        <f t="shared" si="68"/>
        <v>5.2777777777777777</v>
      </c>
    </row>
    <row r="2171" spans="2:5">
      <c r="B2171" s="1115">
        <v>45017</v>
      </c>
      <c r="C2171" s="242">
        <f t="shared" si="67"/>
        <v>4</v>
      </c>
      <c r="D2171" s="242">
        <v>41.5</v>
      </c>
      <c r="E2171" s="845">
        <f t="shared" si="68"/>
        <v>5.2777777777777777</v>
      </c>
    </row>
    <row r="2172" spans="2:5">
      <c r="B2172" s="1115">
        <v>45017</v>
      </c>
      <c r="C2172" s="242">
        <f t="shared" si="67"/>
        <v>4</v>
      </c>
      <c r="D2172" s="242">
        <v>41.5</v>
      </c>
      <c r="E2172" s="845">
        <f t="shared" si="68"/>
        <v>5.2777777777777777</v>
      </c>
    </row>
    <row r="2173" spans="2:5">
      <c r="B2173" s="1115">
        <v>45017</v>
      </c>
      <c r="C2173" s="242">
        <f t="shared" si="67"/>
        <v>4</v>
      </c>
      <c r="D2173" s="242">
        <v>41.5</v>
      </c>
      <c r="E2173" s="845">
        <f t="shared" si="68"/>
        <v>5.2777777777777777</v>
      </c>
    </row>
    <row r="2174" spans="2:5">
      <c r="B2174" s="1115">
        <v>45017</v>
      </c>
      <c r="C2174" s="242">
        <f t="shared" si="67"/>
        <v>4</v>
      </c>
      <c r="D2174" s="242">
        <v>41.5</v>
      </c>
      <c r="E2174" s="845">
        <f t="shared" si="68"/>
        <v>5.2777777777777777</v>
      </c>
    </row>
    <row r="2175" spans="2:5">
      <c r="B2175" s="1115">
        <v>45017</v>
      </c>
      <c r="C2175" s="242">
        <f t="shared" si="67"/>
        <v>4</v>
      </c>
      <c r="D2175" s="242">
        <v>41.7</v>
      </c>
      <c r="E2175" s="845">
        <f t="shared" si="68"/>
        <v>5.3888888888888902</v>
      </c>
    </row>
    <row r="2176" spans="2:5">
      <c r="B2176" s="1115">
        <v>45017</v>
      </c>
      <c r="C2176" s="242">
        <f t="shared" si="67"/>
        <v>4</v>
      </c>
      <c r="D2176" s="242">
        <v>41.9</v>
      </c>
      <c r="E2176" s="845">
        <f t="shared" si="68"/>
        <v>5.4999999999999991</v>
      </c>
    </row>
    <row r="2177" spans="2:5">
      <c r="B2177" s="1115">
        <v>45017</v>
      </c>
      <c r="C2177" s="242">
        <f t="shared" si="67"/>
        <v>4</v>
      </c>
      <c r="D2177" s="242">
        <v>42.1</v>
      </c>
      <c r="E2177" s="845">
        <f t="shared" si="68"/>
        <v>5.6111111111111116</v>
      </c>
    </row>
    <row r="2178" spans="2:5">
      <c r="B2178" s="1115">
        <v>45017</v>
      </c>
      <c r="C2178" s="242">
        <f t="shared" si="67"/>
        <v>4</v>
      </c>
      <c r="D2178" s="242">
        <v>42.1</v>
      </c>
      <c r="E2178" s="845">
        <f t="shared" si="68"/>
        <v>5.6111111111111116</v>
      </c>
    </row>
    <row r="2179" spans="2:5">
      <c r="B2179" s="1115">
        <v>45017</v>
      </c>
      <c r="C2179" s="242">
        <f t="shared" si="67"/>
        <v>4</v>
      </c>
      <c r="D2179" s="242">
        <v>41.9</v>
      </c>
      <c r="E2179" s="845">
        <f t="shared" si="68"/>
        <v>5.4999999999999991</v>
      </c>
    </row>
    <row r="2180" spans="2:5">
      <c r="B2180" s="1115">
        <v>45017</v>
      </c>
      <c r="C2180" s="242">
        <f t="shared" si="67"/>
        <v>4</v>
      </c>
      <c r="D2180" s="242">
        <v>41.5</v>
      </c>
      <c r="E2180" s="845">
        <f t="shared" si="68"/>
        <v>5.2777777777777777</v>
      </c>
    </row>
    <row r="2181" spans="2:5">
      <c r="B2181" s="1115">
        <v>45017</v>
      </c>
      <c r="C2181" s="242">
        <f t="shared" si="67"/>
        <v>4</v>
      </c>
      <c r="D2181" s="242">
        <v>41.4</v>
      </c>
      <c r="E2181" s="845">
        <f t="shared" si="68"/>
        <v>5.2222222222222214</v>
      </c>
    </row>
    <row r="2182" spans="2:5">
      <c r="B2182" s="1115">
        <v>45017</v>
      </c>
      <c r="C2182" s="242">
        <f t="shared" si="67"/>
        <v>4</v>
      </c>
      <c r="D2182" s="242">
        <v>41.4</v>
      </c>
      <c r="E2182" s="845">
        <f t="shared" si="68"/>
        <v>5.2222222222222214</v>
      </c>
    </row>
    <row r="2183" spans="2:5">
      <c r="B2183" s="1115">
        <v>45017</v>
      </c>
      <c r="C2183" s="242">
        <f t="shared" si="67"/>
        <v>4</v>
      </c>
      <c r="D2183" s="242">
        <v>41.2</v>
      </c>
      <c r="E2183" s="845">
        <f t="shared" si="68"/>
        <v>5.1111111111111125</v>
      </c>
    </row>
    <row r="2184" spans="2:5">
      <c r="B2184" s="1115">
        <v>45017</v>
      </c>
      <c r="C2184" s="242">
        <f t="shared" si="67"/>
        <v>4</v>
      </c>
      <c r="D2184" s="242">
        <v>41.2</v>
      </c>
      <c r="E2184" s="845">
        <f t="shared" si="68"/>
        <v>5.1111111111111125</v>
      </c>
    </row>
    <row r="2185" spans="2:5">
      <c r="B2185" s="1115">
        <v>45017</v>
      </c>
      <c r="C2185" s="242">
        <f t="shared" si="67"/>
        <v>4</v>
      </c>
      <c r="D2185" s="242">
        <v>41.4</v>
      </c>
      <c r="E2185" s="845">
        <f t="shared" si="68"/>
        <v>5.2222222222222214</v>
      </c>
    </row>
    <row r="2186" spans="2:5">
      <c r="B2186" s="1115">
        <v>45017</v>
      </c>
      <c r="C2186" s="242">
        <f t="shared" ref="C2186:C2249" si="69">MONTH(B2186)</f>
        <v>4</v>
      </c>
      <c r="D2186" s="242">
        <v>41.4</v>
      </c>
      <c r="E2186" s="845">
        <f t="shared" ref="E2186:E2249" si="70">CONVERT(D2186,"F","C")</f>
        <v>5.2222222222222214</v>
      </c>
    </row>
    <row r="2187" spans="2:5">
      <c r="B2187" s="1115">
        <v>45017</v>
      </c>
      <c r="C2187" s="242">
        <f t="shared" si="69"/>
        <v>4</v>
      </c>
      <c r="D2187" s="242">
        <v>41.7</v>
      </c>
      <c r="E2187" s="845">
        <f t="shared" si="70"/>
        <v>5.3888888888888902</v>
      </c>
    </row>
    <row r="2188" spans="2:5">
      <c r="B2188" s="1115">
        <v>45017</v>
      </c>
      <c r="C2188" s="242">
        <f t="shared" si="69"/>
        <v>4</v>
      </c>
      <c r="D2188" s="242">
        <v>42.1</v>
      </c>
      <c r="E2188" s="845">
        <f t="shared" si="70"/>
        <v>5.6111111111111116</v>
      </c>
    </row>
    <row r="2189" spans="2:5">
      <c r="B2189" s="1115">
        <v>45017</v>
      </c>
      <c r="C2189" s="242">
        <f t="shared" si="69"/>
        <v>4</v>
      </c>
      <c r="D2189" s="242">
        <v>42.3</v>
      </c>
      <c r="E2189" s="845">
        <f t="shared" si="70"/>
        <v>5.7222222222222205</v>
      </c>
    </row>
    <row r="2190" spans="2:5">
      <c r="B2190" s="1115">
        <v>45017</v>
      </c>
      <c r="C2190" s="242">
        <f t="shared" si="69"/>
        <v>4</v>
      </c>
      <c r="D2190" s="242">
        <v>42.4</v>
      </c>
      <c r="E2190" s="845">
        <f t="shared" si="70"/>
        <v>5.7777777777777768</v>
      </c>
    </row>
    <row r="2191" spans="2:5">
      <c r="B2191" s="1115">
        <v>45017</v>
      </c>
      <c r="C2191" s="242">
        <f t="shared" si="69"/>
        <v>4</v>
      </c>
      <c r="D2191" s="242">
        <v>42.4</v>
      </c>
      <c r="E2191" s="845">
        <f t="shared" si="70"/>
        <v>5.7777777777777768</v>
      </c>
    </row>
    <row r="2192" spans="2:5">
      <c r="B2192" s="1115">
        <v>45017</v>
      </c>
      <c r="C2192" s="242">
        <f t="shared" si="69"/>
        <v>4</v>
      </c>
      <c r="D2192" s="242">
        <v>42.3</v>
      </c>
      <c r="E2192" s="845">
        <f t="shared" si="70"/>
        <v>5.7222222222222205</v>
      </c>
    </row>
    <row r="2193" spans="2:5">
      <c r="B2193" s="1115">
        <v>45018</v>
      </c>
      <c r="C2193" s="242">
        <f t="shared" si="69"/>
        <v>4</v>
      </c>
      <c r="D2193" s="242">
        <v>41.7</v>
      </c>
      <c r="E2193" s="845">
        <f t="shared" si="70"/>
        <v>5.3888888888888902</v>
      </c>
    </row>
    <row r="2194" spans="2:5">
      <c r="B2194" s="1115">
        <v>45018</v>
      </c>
      <c r="C2194" s="242">
        <f t="shared" si="69"/>
        <v>4</v>
      </c>
      <c r="D2194" s="242">
        <v>41.5</v>
      </c>
      <c r="E2194" s="845">
        <f t="shared" si="70"/>
        <v>5.2777777777777777</v>
      </c>
    </row>
    <row r="2195" spans="2:5">
      <c r="B2195" s="1115">
        <v>45018</v>
      </c>
      <c r="C2195" s="242">
        <f t="shared" si="69"/>
        <v>4</v>
      </c>
      <c r="D2195" s="242">
        <v>41.4</v>
      </c>
      <c r="E2195" s="845">
        <f t="shared" si="70"/>
        <v>5.2222222222222214</v>
      </c>
    </row>
    <row r="2196" spans="2:5">
      <c r="B2196" s="1115">
        <v>45018</v>
      </c>
      <c r="C2196" s="242">
        <f t="shared" si="69"/>
        <v>4</v>
      </c>
      <c r="D2196" s="242">
        <v>41.4</v>
      </c>
      <c r="E2196" s="845">
        <f t="shared" si="70"/>
        <v>5.2222222222222214</v>
      </c>
    </row>
    <row r="2197" spans="2:5">
      <c r="B2197" s="1115">
        <v>45018</v>
      </c>
      <c r="C2197" s="242">
        <f t="shared" si="69"/>
        <v>4</v>
      </c>
      <c r="D2197" s="242">
        <v>41.5</v>
      </c>
      <c r="E2197" s="845">
        <f t="shared" si="70"/>
        <v>5.2777777777777777</v>
      </c>
    </row>
    <row r="2198" spans="2:5">
      <c r="B2198" s="1115">
        <v>45018</v>
      </c>
      <c r="C2198" s="242">
        <f t="shared" si="69"/>
        <v>4</v>
      </c>
      <c r="D2198" s="242">
        <v>41.5</v>
      </c>
      <c r="E2198" s="845">
        <f t="shared" si="70"/>
        <v>5.2777777777777777</v>
      </c>
    </row>
    <row r="2199" spans="2:5">
      <c r="B2199" s="1115">
        <v>45018</v>
      </c>
      <c r="C2199" s="242">
        <f t="shared" si="69"/>
        <v>4</v>
      </c>
      <c r="D2199" s="242">
        <v>41.7</v>
      </c>
      <c r="E2199" s="845">
        <f t="shared" si="70"/>
        <v>5.3888888888888902</v>
      </c>
    </row>
    <row r="2200" spans="2:5">
      <c r="B2200" s="1115">
        <v>45018</v>
      </c>
      <c r="C2200" s="242">
        <f t="shared" si="69"/>
        <v>4</v>
      </c>
      <c r="D2200" s="242">
        <v>41.9</v>
      </c>
      <c r="E2200" s="845">
        <f t="shared" si="70"/>
        <v>5.4999999999999991</v>
      </c>
    </row>
    <row r="2201" spans="2:5">
      <c r="B2201" s="1115">
        <v>45018</v>
      </c>
      <c r="C2201" s="242">
        <f t="shared" si="69"/>
        <v>4</v>
      </c>
      <c r="D2201" s="242">
        <v>42.3</v>
      </c>
      <c r="E2201" s="845">
        <f t="shared" si="70"/>
        <v>5.7222222222222205</v>
      </c>
    </row>
    <row r="2202" spans="2:5">
      <c r="B2202" s="1115">
        <v>45018</v>
      </c>
      <c r="C2202" s="242">
        <f t="shared" si="69"/>
        <v>4</v>
      </c>
      <c r="D2202" s="242">
        <v>42.4</v>
      </c>
      <c r="E2202" s="845">
        <f t="shared" si="70"/>
        <v>5.7777777777777768</v>
      </c>
    </row>
    <row r="2203" spans="2:5">
      <c r="B2203" s="1115">
        <v>45018</v>
      </c>
      <c r="C2203" s="242">
        <f t="shared" si="69"/>
        <v>4</v>
      </c>
      <c r="D2203" s="242">
        <v>42.3</v>
      </c>
      <c r="E2203" s="845">
        <f t="shared" si="70"/>
        <v>5.7222222222222205</v>
      </c>
    </row>
    <row r="2204" spans="2:5">
      <c r="B2204" s="1115">
        <v>45018</v>
      </c>
      <c r="C2204" s="242">
        <f t="shared" si="69"/>
        <v>4</v>
      </c>
      <c r="D2204" s="242">
        <v>42.1</v>
      </c>
      <c r="E2204" s="845">
        <f t="shared" si="70"/>
        <v>5.6111111111111116</v>
      </c>
    </row>
    <row r="2205" spans="2:5">
      <c r="B2205" s="1115">
        <v>45018</v>
      </c>
      <c r="C2205" s="242">
        <f t="shared" si="69"/>
        <v>4</v>
      </c>
      <c r="D2205" s="242">
        <v>41.5</v>
      </c>
      <c r="E2205" s="845">
        <f t="shared" si="70"/>
        <v>5.2777777777777777</v>
      </c>
    </row>
    <row r="2206" spans="2:5">
      <c r="B2206" s="1115">
        <v>45018</v>
      </c>
      <c r="C2206" s="242">
        <f t="shared" si="69"/>
        <v>4</v>
      </c>
      <c r="D2206" s="242">
        <v>41.5</v>
      </c>
      <c r="E2206" s="845">
        <f t="shared" si="70"/>
        <v>5.2777777777777777</v>
      </c>
    </row>
    <row r="2207" spans="2:5">
      <c r="B2207" s="1115">
        <v>45018</v>
      </c>
      <c r="C2207" s="242">
        <f t="shared" si="69"/>
        <v>4</v>
      </c>
      <c r="D2207" s="242">
        <v>41.5</v>
      </c>
      <c r="E2207" s="845">
        <f t="shared" si="70"/>
        <v>5.2777777777777777</v>
      </c>
    </row>
    <row r="2208" spans="2:5">
      <c r="B2208" s="1115">
        <v>45018</v>
      </c>
      <c r="C2208" s="242">
        <f t="shared" si="69"/>
        <v>4</v>
      </c>
      <c r="D2208" s="242">
        <v>41.2</v>
      </c>
      <c r="E2208" s="845">
        <f t="shared" si="70"/>
        <v>5.1111111111111125</v>
      </c>
    </row>
    <row r="2209" spans="2:5">
      <c r="B2209" s="1115">
        <v>45018</v>
      </c>
      <c r="C2209" s="242">
        <f t="shared" si="69"/>
        <v>4</v>
      </c>
      <c r="D2209" s="242">
        <v>41.5</v>
      </c>
      <c r="E2209" s="845">
        <f t="shared" si="70"/>
        <v>5.2777777777777777</v>
      </c>
    </row>
    <row r="2210" spans="2:5">
      <c r="B2210" s="1115">
        <v>45018</v>
      </c>
      <c r="C2210" s="242">
        <f t="shared" si="69"/>
        <v>4</v>
      </c>
      <c r="D2210" s="242">
        <v>41.5</v>
      </c>
      <c r="E2210" s="845">
        <f t="shared" si="70"/>
        <v>5.2777777777777777</v>
      </c>
    </row>
    <row r="2211" spans="2:5">
      <c r="B2211" s="1115">
        <v>45018</v>
      </c>
      <c r="C2211" s="242">
        <f t="shared" si="69"/>
        <v>4</v>
      </c>
      <c r="D2211" s="242">
        <v>42.1</v>
      </c>
      <c r="E2211" s="845">
        <f t="shared" si="70"/>
        <v>5.6111111111111116</v>
      </c>
    </row>
    <row r="2212" spans="2:5">
      <c r="B2212" s="1115">
        <v>45018</v>
      </c>
      <c r="C2212" s="242">
        <f t="shared" si="69"/>
        <v>4</v>
      </c>
      <c r="D2212" s="242">
        <v>42.4</v>
      </c>
      <c r="E2212" s="845">
        <f t="shared" si="70"/>
        <v>5.7777777777777768</v>
      </c>
    </row>
    <row r="2213" spans="2:5">
      <c r="B2213" s="1115">
        <v>45018</v>
      </c>
      <c r="C2213" s="242">
        <f t="shared" si="69"/>
        <v>4</v>
      </c>
      <c r="D2213" s="242">
        <v>42.8</v>
      </c>
      <c r="E2213" s="845">
        <f t="shared" si="70"/>
        <v>5.9999999999999982</v>
      </c>
    </row>
    <row r="2214" spans="2:5">
      <c r="B2214" s="1115">
        <v>45018</v>
      </c>
      <c r="C2214" s="242">
        <f t="shared" si="69"/>
        <v>4</v>
      </c>
      <c r="D2214" s="242" t="s">
        <v>1838</v>
      </c>
      <c r="E2214" s="845">
        <f t="shared" si="70"/>
        <v>6.1111111111111107</v>
      </c>
    </row>
    <row r="2215" spans="2:5">
      <c r="B2215" s="1115">
        <v>45018</v>
      </c>
      <c r="C2215" s="242">
        <f t="shared" si="69"/>
        <v>4</v>
      </c>
      <c r="D2215" s="242">
        <v>43.2</v>
      </c>
      <c r="E2215" s="845">
        <f t="shared" si="70"/>
        <v>6.2222222222222232</v>
      </c>
    </row>
    <row r="2216" spans="2:5">
      <c r="B2216" s="1115">
        <v>45018</v>
      </c>
      <c r="C2216" s="242">
        <f t="shared" si="69"/>
        <v>4</v>
      </c>
      <c r="D2216" s="242" t="s">
        <v>1838</v>
      </c>
      <c r="E2216" s="845">
        <f t="shared" si="70"/>
        <v>6.1111111111111107</v>
      </c>
    </row>
    <row r="2217" spans="2:5">
      <c r="B2217" s="1115">
        <v>45019</v>
      </c>
      <c r="C2217" s="242">
        <f t="shared" si="69"/>
        <v>4</v>
      </c>
      <c r="D2217" s="242">
        <v>42.3</v>
      </c>
      <c r="E2217" s="845">
        <f t="shared" si="70"/>
        <v>5.7222222222222205</v>
      </c>
    </row>
    <row r="2218" spans="2:5">
      <c r="B2218" s="1115">
        <v>45019</v>
      </c>
      <c r="C2218" s="242">
        <f t="shared" si="69"/>
        <v>4</v>
      </c>
      <c r="D2218" s="242">
        <v>41.9</v>
      </c>
      <c r="E2218" s="845">
        <f t="shared" si="70"/>
        <v>5.4999999999999991</v>
      </c>
    </row>
    <row r="2219" spans="2:5">
      <c r="B2219" s="1115">
        <v>45019</v>
      </c>
      <c r="C2219" s="242">
        <f t="shared" si="69"/>
        <v>4</v>
      </c>
      <c r="D2219" s="242">
        <v>41.5</v>
      </c>
      <c r="E2219" s="845">
        <f t="shared" si="70"/>
        <v>5.2777777777777777</v>
      </c>
    </row>
    <row r="2220" spans="2:5">
      <c r="B2220" s="1115">
        <v>45019</v>
      </c>
      <c r="C2220" s="242">
        <f t="shared" si="69"/>
        <v>4</v>
      </c>
      <c r="D2220" s="242">
        <v>41.4</v>
      </c>
      <c r="E2220" s="845">
        <f t="shared" si="70"/>
        <v>5.2222222222222214</v>
      </c>
    </row>
    <row r="2221" spans="2:5">
      <c r="B2221" s="1115">
        <v>45019</v>
      </c>
      <c r="C2221" s="242">
        <f t="shared" si="69"/>
        <v>4</v>
      </c>
      <c r="D2221" s="242">
        <v>41.4</v>
      </c>
      <c r="E2221" s="845">
        <f t="shared" si="70"/>
        <v>5.2222222222222214</v>
      </c>
    </row>
    <row r="2222" spans="2:5">
      <c r="B2222" s="1115">
        <v>45019</v>
      </c>
      <c r="C2222" s="242">
        <f t="shared" si="69"/>
        <v>4</v>
      </c>
      <c r="D2222" s="242">
        <v>41.4</v>
      </c>
      <c r="E2222" s="845">
        <f t="shared" si="70"/>
        <v>5.2222222222222214</v>
      </c>
    </row>
    <row r="2223" spans="2:5">
      <c r="B2223" s="1115">
        <v>45019</v>
      </c>
      <c r="C2223" s="242">
        <f t="shared" si="69"/>
        <v>4</v>
      </c>
      <c r="D2223" s="242">
        <v>41.4</v>
      </c>
      <c r="E2223" s="845">
        <f t="shared" si="70"/>
        <v>5.2222222222222214</v>
      </c>
    </row>
    <row r="2224" spans="2:5">
      <c r="B2224" s="1115">
        <v>45019</v>
      </c>
      <c r="C2224" s="242">
        <f t="shared" si="69"/>
        <v>4</v>
      </c>
      <c r="D2224" s="242">
        <v>41.7</v>
      </c>
      <c r="E2224" s="845">
        <f t="shared" si="70"/>
        <v>5.3888888888888902</v>
      </c>
    </row>
    <row r="2225" spans="2:5">
      <c r="B2225" s="1115">
        <v>45019</v>
      </c>
      <c r="C2225" s="242">
        <f t="shared" si="69"/>
        <v>4</v>
      </c>
      <c r="D2225" s="242">
        <v>42.1</v>
      </c>
      <c r="E2225" s="845">
        <f t="shared" si="70"/>
        <v>5.6111111111111116</v>
      </c>
    </row>
    <row r="2226" spans="2:5">
      <c r="B2226" s="1115">
        <v>45019</v>
      </c>
      <c r="C2226" s="242">
        <f t="shared" si="69"/>
        <v>4</v>
      </c>
      <c r="D2226" s="242">
        <v>42.4</v>
      </c>
      <c r="E2226" s="845">
        <f t="shared" si="70"/>
        <v>5.7777777777777768</v>
      </c>
    </row>
    <row r="2227" spans="2:5">
      <c r="B2227" s="1115">
        <v>45019</v>
      </c>
      <c r="C2227" s="242">
        <f t="shared" si="69"/>
        <v>4</v>
      </c>
      <c r="D2227" s="242">
        <v>42.4</v>
      </c>
      <c r="E2227" s="845">
        <f t="shared" si="70"/>
        <v>5.7777777777777768</v>
      </c>
    </row>
    <row r="2228" spans="2:5">
      <c r="B2228" s="1115">
        <v>45019</v>
      </c>
      <c r="C2228" s="242">
        <f t="shared" si="69"/>
        <v>4</v>
      </c>
      <c r="D2228" s="242">
        <v>42.4</v>
      </c>
      <c r="E2228" s="845">
        <f t="shared" si="70"/>
        <v>5.7777777777777768</v>
      </c>
    </row>
    <row r="2229" spans="2:5">
      <c r="B2229" s="1115">
        <v>45019</v>
      </c>
      <c r="C2229" s="242">
        <f t="shared" si="69"/>
        <v>4</v>
      </c>
      <c r="D2229" s="242">
        <v>42.1</v>
      </c>
      <c r="E2229" s="845">
        <f t="shared" si="70"/>
        <v>5.6111111111111116</v>
      </c>
    </row>
    <row r="2230" spans="2:5">
      <c r="B2230" s="1115">
        <v>45019</v>
      </c>
      <c r="C2230" s="242">
        <f t="shared" si="69"/>
        <v>4</v>
      </c>
      <c r="D2230" s="242">
        <v>41.5</v>
      </c>
      <c r="E2230" s="845">
        <f t="shared" si="70"/>
        <v>5.2777777777777777</v>
      </c>
    </row>
    <row r="2231" spans="2:5">
      <c r="B2231" s="1115">
        <v>45019</v>
      </c>
      <c r="C2231" s="242">
        <f t="shared" si="69"/>
        <v>4</v>
      </c>
      <c r="D2231" s="242">
        <v>41.5</v>
      </c>
      <c r="E2231" s="845">
        <f t="shared" si="70"/>
        <v>5.2777777777777777</v>
      </c>
    </row>
    <row r="2232" spans="2:5">
      <c r="B2232" s="1115">
        <v>45019</v>
      </c>
      <c r="C2232" s="242">
        <f t="shared" si="69"/>
        <v>4</v>
      </c>
      <c r="D2232" s="242">
        <v>41.4</v>
      </c>
      <c r="E2232" s="845">
        <f t="shared" si="70"/>
        <v>5.2222222222222214</v>
      </c>
    </row>
    <row r="2233" spans="2:5">
      <c r="B2233" s="1115">
        <v>45019</v>
      </c>
      <c r="C2233" s="242">
        <f t="shared" si="69"/>
        <v>4</v>
      </c>
      <c r="D2233" s="242">
        <v>41.2</v>
      </c>
      <c r="E2233" s="845">
        <f t="shared" si="70"/>
        <v>5.1111111111111125</v>
      </c>
    </row>
    <row r="2234" spans="2:5">
      <c r="B2234" s="1115">
        <v>45019</v>
      </c>
      <c r="C2234" s="242">
        <f t="shared" si="69"/>
        <v>4</v>
      </c>
      <c r="D2234" s="242">
        <v>41.7</v>
      </c>
      <c r="E2234" s="845">
        <f t="shared" si="70"/>
        <v>5.3888888888888902</v>
      </c>
    </row>
    <row r="2235" spans="2:5">
      <c r="B2235" s="1115">
        <v>45019</v>
      </c>
      <c r="C2235" s="242">
        <f t="shared" si="69"/>
        <v>4</v>
      </c>
      <c r="D2235" s="242">
        <v>41.7</v>
      </c>
      <c r="E2235" s="845">
        <f t="shared" si="70"/>
        <v>5.3888888888888902</v>
      </c>
    </row>
    <row r="2236" spans="2:5">
      <c r="B2236" s="1115">
        <v>45019</v>
      </c>
      <c r="C2236" s="242">
        <f t="shared" si="69"/>
        <v>4</v>
      </c>
      <c r="D2236" s="242">
        <v>42.1</v>
      </c>
      <c r="E2236" s="845">
        <f t="shared" si="70"/>
        <v>5.6111111111111116</v>
      </c>
    </row>
    <row r="2237" spans="2:5">
      <c r="B2237" s="1115">
        <v>45019</v>
      </c>
      <c r="C2237" s="242">
        <f t="shared" si="69"/>
        <v>4</v>
      </c>
      <c r="D2237" s="242">
        <v>42.6</v>
      </c>
      <c r="E2237" s="845">
        <f t="shared" si="70"/>
        <v>5.8888888888888893</v>
      </c>
    </row>
    <row r="2238" spans="2:5">
      <c r="B2238" s="1115">
        <v>45019</v>
      </c>
      <c r="C2238" s="242">
        <f t="shared" si="69"/>
        <v>4</v>
      </c>
      <c r="D2238" s="242">
        <v>43.2</v>
      </c>
      <c r="E2238" s="845">
        <f t="shared" si="70"/>
        <v>6.2222222222222232</v>
      </c>
    </row>
    <row r="2239" spans="2:5">
      <c r="B2239" s="1115">
        <v>45019</v>
      </c>
      <c r="C2239" s="242">
        <f t="shared" si="69"/>
        <v>4</v>
      </c>
      <c r="D2239" s="242">
        <v>43.3</v>
      </c>
      <c r="E2239" s="845">
        <f t="shared" si="70"/>
        <v>6.2777777777777759</v>
      </c>
    </row>
    <row r="2240" spans="2:5">
      <c r="B2240" s="1115">
        <v>45019</v>
      </c>
      <c r="C2240" s="242">
        <f t="shared" si="69"/>
        <v>4</v>
      </c>
      <c r="D2240" s="242">
        <v>43.3</v>
      </c>
      <c r="E2240" s="845">
        <f t="shared" si="70"/>
        <v>6.2777777777777759</v>
      </c>
    </row>
    <row r="2241" spans="2:5">
      <c r="B2241" s="1115">
        <v>45020</v>
      </c>
      <c r="C2241" s="242">
        <f t="shared" si="69"/>
        <v>4</v>
      </c>
      <c r="D2241" s="242">
        <v>43.2</v>
      </c>
      <c r="E2241" s="845">
        <f t="shared" si="70"/>
        <v>6.2222222222222232</v>
      </c>
    </row>
    <row r="2242" spans="2:5">
      <c r="B2242" s="1115">
        <v>45020</v>
      </c>
      <c r="C2242" s="242">
        <f t="shared" si="69"/>
        <v>4</v>
      </c>
      <c r="D2242" s="242">
        <v>42.6</v>
      </c>
      <c r="E2242" s="845">
        <f t="shared" si="70"/>
        <v>5.8888888888888893</v>
      </c>
    </row>
    <row r="2243" spans="2:5">
      <c r="B2243" s="1115">
        <v>45020</v>
      </c>
      <c r="C2243" s="242">
        <f t="shared" si="69"/>
        <v>4</v>
      </c>
      <c r="D2243" s="242">
        <v>42.3</v>
      </c>
      <c r="E2243" s="845">
        <f t="shared" si="70"/>
        <v>5.7222222222222205</v>
      </c>
    </row>
    <row r="2244" spans="2:5">
      <c r="B2244" s="1115">
        <v>45020</v>
      </c>
      <c r="C2244" s="242">
        <f t="shared" si="69"/>
        <v>4</v>
      </c>
      <c r="D2244" s="242">
        <v>42.1</v>
      </c>
      <c r="E2244" s="845">
        <f t="shared" si="70"/>
        <v>5.6111111111111116</v>
      </c>
    </row>
    <row r="2245" spans="2:5">
      <c r="B2245" s="1115">
        <v>45020</v>
      </c>
      <c r="C2245" s="242">
        <f t="shared" si="69"/>
        <v>4</v>
      </c>
      <c r="D2245" s="242">
        <v>42.1</v>
      </c>
      <c r="E2245" s="845">
        <f t="shared" si="70"/>
        <v>5.6111111111111116</v>
      </c>
    </row>
    <row r="2246" spans="2:5">
      <c r="B2246" s="1115">
        <v>45020</v>
      </c>
      <c r="C2246" s="242">
        <f t="shared" si="69"/>
        <v>4</v>
      </c>
      <c r="D2246" s="242">
        <v>41.9</v>
      </c>
      <c r="E2246" s="845">
        <f t="shared" si="70"/>
        <v>5.4999999999999991</v>
      </c>
    </row>
    <row r="2247" spans="2:5">
      <c r="B2247" s="1115">
        <v>45020</v>
      </c>
      <c r="C2247" s="242">
        <f t="shared" si="69"/>
        <v>4</v>
      </c>
      <c r="D2247" s="242">
        <v>42.1</v>
      </c>
      <c r="E2247" s="845">
        <f t="shared" si="70"/>
        <v>5.6111111111111116</v>
      </c>
    </row>
    <row r="2248" spans="2:5">
      <c r="B2248" s="1115">
        <v>45020</v>
      </c>
      <c r="C2248" s="242">
        <f t="shared" si="69"/>
        <v>4</v>
      </c>
      <c r="D2248" s="242">
        <v>42.3</v>
      </c>
      <c r="E2248" s="845">
        <f t="shared" si="70"/>
        <v>5.7222222222222205</v>
      </c>
    </row>
    <row r="2249" spans="2:5">
      <c r="B2249" s="1115">
        <v>45020</v>
      </c>
      <c r="C2249" s="242">
        <f t="shared" si="69"/>
        <v>4</v>
      </c>
      <c r="D2249" s="242">
        <v>42.6</v>
      </c>
      <c r="E2249" s="845">
        <f t="shared" si="70"/>
        <v>5.8888888888888893</v>
      </c>
    </row>
    <row r="2250" spans="2:5">
      <c r="B2250" s="1115">
        <v>45020</v>
      </c>
      <c r="C2250" s="242">
        <f t="shared" ref="C2250:C2313" si="71">MONTH(B2250)</f>
        <v>4</v>
      </c>
      <c r="D2250" s="242" t="s">
        <v>1838</v>
      </c>
      <c r="E2250" s="845">
        <f t="shared" ref="E2250:E2313" si="72">CONVERT(D2250,"F","C")</f>
        <v>6.1111111111111107</v>
      </c>
    </row>
    <row r="2251" spans="2:5">
      <c r="B2251" s="1115">
        <v>45020</v>
      </c>
      <c r="C2251" s="242">
        <f t="shared" si="71"/>
        <v>4</v>
      </c>
      <c r="D2251" s="242">
        <v>43.2</v>
      </c>
      <c r="E2251" s="845">
        <f t="shared" si="72"/>
        <v>6.2222222222222232</v>
      </c>
    </row>
    <row r="2252" spans="2:5">
      <c r="B2252" s="1115">
        <v>45020</v>
      </c>
      <c r="C2252" s="242">
        <f t="shared" si="71"/>
        <v>4</v>
      </c>
      <c r="D2252" s="242">
        <v>43.3</v>
      </c>
      <c r="E2252" s="845">
        <f t="shared" si="72"/>
        <v>6.2777777777777759</v>
      </c>
    </row>
    <row r="2253" spans="2:5">
      <c r="B2253" s="1115">
        <v>45020</v>
      </c>
      <c r="C2253" s="242">
        <f t="shared" si="71"/>
        <v>4</v>
      </c>
      <c r="D2253" s="242" t="s">
        <v>1838</v>
      </c>
      <c r="E2253" s="845">
        <f t="shared" si="72"/>
        <v>6.1111111111111107</v>
      </c>
    </row>
    <row r="2254" spans="2:5">
      <c r="B2254" s="1115">
        <v>45020</v>
      </c>
      <c r="C2254" s="242">
        <f t="shared" si="71"/>
        <v>4</v>
      </c>
      <c r="D2254" s="242">
        <v>42.4</v>
      </c>
      <c r="E2254" s="845">
        <f t="shared" si="72"/>
        <v>5.7777777777777768</v>
      </c>
    </row>
    <row r="2255" spans="2:5">
      <c r="B2255" s="1115">
        <v>45020</v>
      </c>
      <c r="C2255" s="242">
        <f t="shared" si="71"/>
        <v>4</v>
      </c>
      <c r="D2255" s="242">
        <v>42.1</v>
      </c>
      <c r="E2255" s="845">
        <f t="shared" si="72"/>
        <v>5.6111111111111116</v>
      </c>
    </row>
    <row r="2256" spans="2:5">
      <c r="B2256" s="1115">
        <v>45020</v>
      </c>
      <c r="C2256" s="242">
        <f t="shared" si="71"/>
        <v>4</v>
      </c>
      <c r="D2256" s="242">
        <v>42.1</v>
      </c>
      <c r="E2256" s="845">
        <f t="shared" si="72"/>
        <v>5.6111111111111116</v>
      </c>
    </row>
    <row r="2257" spans="2:5">
      <c r="B2257" s="1115">
        <v>45020</v>
      </c>
      <c r="C2257" s="242">
        <f t="shared" si="71"/>
        <v>4</v>
      </c>
      <c r="D2257" s="242">
        <v>41.7</v>
      </c>
      <c r="E2257" s="845">
        <f t="shared" si="72"/>
        <v>5.3888888888888902</v>
      </c>
    </row>
    <row r="2258" spans="2:5">
      <c r="B2258" s="1115">
        <v>45020</v>
      </c>
      <c r="C2258" s="242">
        <f t="shared" si="71"/>
        <v>4</v>
      </c>
      <c r="D2258" s="242">
        <v>41.5</v>
      </c>
      <c r="E2258" s="845">
        <f t="shared" si="72"/>
        <v>5.2777777777777777</v>
      </c>
    </row>
    <row r="2259" spans="2:5">
      <c r="B2259" s="1115">
        <v>45020</v>
      </c>
      <c r="C2259" s="242">
        <f t="shared" si="71"/>
        <v>4</v>
      </c>
      <c r="D2259" s="242">
        <v>41.7</v>
      </c>
      <c r="E2259" s="845">
        <f t="shared" si="72"/>
        <v>5.3888888888888902</v>
      </c>
    </row>
    <row r="2260" spans="2:5">
      <c r="B2260" s="1115">
        <v>45020</v>
      </c>
      <c r="C2260" s="242">
        <f t="shared" si="71"/>
        <v>4</v>
      </c>
      <c r="D2260" s="242">
        <v>42.1</v>
      </c>
      <c r="E2260" s="845">
        <f t="shared" si="72"/>
        <v>5.6111111111111116</v>
      </c>
    </row>
    <row r="2261" spans="2:5">
      <c r="B2261" s="1115">
        <v>45020</v>
      </c>
      <c r="C2261" s="242">
        <f t="shared" si="71"/>
        <v>4</v>
      </c>
      <c r="D2261" s="242">
        <v>42.6</v>
      </c>
      <c r="E2261" s="845">
        <f t="shared" si="72"/>
        <v>5.8888888888888893</v>
      </c>
    </row>
    <row r="2262" spans="2:5">
      <c r="B2262" s="1115">
        <v>45020</v>
      </c>
      <c r="C2262" s="242">
        <f t="shared" si="71"/>
        <v>4</v>
      </c>
      <c r="D2262" s="242">
        <v>43.2</v>
      </c>
      <c r="E2262" s="845">
        <f t="shared" si="72"/>
        <v>6.2222222222222232</v>
      </c>
    </row>
    <row r="2263" spans="2:5">
      <c r="B2263" s="1115">
        <v>45020</v>
      </c>
      <c r="C2263" s="242">
        <f t="shared" si="71"/>
        <v>4</v>
      </c>
      <c r="D2263" s="242">
        <v>43.7</v>
      </c>
      <c r="E2263" s="845">
        <f t="shared" si="72"/>
        <v>6.5000000000000018</v>
      </c>
    </row>
    <row r="2264" spans="2:5">
      <c r="B2264" s="1115">
        <v>45020</v>
      </c>
      <c r="C2264" s="242">
        <f t="shared" si="71"/>
        <v>4</v>
      </c>
      <c r="D2264" s="242">
        <v>43.9</v>
      </c>
      <c r="E2264" s="845">
        <f t="shared" si="72"/>
        <v>6.6111111111111098</v>
      </c>
    </row>
    <row r="2265" spans="2:5">
      <c r="B2265" s="1115">
        <v>45017</v>
      </c>
      <c r="C2265" s="242">
        <f t="shared" si="71"/>
        <v>4</v>
      </c>
      <c r="D2265" s="242">
        <v>41.5</v>
      </c>
      <c r="E2265" s="845">
        <f t="shared" si="72"/>
        <v>5.2777777777777777</v>
      </c>
    </row>
    <row r="2266" spans="2:5">
      <c r="B2266" s="1115">
        <v>45017</v>
      </c>
      <c r="C2266" s="242">
        <f t="shared" si="71"/>
        <v>4</v>
      </c>
      <c r="D2266" s="242">
        <v>41.5</v>
      </c>
      <c r="E2266" s="845">
        <f t="shared" si="72"/>
        <v>5.2777777777777777</v>
      </c>
    </row>
    <row r="2267" spans="2:5">
      <c r="B2267" s="1115">
        <v>45017</v>
      </c>
      <c r="C2267" s="242">
        <f t="shared" si="71"/>
        <v>4</v>
      </c>
      <c r="D2267" s="242">
        <v>41.5</v>
      </c>
      <c r="E2267" s="845">
        <f t="shared" si="72"/>
        <v>5.2777777777777777</v>
      </c>
    </row>
    <row r="2268" spans="2:5">
      <c r="B2268" s="1115">
        <v>45017</v>
      </c>
      <c r="C2268" s="242">
        <f t="shared" si="71"/>
        <v>4</v>
      </c>
      <c r="D2268" s="242">
        <v>41.5</v>
      </c>
      <c r="E2268" s="845">
        <f t="shared" si="72"/>
        <v>5.2777777777777777</v>
      </c>
    </row>
    <row r="2269" spans="2:5">
      <c r="B2269" s="1115">
        <v>45017</v>
      </c>
      <c r="C2269" s="242">
        <f t="shared" si="71"/>
        <v>4</v>
      </c>
      <c r="D2269" s="242">
        <v>41.5</v>
      </c>
      <c r="E2269" s="845">
        <f t="shared" si="72"/>
        <v>5.2777777777777777</v>
      </c>
    </row>
    <row r="2270" spans="2:5">
      <c r="B2270" s="1115">
        <v>45017</v>
      </c>
      <c r="C2270" s="242">
        <f t="shared" si="71"/>
        <v>4</v>
      </c>
      <c r="D2270" s="242">
        <v>41.5</v>
      </c>
      <c r="E2270" s="845">
        <f t="shared" si="72"/>
        <v>5.2777777777777777</v>
      </c>
    </row>
    <row r="2271" spans="2:5">
      <c r="B2271" s="1115">
        <v>45017</v>
      </c>
      <c r="C2271" s="242">
        <f t="shared" si="71"/>
        <v>4</v>
      </c>
      <c r="D2271" s="242">
        <v>41.7</v>
      </c>
      <c r="E2271" s="845">
        <f t="shared" si="72"/>
        <v>5.3888888888888902</v>
      </c>
    </row>
    <row r="2272" spans="2:5">
      <c r="B2272" s="1115">
        <v>45017</v>
      </c>
      <c r="C2272" s="242">
        <f t="shared" si="71"/>
        <v>4</v>
      </c>
      <c r="D2272" s="242">
        <v>41.9</v>
      </c>
      <c r="E2272" s="845">
        <f t="shared" si="72"/>
        <v>5.4999999999999991</v>
      </c>
    </row>
    <row r="2273" spans="2:5">
      <c r="B2273" s="1115">
        <v>45017</v>
      </c>
      <c r="C2273" s="242">
        <f t="shared" si="71"/>
        <v>4</v>
      </c>
      <c r="D2273" s="242">
        <v>42.1</v>
      </c>
      <c r="E2273" s="845">
        <f t="shared" si="72"/>
        <v>5.6111111111111116</v>
      </c>
    </row>
    <row r="2274" spans="2:5">
      <c r="B2274" s="1115">
        <v>45017</v>
      </c>
      <c r="C2274" s="242">
        <f t="shared" si="71"/>
        <v>4</v>
      </c>
      <c r="D2274" s="242">
        <v>42.1</v>
      </c>
      <c r="E2274" s="845">
        <f t="shared" si="72"/>
        <v>5.6111111111111116</v>
      </c>
    </row>
    <row r="2275" spans="2:5">
      <c r="B2275" s="1115">
        <v>45017</v>
      </c>
      <c r="C2275" s="242">
        <f t="shared" si="71"/>
        <v>4</v>
      </c>
      <c r="D2275" s="242">
        <v>41.9</v>
      </c>
      <c r="E2275" s="845">
        <f t="shared" si="72"/>
        <v>5.4999999999999991</v>
      </c>
    </row>
    <row r="2276" spans="2:5">
      <c r="B2276" s="1115">
        <v>45017</v>
      </c>
      <c r="C2276" s="242">
        <f t="shared" si="71"/>
        <v>4</v>
      </c>
      <c r="D2276" s="242">
        <v>41.5</v>
      </c>
      <c r="E2276" s="845">
        <f t="shared" si="72"/>
        <v>5.2777777777777777</v>
      </c>
    </row>
    <row r="2277" spans="2:5">
      <c r="B2277" s="1115">
        <v>45017</v>
      </c>
      <c r="C2277" s="242">
        <f t="shared" si="71"/>
        <v>4</v>
      </c>
      <c r="D2277" s="242">
        <v>41.4</v>
      </c>
      <c r="E2277" s="845">
        <f t="shared" si="72"/>
        <v>5.2222222222222214</v>
      </c>
    </row>
    <row r="2278" spans="2:5">
      <c r="B2278" s="1115">
        <v>45017</v>
      </c>
      <c r="C2278" s="242">
        <f t="shared" si="71"/>
        <v>4</v>
      </c>
      <c r="D2278" s="242">
        <v>41.4</v>
      </c>
      <c r="E2278" s="845">
        <f t="shared" si="72"/>
        <v>5.2222222222222214</v>
      </c>
    </row>
    <row r="2279" spans="2:5">
      <c r="B2279" s="1115">
        <v>45017</v>
      </c>
      <c r="C2279" s="242">
        <f t="shared" si="71"/>
        <v>4</v>
      </c>
      <c r="D2279" s="242">
        <v>41.2</v>
      </c>
      <c r="E2279" s="845">
        <f t="shared" si="72"/>
        <v>5.1111111111111125</v>
      </c>
    </row>
    <row r="2280" spans="2:5">
      <c r="B2280" s="1115">
        <v>45017</v>
      </c>
      <c r="C2280" s="242">
        <f t="shared" si="71"/>
        <v>4</v>
      </c>
      <c r="D2280" s="242">
        <v>41.2</v>
      </c>
      <c r="E2280" s="845">
        <f t="shared" si="72"/>
        <v>5.1111111111111125</v>
      </c>
    </row>
    <row r="2281" spans="2:5">
      <c r="B2281" s="1115">
        <v>45017</v>
      </c>
      <c r="C2281" s="242">
        <f t="shared" si="71"/>
        <v>4</v>
      </c>
      <c r="D2281" s="242">
        <v>41.4</v>
      </c>
      <c r="E2281" s="845">
        <f t="shared" si="72"/>
        <v>5.2222222222222214</v>
      </c>
    </row>
    <row r="2282" spans="2:5">
      <c r="B2282" s="1115">
        <v>45017</v>
      </c>
      <c r="C2282" s="242">
        <f t="shared" si="71"/>
        <v>4</v>
      </c>
      <c r="D2282" s="242">
        <v>41.4</v>
      </c>
      <c r="E2282" s="845">
        <f t="shared" si="72"/>
        <v>5.2222222222222214</v>
      </c>
    </row>
    <row r="2283" spans="2:5">
      <c r="B2283" s="1115">
        <v>45017</v>
      </c>
      <c r="C2283" s="242">
        <f t="shared" si="71"/>
        <v>4</v>
      </c>
      <c r="D2283" s="242">
        <v>41.7</v>
      </c>
      <c r="E2283" s="845">
        <f t="shared" si="72"/>
        <v>5.3888888888888902</v>
      </c>
    </row>
    <row r="2284" spans="2:5">
      <c r="B2284" s="1115">
        <v>45017</v>
      </c>
      <c r="C2284" s="242">
        <f t="shared" si="71"/>
        <v>4</v>
      </c>
      <c r="D2284" s="242">
        <v>42.1</v>
      </c>
      <c r="E2284" s="845">
        <f t="shared" si="72"/>
        <v>5.6111111111111116</v>
      </c>
    </row>
    <row r="2285" spans="2:5">
      <c r="B2285" s="1115">
        <v>45017</v>
      </c>
      <c r="C2285" s="242">
        <f t="shared" si="71"/>
        <v>4</v>
      </c>
      <c r="D2285" s="242">
        <v>42.3</v>
      </c>
      <c r="E2285" s="845">
        <f t="shared" si="72"/>
        <v>5.7222222222222205</v>
      </c>
    </row>
    <row r="2286" spans="2:5">
      <c r="B2286" s="1115">
        <v>45017</v>
      </c>
      <c r="C2286" s="242">
        <f t="shared" si="71"/>
        <v>4</v>
      </c>
      <c r="D2286" s="242">
        <v>42.4</v>
      </c>
      <c r="E2286" s="845">
        <f t="shared" si="72"/>
        <v>5.7777777777777768</v>
      </c>
    </row>
    <row r="2287" spans="2:5">
      <c r="B2287" s="1115">
        <v>45017</v>
      </c>
      <c r="C2287" s="242">
        <f t="shared" si="71"/>
        <v>4</v>
      </c>
      <c r="D2287" s="242">
        <v>42.4</v>
      </c>
      <c r="E2287" s="845">
        <f t="shared" si="72"/>
        <v>5.7777777777777768</v>
      </c>
    </row>
    <row r="2288" spans="2:5">
      <c r="B2288" s="1115">
        <v>45017</v>
      </c>
      <c r="C2288" s="242">
        <f t="shared" si="71"/>
        <v>4</v>
      </c>
      <c r="D2288" s="242">
        <v>42.3</v>
      </c>
      <c r="E2288" s="845">
        <f t="shared" si="72"/>
        <v>5.7222222222222205</v>
      </c>
    </row>
    <row r="2289" spans="2:5">
      <c r="B2289" s="1115">
        <v>45018</v>
      </c>
      <c r="C2289" s="242">
        <f t="shared" si="71"/>
        <v>4</v>
      </c>
      <c r="D2289" s="242">
        <v>41.7</v>
      </c>
      <c r="E2289" s="845">
        <f t="shared" si="72"/>
        <v>5.3888888888888902</v>
      </c>
    </row>
    <row r="2290" spans="2:5">
      <c r="B2290" s="1115">
        <v>45018</v>
      </c>
      <c r="C2290" s="242">
        <f t="shared" si="71"/>
        <v>4</v>
      </c>
      <c r="D2290" s="242">
        <v>41.5</v>
      </c>
      <c r="E2290" s="845">
        <f t="shared" si="72"/>
        <v>5.2777777777777777</v>
      </c>
    </row>
    <row r="2291" spans="2:5">
      <c r="B2291" s="1115">
        <v>45018</v>
      </c>
      <c r="C2291" s="242">
        <f t="shared" si="71"/>
        <v>4</v>
      </c>
      <c r="D2291" s="242">
        <v>41.4</v>
      </c>
      <c r="E2291" s="845">
        <f t="shared" si="72"/>
        <v>5.2222222222222214</v>
      </c>
    </row>
    <row r="2292" spans="2:5">
      <c r="B2292" s="1115">
        <v>45018</v>
      </c>
      <c r="C2292" s="242">
        <f t="shared" si="71"/>
        <v>4</v>
      </c>
      <c r="D2292" s="242">
        <v>41.4</v>
      </c>
      <c r="E2292" s="845">
        <f t="shared" si="72"/>
        <v>5.2222222222222214</v>
      </c>
    </row>
    <row r="2293" spans="2:5">
      <c r="B2293" s="1115">
        <v>45018</v>
      </c>
      <c r="C2293" s="242">
        <f t="shared" si="71"/>
        <v>4</v>
      </c>
      <c r="D2293" s="242">
        <v>41.5</v>
      </c>
      <c r="E2293" s="845">
        <f t="shared" si="72"/>
        <v>5.2777777777777777</v>
      </c>
    </row>
    <row r="2294" spans="2:5">
      <c r="B2294" s="1115">
        <v>45018</v>
      </c>
      <c r="C2294" s="242">
        <f t="shared" si="71"/>
        <v>4</v>
      </c>
      <c r="D2294" s="242">
        <v>41.5</v>
      </c>
      <c r="E2294" s="845">
        <f t="shared" si="72"/>
        <v>5.2777777777777777</v>
      </c>
    </row>
    <row r="2295" spans="2:5">
      <c r="B2295" s="1115">
        <v>45018</v>
      </c>
      <c r="C2295" s="242">
        <f t="shared" si="71"/>
        <v>4</v>
      </c>
      <c r="D2295" s="242">
        <v>41.7</v>
      </c>
      <c r="E2295" s="845">
        <f t="shared" si="72"/>
        <v>5.3888888888888902</v>
      </c>
    </row>
    <row r="2296" spans="2:5">
      <c r="B2296" s="1115">
        <v>45018</v>
      </c>
      <c r="C2296" s="242">
        <f t="shared" si="71"/>
        <v>4</v>
      </c>
      <c r="D2296" s="242">
        <v>41.9</v>
      </c>
      <c r="E2296" s="845">
        <f t="shared" si="72"/>
        <v>5.4999999999999991</v>
      </c>
    </row>
    <row r="2297" spans="2:5">
      <c r="B2297" s="1115">
        <v>45018</v>
      </c>
      <c r="C2297" s="242">
        <f t="shared" si="71"/>
        <v>4</v>
      </c>
      <c r="D2297" s="242">
        <v>42.3</v>
      </c>
      <c r="E2297" s="845">
        <f t="shared" si="72"/>
        <v>5.7222222222222205</v>
      </c>
    </row>
    <row r="2298" spans="2:5">
      <c r="B2298" s="1115">
        <v>45018</v>
      </c>
      <c r="C2298" s="242">
        <f t="shared" si="71"/>
        <v>4</v>
      </c>
      <c r="D2298" s="242">
        <v>42.4</v>
      </c>
      <c r="E2298" s="845">
        <f t="shared" si="72"/>
        <v>5.7777777777777768</v>
      </c>
    </row>
    <row r="2299" spans="2:5">
      <c r="B2299" s="1115">
        <v>45018</v>
      </c>
      <c r="C2299" s="242">
        <f t="shared" si="71"/>
        <v>4</v>
      </c>
      <c r="D2299" s="242">
        <v>42.3</v>
      </c>
      <c r="E2299" s="845">
        <f t="shared" si="72"/>
        <v>5.7222222222222205</v>
      </c>
    </row>
    <row r="2300" spans="2:5">
      <c r="B2300" s="1115">
        <v>45018</v>
      </c>
      <c r="C2300" s="242">
        <f t="shared" si="71"/>
        <v>4</v>
      </c>
      <c r="D2300" s="242">
        <v>42.1</v>
      </c>
      <c r="E2300" s="845">
        <f t="shared" si="72"/>
        <v>5.6111111111111116</v>
      </c>
    </row>
    <row r="2301" spans="2:5">
      <c r="B2301" s="1115">
        <v>45018</v>
      </c>
      <c r="C2301" s="242">
        <f t="shared" si="71"/>
        <v>4</v>
      </c>
      <c r="D2301" s="242">
        <v>41.5</v>
      </c>
      <c r="E2301" s="845">
        <f t="shared" si="72"/>
        <v>5.2777777777777777</v>
      </c>
    </row>
    <row r="2302" spans="2:5">
      <c r="B2302" s="1115">
        <v>45018</v>
      </c>
      <c r="C2302" s="242">
        <f t="shared" si="71"/>
        <v>4</v>
      </c>
      <c r="D2302" s="242">
        <v>41.5</v>
      </c>
      <c r="E2302" s="845">
        <f t="shared" si="72"/>
        <v>5.2777777777777777</v>
      </c>
    </row>
    <row r="2303" spans="2:5">
      <c r="B2303" s="1115">
        <v>45018</v>
      </c>
      <c r="C2303" s="242">
        <f t="shared" si="71"/>
        <v>4</v>
      </c>
      <c r="D2303" s="242">
        <v>41.5</v>
      </c>
      <c r="E2303" s="845">
        <f t="shared" si="72"/>
        <v>5.2777777777777777</v>
      </c>
    </row>
    <row r="2304" spans="2:5">
      <c r="B2304" s="1115">
        <v>45018</v>
      </c>
      <c r="C2304" s="242">
        <f t="shared" si="71"/>
        <v>4</v>
      </c>
      <c r="D2304" s="242">
        <v>41.2</v>
      </c>
      <c r="E2304" s="845">
        <f t="shared" si="72"/>
        <v>5.1111111111111125</v>
      </c>
    </row>
    <row r="2305" spans="2:5">
      <c r="B2305" s="1115">
        <v>45018</v>
      </c>
      <c r="C2305" s="242">
        <f t="shared" si="71"/>
        <v>4</v>
      </c>
      <c r="D2305" s="242">
        <v>41.5</v>
      </c>
      <c r="E2305" s="845">
        <f t="shared" si="72"/>
        <v>5.2777777777777777</v>
      </c>
    </row>
    <row r="2306" spans="2:5">
      <c r="B2306" s="1115">
        <v>45018</v>
      </c>
      <c r="C2306" s="242">
        <f t="shared" si="71"/>
        <v>4</v>
      </c>
      <c r="D2306" s="242">
        <v>41.5</v>
      </c>
      <c r="E2306" s="845">
        <f t="shared" si="72"/>
        <v>5.2777777777777777</v>
      </c>
    </row>
    <row r="2307" spans="2:5">
      <c r="B2307" s="1115">
        <v>45018</v>
      </c>
      <c r="C2307" s="242">
        <f t="shared" si="71"/>
        <v>4</v>
      </c>
      <c r="D2307" s="242">
        <v>42.1</v>
      </c>
      <c r="E2307" s="845">
        <f t="shared" si="72"/>
        <v>5.6111111111111116</v>
      </c>
    </row>
    <row r="2308" spans="2:5">
      <c r="B2308" s="1115">
        <v>45018</v>
      </c>
      <c r="C2308" s="242">
        <f t="shared" si="71"/>
        <v>4</v>
      </c>
      <c r="D2308" s="242">
        <v>42.4</v>
      </c>
      <c r="E2308" s="845">
        <f t="shared" si="72"/>
        <v>5.7777777777777768</v>
      </c>
    </row>
    <row r="2309" spans="2:5">
      <c r="B2309" s="1115">
        <v>45018</v>
      </c>
      <c r="C2309" s="242">
        <f t="shared" si="71"/>
        <v>4</v>
      </c>
      <c r="D2309" s="242">
        <v>42.8</v>
      </c>
      <c r="E2309" s="845">
        <f t="shared" si="72"/>
        <v>5.9999999999999982</v>
      </c>
    </row>
    <row r="2310" spans="2:5">
      <c r="B2310" s="1115">
        <v>45018</v>
      </c>
      <c r="C2310" s="242">
        <f t="shared" si="71"/>
        <v>4</v>
      </c>
      <c r="D2310" s="242" t="s">
        <v>1838</v>
      </c>
      <c r="E2310" s="845">
        <f t="shared" si="72"/>
        <v>6.1111111111111107</v>
      </c>
    </row>
    <row r="2311" spans="2:5">
      <c r="B2311" s="1115">
        <v>45018</v>
      </c>
      <c r="C2311" s="242">
        <f t="shared" si="71"/>
        <v>4</v>
      </c>
      <c r="D2311" s="242">
        <v>43.2</v>
      </c>
      <c r="E2311" s="845">
        <f t="shared" si="72"/>
        <v>6.2222222222222232</v>
      </c>
    </row>
    <row r="2312" spans="2:5">
      <c r="B2312" s="1115">
        <v>45018</v>
      </c>
      <c r="C2312" s="242">
        <f t="shared" si="71"/>
        <v>4</v>
      </c>
      <c r="D2312" s="242" t="s">
        <v>1838</v>
      </c>
      <c r="E2312" s="845">
        <f t="shared" si="72"/>
        <v>6.1111111111111107</v>
      </c>
    </row>
    <row r="2313" spans="2:5">
      <c r="B2313" s="1115">
        <v>45019</v>
      </c>
      <c r="C2313" s="242">
        <f t="shared" si="71"/>
        <v>4</v>
      </c>
      <c r="D2313" s="242">
        <v>42.3</v>
      </c>
      <c r="E2313" s="845">
        <f t="shared" si="72"/>
        <v>5.7222222222222205</v>
      </c>
    </row>
    <row r="2314" spans="2:5">
      <c r="B2314" s="1115">
        <v>45019</v>
      </c>
      <c r="C2314" s="242">
        <f t="shared" ref="C2314:C2377" si="73">MONTH(B2314)</f>
        <v>4</v>
      </c>
      <c r="D2314" s="242">
        <v>41.9</v>
      </c>
      <c r="E2314" s="845">
        <f t="shared" ref="E2314:E2377" si="74">CONVERT(D2314,"F","C")</f>
        <v>5.4999999999999991</v>
      </c>
    </row>
    <row r="2315" spans="2:5">
      <c r="B2315" s="1115">
        <v>45019</v>
      </c>
      <c r="C2315" s="242">
        <f t="shared" si="73"/>
        <v>4</v>
      </c>
      <c r="D2315" s="242">
        <v>41.5</v>
      </c>
      <c r="E2315" s="845">
        <f t="shared" si="74"/>
        <v>5.2777777777777777</v>
      </c>
    </row>
    <row r="2316" spans="2:5">
      <c r="B2316" s="1115">
        <v>45019</v>
      </c>
      <c r="C2316" s="242">
        <f t="shared" si="73"/>
        <v>4</v>
      </c>
      <c r="D2316" s="242">
        <v>41.4</v>
      </c>
      <c r="E2316" s="845">
        <f t="shared" si="74"/>
        <v>5.2222222222222214</v>
      </c>
    </row>
    <row r="2317" spans="2:5">
      <c r="B2317" s="1115">
        <v>45019</v>
      </c>
      <c r="C2317" s="242">
        <f t="shared" si="73"/>
        <v>4</v>
      </c>
      <c r="D2317" s="242">
        <v>41.4</v>
      </c>
      <c r="E2317" s="845">
        <f t="shared" si="74"/>
        <v>5.2222222222222214</v>
      </c>
    </row>
    <row r="2318" spans="2:5">
      <c r="B2318" s="1115">
        <v>45019</v>
      </c>
      <c r="C2318" s="242">
        <f t="shared" si="73"/>
        <v>4</v>
      </c>
      <c r="D2318" s="242">
        <v>41.4</v>
      </c>
      <c r="E2318" s="845">
        <f t="shared" si="74"/>
        <v>5.2222222222222214</v>
      </c>
    </row>
    <row r="2319" spans="2:5">
      <c r="B2319" s="1115">
        <v>45019</v>
      </c>
      <c r="C2319" s="242">
        <f t="shared" si="73"/>
        <v>4</v>
      </c>
      <c r="D2319" s="242">
        <v>41.4</v>
      </c>
      <c r="E2319" s="845">
        <f t="shared" si="74"/>
        <v>5.2222222222222214</v>
      </c>
    </row>
    <row r="2320" spans="2:5">
      <c r="B2320" s="1115">
        <v>45019</v>
      </c>
      <c r="C2320" s="242">
        <f t="shared" si="73"/>
        <v>4</v>
      </c>
      <c r="D2320" s="242">
        <v>41.7</v>
      </c>
      <c r="E2320" s="845">
        <f t="shared" si="74"/>
        <v>5.3888888888888902</v>
      </c>
    </row>
    <row r="2321" spans="2:5">
      <c r="B2321" s="1115">
        <v>45019</v>
      </c>
      <c r="C2321" s="242">
        <f t="shared" si="73"/>
        <v>4</v>
      </c>
      <c r="D2321" s="242">
        <v>42.1</v>
      </c>
      <c r="E2321" s="845">
        <f t="shared" si="74"/>
        <v>5.6111111111111116</v>
      </c>
    </row>
    <row r="2322" spans="2:5">
      <c r="B2322" s="1115">
        <v>45019</v>
      </c>
      <c r="C2322" s="242">
        <f t="shared" si="73"/>
        <v>4</v>
      </c>
      <c r="D2322" s="242">
        <v>42.4</v>
      </c>
      <c r="E2322" s="845">
        <f t="shared" si="74"/>
        <v>5.7777777777777768</v>
      </c>
    </row>
    <row r="2323" spans="2:5">
      <c r="B2323" s="1115">
        <v>45019</v>
      </c>
      <c r="C2323" s="242">
        <f t="shared" si="73"/>
        <v>4</v>
      </c>
      <c r="D2323" s="242">
        <v>42.4</v>
      </c>
      <c r="E2323" s="845">
        <f t="shared" si="74"/>
        <v>5.7777777777777768</v>
      </c>
    </row>
    <row r="2324" spans="2:5">
      <c r="B2324" s="1115">
        <v>45019</v>
      </c>
      <c r="C2324" s="242">
        <f t="shared" si="73"/>
        <v>4</v>
      </c>
      <c r="D2324" s="242">
        <v>42.4</v>
      </c>
      <c r="E2324" s="845">
        <f t="shared" si="74"/>
        <v>5.7777777777777768</v>
      </c>
    </row>
    <row r="2325" spans="2:5">
      <c r="B2325" s="1115">
        <v>45019</v>
      </c>
      <c r="C2325" s="242">
        <f t="shared" si="73"/>
        <v>4</v>
      </c>
      <c r="D2325" s="242">
        <v>42.1</v>
      </c>
      <c r="E2325" s="845">
        <f t="shared" si="74"/>
        <v>5.6111111111111116</v>
      </c>
    </row>
    <row r="2326" spans="2:5">
      <c r="B2326" s="1115">
        <v>45019</v>
      </c>
      <c r="C2326" s="242">
        <f t="shared" si="73"/>
        <v>4</v>
      </c>
      <c r="D2326" s="242">
        <v>41.5</v>
      </c>
      <c r="E2326" s="845">
        <f t="shared" si="74"/>
        <v>5.2777777777777777</v>
      </c>
    </row>
    <row r="2327" spans="2:5">
      <c r="B2327" s="1115">
        <v>45019</v>
      </c>
      <c r="C2327" s="242">
        <f t="shared" si="73"/>
        <v>4</v>
      </c>
      <c r="D2327" s="242">
        <v>41.5</v>
      </c>
      <c r="E2327" s="845">
        <f t="shared" si="74"/>
        <v>5.2777777777777777</v>
      </c>
    </row>
    <row r="2328" spans="2:5">
      <c r="B2328" s="1115">
        <v>45019</v>
      </c>
      <c r="C2328" s="242">
        <f t="shared" si="73"/>
        <v>4</v>
      </c>
      <c r="D2328" s="242">
        <v>41.4</v>
      </c>
      <c r="E2328" s="845">
        <f t="shared" si="74"/>
        <v>5.2222222222222214</v>
      </c>
    </row>
    <row r="2329" spans="2:5">
      <c r="B2329" s="1115">
        <v>45019</v>
      </c>
      <c r="C2329" s="242">
        <f t="shared" si="73"/>
        <v>4</v>
      </c>
      <c r="D2329" s="242">
        <v>41.2</v>
      </c>
      <c r="E2329" s="845">
        <f t="shared" si="74"/>
        <v>5.1111111111111125</v>
      </c>
    </row>
    <row r="2330" spans="2:5">
      <c r="B2330" s="1115">
        <v>45019</v>
      </c>
      <c r="C2330" s="242">
        <f t="shared" si="73"/>
        <v>4</v>
      </c>
      <c r="D2330" s="242">
        <v>41.7</v>
      </c>
      <c r="E2330" s="845">
        <f t="shared" si="74"/>
        <v>5.3888888888888902</v>
      </c>
    </row>
    <row r="2331" spans="2:5">
      <c r="B2331" s="1115">
        <v>45019</v>
      </c>
      <c r="C2331" s="242">
        <f t="shared" si="73"/>
        <v>4</v>
      </c>
      <c r="D2331" s="242">
        <v>41.7</v>
      </c>
      <c r="E2331" s="845">
        <f t="shared" si="74"/>
        <v>5.3888888888888902</v>
      </c>
    </row>
    <row r="2332" spans="2:5">
      <c r="B2332" s="1115">
        <v>45019</v>
      </c>
      <c r="C2332" s="242">
        <f t="shared" si="73"/>
        <v>4</v>
      </c>
      <c r="D2332" s="242">
        <v>42.1</v>
      </c>
      <c r="E2332" s="845">
        <f t="shared" si="74"/>
        <v>5.6111111111111116</v>
      </c>
    </row>
    <row r="2333" spans="2:5">
      <c r="B2333" s="1115">
        <v>45019</v>
      </c>
      <c r="C2333" s="242">
        <f t="shared" si="73"/>
        <v>4</v>
      </c>
      <c r="D2333" s="242">
        <v>42.6</v>
      </c>
      <c r="E2333" s="845">
        <f t="shared" si="74"/>
        <v>5.8888888888888893</v>
      </c>
    </row>
    <row r="2334" spans="2:5">
      <c r="B2334" s="1115">
        <v>45019</v>
      </c>
      <c r="C2334" s="242">
        <f t="shared" si="73"/>
        <v>4</v>
      </c>
      <c r="D2334" s="242">
        <v>43.2</v>
      </c>
      <c r="E2334" s="845">
        <f t="shared" si="74"/>
        <v>6.2222222222222232</v>
      </c>
    </row>
    <row r="2335" spans="2:5">
      <c r="B2335" s="1115">
        <v>45019</v>
      </c>
      <c r="C2335" s="242">
        <f t="shared" si="73"/>
        <v>4</v>
      </c>
      <c r="D2335" s="242">
        <v>43.3</v>
      </c>
      <c r="E2335" s="845">
        <f t="shared" si="74"/>
        <v>6.2777777777777759</v>
      </c>
    </row>
    <row r="2336" spans="2:5">
      <c r="B2336" s="1115">
        <v>45019</v>
      </c>
      <c r="C2336" s="242">
        <f t="shared" si="73"/>
        <v>4</v>
      </c>
      <c r="D2336" s="242">
        <v>43.3</v>
      </c>
      <c r="E2336" s="845">
        <f t="shared" si="74"/>
        <v>6.2777777777777759</v>
      </c>
    </row>
    <row r="2337" spans="2:5">
      <c r="B2337" s="1115">
        <v>45020</v>
      </c>
      <c r="C2337" s="242">
        <f t="shared" si="73"/>
        <v>4</v>
      </c>
      <c r="D2337" s="242">
        <v>43.2</v>
      </c>
      <c r="E2337" s="845">
        <f t="shared" si="74"/>
        <v>6.2222222222222232</v>
      </c>
    </row>
    <row r="2338" spans="2:5">
      <c r="B2338" s="1115">
        <v>45020</v>
      </c>
      <c r="C2338" s="242">
        <f t="shared" si="73"/>
        <v>4</v>
      </c>
      <c r="D2338" s="242">
        <v>42.6</v>
      </c>
      <c r="E2338" s="845">
        <f t="shared" si="74"/>
        <v>5.8888888888888893</v>
      </c>
    </row>
    <row r="2339" spans="2:5">
      <c r="B2339" s="1115">
        <v>45020</v>
      </c>
      <c r="C2339" s="242">
        <f t="shared" si="73"/>
        <v>4</v>
      </c>
      <c r="D2339" s="242">
        <v>42.3</v>
      </c>
      <c r="E2339" s="845">
        <f t="shared" si="74"/>
        <v>5.7222222222222205</v>
      </c>
    </row>
    <row r="2340" spans="2:5">
      <c r="B2340" s="1115">
        <v>45020</v>
      </c>
      <c r="C2340" s="242">
        <f t="shared" si="73"/>
        <v>4</v>
      </c>
      <c r="D2340" s="242">
        <v>42.1</v>
      </c>
      <c r="E2340" s="845">
        <f t="shared" si="74"/>
        <v>5.6111111111111116</v>
      </c>
    </row>
    <row r="2341" spans="2:5">
      <c r="B2341" s="1115">
        <v>45020</v>
      </c>
      <c r="C2341" s="242">
        <f t="shared" si="73"/>
        <v>4</v>
      </c>
      <c r="D2341" s="242">
        <v>42.1</v>
      </c>
      <c r="E2341" s="845">
        <f t="shared" si="74"/>
        <v>5.6111111111111116</v>
      </c>
    </row>
    <row r="2342" spans="2:5">
      <c r="B2342" s="1115">
        <v>45020</v>
      </c>
      <c r="C2342" s="242">
        <f t="shared" si="73"/>
        <v>4</v>
      </c>
      <c r="D2342" s="242">
        <v>41.9</v>
      </c>
      <c r="E2342" s="845">
        <f t="shared" si="74"/>
        <v>5.4999999999999991</v>
      </c>
    </row>
    <row r="2343" spans="2:5">
      <c r="B2343" s="1115">
        <v>45020</v>
      </c>
      <c r="C2343" s="242">
        <f t="shared" si="73"/>
        <v>4</v>
      </c>
      <c r="D2343" s="242">
        <v>42.1</v>
      </c>
      <c r="E2343" s="845">
        <f t="shared" si="74"/>
        <v>5.6111111111111116</v>
      </c>
    </row>
    <row r="2344" spans="2:5">
      <c r="B2344" s="1115">
        <v>45020</v>
      </c>
      <c r="C2344" s="242">
        <f t="shared" si="73"/>
        <v>4</v>
      </c>
      <c r="D2344" s="242">
        <v>42.3</v>
      </c>
      <c r="E2344" s="845">
        <f t="shared" si="74"/>
        <v>5.7222222222222205</v>
      </c>
    </row>
    <row r="2345" spans="2:5">
      <c r="B2345" s="1115">
        <v>45020</v>
      </c>
      <c r="C2345" s="242">
        <f t="shared" si="73"/>
        <v>4</v>
      </c>
      <c r="D2345" s="242">
        <v>42.6</v>
      </c>
      <c r="E2345" s="845">
        <f t="shared" si="74"/>
        <v>5.8888888888888893</v>
      </c>
    </row>
    <row r="2346" spans="2:5">
      <c r="B2346" s="1115">
        <v>45020</v>
      </c>
      <c r="C2346" s="242">
        <f t="shared" si="73"/>
        <v>4</v>
      </c>
      <c r="D2346" s="242" t="s">
        <v>1838</v>
      </c>
      <c r="E2346" s="845">
        <f t="shared" si="74"/>
        <v>6.1111111111111107</v>
      </c>
    </row>
    <row r="2347" spans="2:5">
      <c r="B2347" s="1115">
        <v>45020</v>
      </c>
      <c r="C2347" s="242">
        <f t="shared" si="73"/>
        <v>4</v>
      </c>
      <c r="D2347" s="242">
        <v>43.2</v>
      </c>
      <c r="E2347" s="845">
        <f t="shared" si="74"/>
        <v>6.2222222222222232</v>
      </c>
    </row>
    <row r="2348" spans="2:5">
      <c r="B2348" s="1115">
        <v>45020</v>
      </c>
      <c r="C2348" s="242">
        <f t="shared" si="73"/>
        <v>4</v>
      </c>
      <c r="D2348" s="242">
        <v>43.3</v>
      </c>
      <c r="E2348" s="845">
        <f t="shared" si="74"/>
        <v>6.2777777777777759</v>
      </c>
    </row>
    <row r="2349" spans="2:5">
      <c r="B2349" s="1115">
        <v>45020</v>
      </c>
      <c r="C2349" s="242">
        <f t="shared" si="73"/>
        <v>4</v>
      </c>
      <c r="D2349" s="242" t="s">
        <v>1838</v>
      </c>
      <c r="E2349" s="845">
        <f t="shared" si="74"/>
        <v>6.1111111111111107</v>
      </c>
    </row>
    <row r="2350" spans="2:5">
      <c r="B2350" s="1115">
        <v>45020</v>
      </c>
      <c r="C2350" s="242">
        <f t="shared" si="73"/>
        <v>4</v>
      </c>
      <c r="D2350" s="242">
        <v>42.4</v>
      </c>
      <c r="E2350" s="845">
        <f t="shared" si="74"/>
        <v>5.7777777777777768</v>
      </c>
    </row>
    <row r="2351" spans="2:5">
      <c r="B2351" s="1115">
        <v>45020</v>
      </c>
      <c r="C2351" s="242">
        <f t="shared" si="73"/>
        <v>4</v>
      </c>
      <c r="D2351" s="242">
        <v>42.1</v>
      </c>
      <c r="E2351" s="845">
        <f t="shared" si="74"/>
        <v>5.6111111111111116</v>
      </c>
    </row>
    <row r="2352" spans="2:5">
      <c r="B2352" s="1115">
        <v>45020</v>
      </c>
      <c r="C2352" s="242">
        <f t="shared" si="73"/>
        <v>4</v>
      </c>
      <c r="D2352" s="242">
        <v>42.1</v>
      </c>
      <c r="E2352" s="845">
        <f t="shared" si="74"/>
        <v>5.6111111111111116</v>
      </c>
    </row>
    <row r="2353" spans="2:5">
      <c r="B2353" s="1115">
        <v>45020</v>
      </c>
      <c r="C2353" s="242">
        <f t="shared" si="73"/>
        <v>4</v>
      </c>
      <c r="D2353" s="242">
        <v>41.7</v>
      </c>
      <c r="E2353" s="845">
        <f t="shared" si="74"/>
        <v>5.3888888888888902</v>
      </c>
    </row>
    <row r="2354" spans="2:5">
      <c r="B2354" s="1115">
        <v>45020</v>
      </c>
      <c r="C2354" s="242">
        <f t="shared" si="73"/>
        <v>4</v>
      </c>
      <c r="D2354" s="242">
        <v>41.5</v>
      </c>
      <c r="E2354" s="845">
        <f t="shared" si="74"/>
        <v>5.2777777777777777</v>
      </c>
    </row>
    <row r="2355" spans="2:5">
      <c r="B2355" s="1115">
        <v>45020</v>
      </c>
      <c r="C2355" s="242">
        <f t="shared" si="73"/>
        <v>4</v>
      </c>
      <c r="D2355" s="242">
        <v>41.7</v>
      </c>
      <c r="E2355" s="845">
        <f t="shared" si="74"/>
        <v>5.3888888888888902</v>
      </c>
    </row>
    <row r="2356" spans="2:5">
      <c r="B2356" s="1115">
        <v>45020</v>
      </c>
      <c r="C2356" s="242">
        <f t="shared" si="73"/>
        <v>4</v>
      </c>
      <c r="D2356" s="242">
        <v>42.1</v>
      </c>
      <c r="E2356" s="845">
        <f t="shared" si="74"/>
        <v>5.6111111111111116</v>
      </c>
    </row>
    <row r="2357" spans="2:5">
      <c r="B2357" s="1115">
        <v>45020</v>
      </c>
      <c r="C2357" s="242">
        <f t="shared" si="73"/>
        <v>4</v>
      </c>
      <c r="D2357" s="242">
        <v>42.6</v>
      </c>
      <c r="E2357" s="845">
        <f t="shared" si="74"/>
        <v>5.8888888888888893</v>
      </c>
    </row>
    <row r="2358" spans="2:5">
      <c r="B2358" s="1115">
        <v>45020</v>
      </c>
      <c r="C2358" s="242">
        <f t="shared" si="73"/>
        <v>4</v>
      </c>
      <c r="D2358" s="242">
        <v>43.2</v>
      </c>
      <c r="E2358" s="845">
        <f t="shared" si="74"/>
        <v>6.2222222222222232</v>
      </c>
    </row>
    <row r="2359" spans="2:5">
      <c r="B2359" s="1115">
        <v>45020</v>
      </c>
      <c r="C2359" s="242">
        <f t="shared" si="73"/>
        <v>4</v>
      </c>
      <c r="D2359" s="242">
        <v>43.7</v>
      </c>
      <c r="E2359" s="845">
        <f t="shared" si="74"/>
        <v>6.5000000000000018</v>
      </c>
    </row>
    <row r="2360" spans="2:5">
      <c r="B2360" s="1115">
        <v>45020</v>
      </c>
      <c r="C2360" s="242">
        <f t="shared" si="73"/>
        <v>4</v>
      </c>
      <c r="D2360" s="242">
        <v>43.9</v>
      </c>
      <c r="E2360" s="845">
        <f t="shared" si="74"/>
        <v>6.6111111111111098</v>
      </c>
    </row>
    <row r="2361" spans="2:5">
      <c r="B2361" s="1115">
        <v>45021</v>
      </c>
      <c r="C2361" s="242">
        <f t="shared" si="73"/>
        <v>4</v>
      </c>
      <c r="D2361" s="242">
        <v>43.9</v>
      </c>
      <c r="E2361" s="845">
        <f t="shared" si="74"/>
        <v>6.6111111111111098</v>
      </c>
    </row>
    <row r="2362" spans="2:5">
      <c r="B2362" s="1115">
        <v>45021</v>
      </c>
      <c r="C2362" s="242">
        <f t="shared" si="73"/>
        <v>4</v>
      </c>
      <c r="D2362" s="242">
        <v>43.2</v>
      </c>
      <c r="E2362" s="845">
        <f t="shared" si="74"/>
        <v>6.2222222222222232</v>
      </c>
    </row>
    <row r="2363" spans="2:5">
      <c r="B2363" s="1115">
        <v>45021</v>
      </c>
      <c r="C2363" s="242">
        <f t="shared" si="73"/>
        <v>4</v>
      </c>
      <c r="D2363" s="242">
        <v>42.4</v>
      </c>
      <c r="E2363" s="845">
        <f t="shared" si="74"/>
        <v>5.7777777777777768</v>
      </c>
    </row>
    <row r="2364" spans="2:5">
      <c r="B2364" s="1115">
        <v>45021</v>
      </c>
      <c r="C2364" s="242">
        <f t="shared" si="73"/>
        <v>4</v>
      </c>
      <c r="D2364" s="242">
        <v>41.9</v>
      </c>
      <c r="E2364" s="845">
        <f t="shared" si="74"/>
        <v>5.4999999999999991</v>
      </c>
    </row>
    <row r="2365" spans="2:5">
      <c r="B2365" s="1115">
        <v>45021</v>
      </c>
      <c r="C2365" s="242">
        <f t="shared" si="73"/>
        <v>4</v>
      </c>
      <c r="D2365" s="242">
        <v>41.9</v>
      </c>
      <c r="E2365" s="845">
        <f t="shared" si="74"/>
        <v>5.4999999999999991</v>
      </c>
    </row>
    <row r="2366" spans="2:5">
      <c r="B2366" s="1115">
        <v>45021</v>
      </c>
      <c r="C2366" s="242">
        <f t="shared" si="73"/>
        <v>4</v>
      </c>
      <c r="D2366" s="242">
        <v>41.5</v>
      </c>
      <c r="E2366" s="845">
        <f t="shared" si="74"/>
        <v>5.2777777777777777</v>
      </c>
    </row>
    <row r="2367" spans="2:5">
      <c r="B2367" s="1115">
        <v>45021</v>
      </c>
      <c r="C2367" s="242">
        <f t="shared" si="73"/>
        <v>4</v>
      </c>
      <c r="D2367" s="242">
        <v>41.9</v>
      </c>
      <c r="E2367" s="845">
        <f t="shared" si="74"/>
        <v>5.4999999999999991</v>
      </c>
    </row>
    <row r="2368" spans="2:5">
      <c r="B2368" s="1115">
        <v>45021</v>
      </c>
      <c r="C2368" s="242">
        <f t="shared" si="73"/>
        <v>4</v>
      </c>
      <c r="D2368" s="242">
        <v>41.9</v>
      </c>
      <c r="E2368" s="845">
        <f t="shared" si="74"/>
        <v>5.4999999999999991</v>
      </c>
    </row>
    <row r="2369" spans="2:5">
      <c r="B2369" s="1115">
        <v>45021</v>
      </c>
      <c r="C2369" s="242">
        <f t="shared" si="73"/>
        <v>4</v>
      </c>
      <c r="D2369" s="242">
        <v>42.3</v>
      </c>
      <c r="E2369" s="845">
        <f t="shared" si="74"/>
        <v>5.7222222222222205</v>
      </c>
    </row>
    <row r="2370" spans="2:5">
      <c r="B2370" s="1115">
        <v>45021</v>
      </c>
      <c r="C2370" s="242">
        <f t="shared" si="73"/>
        <v>4</v>
      </c>
      <c r="D2370" s="242" t="s">
        <v>1838</v>
      </c>
      <c r="E2370" s="845">
        <f t="shared" si="74"/>
        <v>6.1111111111111107</v>
      </c>
    </row>
    <row r="2371" spans="2:5">
      <c r="B2371" s="1115">
        <v>45021</v>
      </c>
      <c r="C2371" s="242">
        <f t="shared" si="73"/>
        <v>4</v>
      </c>
      <c r="D2371" s="242">
        <v>43.3</v>
      </c>
      <c r="E2371" s="845">
        <f t="shared" si="74"/>
        <v>6.2777777777777759</v>
      </c>
    </row>
    <row r="2372" spans="2:5">
      <c r="B2372" s="1115">
        <v>45021</v>
      </c>
      <c r="C2372" s="242">
        <f t="shared" si="73"/>
        <v>4</v>
      </c>
      <c r="D2372" s="242">
        <v>43.7</v>
      </c>
      <c r="E2372" s="845">
        <f t="shared" si="74"/>
        <v>6.5000000000000018</v>
      </c>
    </row>
    <row r="2373" spans="2:5">
      <c r="B2373" s="1115">
        <v>45021</v>
      </c>
      <c r="C2373" s="242">
        <f t="shared" si="73"/>
        <v>4</v>
      </c>
      <c r="D2373" s="242">
        <v>43.7</v>
      </c>
      <c r="E2373" s="845">
        <f t="shared" si="74"/>
        <v>6.5000000000000018</v>
      </c>
    </row>
    <row r="2374" spans="2:5">
      <c r="B2374" s="1115">
        <v>45021</v>
      </c>
      <c r="C2374" s="242">
        <f t="shared" si="73"/>
        <v>4</v>
      </c>
      <c r="D2374" s="242">
        <v>43.2</v>
      </c>
      <c r="E2374" s="845">
        <f t="shared" si="74"/>
        <v>6.2222222222222232</v>
      </c>
    </row>
    <row r="2375" spans="2:5">
      <c r="B2375" s="1115">
        <v>45021</v>
      </c>
      <c r="C2375" s="242">
        <f t="shared" si="73"/>
        <v>4</v>
      </c>
      <c r="D2375" s="242">
        <v>42.3</v>
      </c>
      <c r="E2375" s="845">
        <f t="shared" si="74"/>
        <v>5.7222222222222205</v>
      </c>
    </row>
    <row r="2376" spans="2:5">
      <c r="B2376" s="1115">
        <v>45021</v>
      </c>
      <c r="C2376" s="242">
        <f t="shared" si="73"/>
        <v>4</v>
      </c>
      <c r="D2376" s="242">
        <v>42.3</v>
      </c>
      <c r="E2376" s="845">
        <f t="shared" si="74"/>
        <v>5.7222222222222205</v>
      </c>
    </row>
    <row r="2377" spans="2:5">
      <c r="B2377" s="1115">
        <v>45021</v>
      </c>
      <c r="C2377" s="242">
        <f t="shared" si="73"/>
        <v>4</v>
      </c>
      <c r="D2377" s="242">
        <v>42.3</v>
      </c>
      <c r="E2377" s="845">
        <f t="shared" si="74"/>
        <v>5.7222222222222205</v>
      </c>
    </row>
    <row r="2378" spans="2:5">
      <c r="B2378" s="1115">
        <v>45021</v>
      </c>
      <c r="C2378" s="242">
        <f t="shared" ref="C2378:C2441" si="75">MONTH(B2378)</f>
        <v>4</v>
      </c>
      <c r="D2378" s="242">
        <v>42.1</v>
      </c>
      <c r="E2378" s="845">
        <f t="shared" ref="E2378:E2441" si="76">CONVERT(D2378,"F","C")</f>
        <v>5.6111111111111116</v>
      </c>
    </row>
    <row r="2379" spans="2:5">
      <c r="B2379" s="1115">
        <v>45021</v>
      </c>
      <c r="C2379" s="242">
        <f t="shared" si="75"/>
        <v>4</v>
      </c>
      <c r="D2379" s="242">
        <v>41.9</v>
      </c>
      <c r="E2379" s="845">
        <f t="shared" si="76"/>
        <v>5.4999999999999991</v>
      </c>
    </row>
    <row r="2380" spans="2:5">
      <c r="B2380" s="1115">
        <v>45021</v>
      </c>
      <c r="C2380" s="242">
        <f t="shared" si="75"/>
        <v>4</v>
      </c>
      <c r="D2380" s="242">
        <v>42.1</v>
      </c>
      <c r="E2380" s="845">
        <f t="shared" si="76"/>
        <v>5.6111111111111116</v>
      </c>
    </row>
    <row r="2381" spans="2:5">
      <c r="B2381" s="1115">
        <v>45021</v>
      </c>
      <c r="C2381" s="242">
        <f t="shared" si="75"/>
        <v>4</v>
      </c>
      <c r="D2381" s="242">
        <v>42.3</v>
      </c>
      <c r="E2381" s="845">
        <f t="shared" si="76"/>
        <v>5.7222222222222205</v>
      </c>
    </row>
    <row r="2382" spans="2:5">
      <c r="B2382" s="1115">
        <v>45021</v>
      </c>
      <c r="C2382" s="242">
        <f t="shared" si="75"/>
        <v>4</v>
      </c>
      <c r="D2382" s="242">
        <v>42.8</v>
      </c>
      <c r="E2382" s="845">
        <f t="shared" si="76"/>
        <v>5.9999999999999982</v>
      </c>
    </row>
    <row r="2383" spans="2:5">
      <c r="B2383" s="1115">
        <v>45021</v>
      </c>
      <c r="C2383" s="242">
        <f t="shared" si="75"/>
        <v>4</v>
      </c>
      <c r="D2383" s="242">
        <v>43.3</v>
      </c>
      <c r="E2383" s="845">
        <f t="shared" si="76"/>
        <v>6.2777777777777759</v>
      </c>
    </row>
    <row r="2384" spans="2:5">
      <c r="B2384" s="1115">
        <v>45021</v>
      </c>
      <c r="C2384" s="242">
        <f t="shared" si="75"/>
        <v>4</v>
      </c>
      <c r="D2384" s="242">
        <v>43.5</v>
      </c>
      <c r="E2384" s="845">
        <f t="shared" si="76"/>
        <v>6.3888888888888884</v>
      </c>
    </row>
    <row r="2385" spans="2:5">
      <c r="B2385" s="1115">
        <v>45022</v>
      </c>
      <c r="C2385" s="242">
        <f t="shared" si="75"/>
        <v>4</v>
      </c>
      <c r="D2385" s="242">
        <v>43.7</v>
      </c>
      <c r="E2385" s="845">
        <f t="shared" si="76"/>
        <v>6.5000000000000018</v>
      </c>
    </row>
    <row r="2386" spans="2:5">
      <c r="B2386" s="1115">
        <v>45022</v>
      </c>
      <c r="C2386" s="242">
        <f t="shared" si="75"/>
        <v>4</v>
      </c>
      <c r="D2386" s="242">
        <v>43.5</v>
      </c>
      <c r="E2386" s="845">
        <f t="shared" si="76"/>
        <v>6.3888888888888884</v>
      </c>
    </row>
    <row r="2387" spans="2:5">
      <c r="B2387" s="1115">
        <v>45022</v>
      </c>
      <c r="C2387" s="242">
        <f t="shared" si="75"/>
        <v>4</v>
      </c>
      <c r="D2387" s="242">
        <v>42.8</v>
      </c>
      <c r="E2387" s="845">
        <f t="shared" si="76"/>
        <v>5.9999999999999982</v>
      </c>
    </row>
    <row r="2388" spans="2:5">
      <c r="B2388" s="1115">
        <v>45022</v>
      </c>
      <c r="C2388" s="242">
        <f t="shared" si="75"/>
        <v>4</v>
      </c>
      <c r="D2388" s="242">
        <v>42.4</v>
      </c>
      <c r="E2388" s="845">
        <f t="shared" si="76"/>
        <v>5.7777777777777768</v>
      </c>
    </row>
    <row r="2389" spans="2:5">
      <c r="B2389" s="1115">
        <v>45022</v>
      </c>
      <c r="C2389" s="242">
        <f t="shared" si="75"/>
        <v>4</v>
      </c>
      <c r="D2389" s="242">
        <v>42.3</v>
      </c>
      <c r="E2389" s="845">
        <f t="shared" si="76"/>
        <v>5.7222222222222205</v>
      </c>
    </row>
    <row r="2390" spans="2:5">
      <c r="B2390" s="1115">
        <v>45022</v>
      </c>
      <c r="C2390" s="242">
        <f t="shared" si="75"/>
        <v>4</v>
      </c>
      <c r="D2390" s="242">
        <v>42.1</v>
      </c>
      <c r="E2390" s="845">
        <f t="shared" si="76"/>
        <v>5.6111111111111116</v>
      </c>
    </row>
    <row r="2391" spans="2:5">
      <c r="B2391" s="1115">
        <v>45022</v>
      </c>
      <c r="C2391" s="242">
        <f t="shared" si="75"/>
        <v>4</v>
      </c>
      <c r="D2391" s="242">
        <v>41.9</v>
      </c>
      <c r="E2391" s="845">
        <f t="shared" si="76"/>
        <v>5.4999999999999991</v>
      </c>
    </row>
    <row r="2392" spans="2:5">
      <c r="B2392" s="1115">
        <v>45022</v>
      </c>
      <c r="C2392" s="242">
        <f t="shared" si="75"/>
        <v>4</v>
      </c>
      <c r="D2392" s="242">
        <v>41.9</v>
      </c>
      <c r="E2392" s="845">
        <f t="shared" si="76"/>
        <v>5.4999999999999991</v>
      </c>
    </row>
    <row r="2393" spans="2:5">
      <c r="B2393" s="1115">
        <v>45022</v>
      </c>
      <c r="C2393" s="242">
        <f t="shared" si="75"/>
        <v>4</v>
      </c>
      <c r="D2393" s="242">
        <v>42.1</v>
      </c>
      <c r="E2393" s="845">
        <f t="shared" si="76"/>
        <v>5.6111111111111116</v>
      </c>
    </row>
    <row r="2394" spans="2:5">
      <c r="B2394" s="1115">
        <v>45022</v>
      </c>
      <c r="C2394" s="242">
        <f t="shared" si="75"/>
        <v>4</v>
      </c>
      <c r="D2394" s="242">
        <v>42.6</v>
      </c>
      <c r="E2394" s="845">
        <f t="shared" si="76"/>
        <v>5.8888888888888893</v>
      </c>
    </row>
    <row r="2395" spans="2:5">
      <c r="B2395" s="1115">
        <v>45022</v>
      </c>
      <c r="C2395" s="242">
        <f t="shared" si="75"/>
        <v>4</v>
      </c>
      <c r="D2395" s="242" t="s">
        <v>1838</v>
      </c>
      <c r="E2395" s="845">
        <f t="shared" si="76"/>
        <v>6.1111111111111107</v>
      </c>
    </row>
    <row r="2396" spans="2:5">
      <c r="B2396" s="1115">
        <v>45022</v>
      </c>
      <c r="C2396" s="242">
        <f t="shared" si="75"/>
        <v>4</v>
      </c>
      <c r="D2396" s="242">
        <v>43.3</v>
      </c>
      <c r="E2396" s="845">
        <f t="shared" si="76"/>
        <v>6.2777777777777759</v>
      </c>
    </row>
    <row r="2397" spans="2:5">
      <c r="B2397" s="1115">
        <v>45022</v>
      </c>
      <c r="C2397" s="242">
        <f t="shared" si="75"/>
        <v>4</v>
      </c>
      <c r="D2397" s="242">
        <v>43.5</v>
      </c>
      <c r="E2397" s="845">
        <f t="shared" si="76"/>
        <v>6.3888888888888884</v>
      </c>
    </row>
    <row r="2398" spans="2:5">
      <c r="B2398" s="1115">
        <v>45022</v>
      </c>
      <c r="C2398" s="242">
        <f t="shared" si="75"/>
        <v>4</v>
      </c>
      <c r="D2398" s="242">
        <v>43.3</v>
      </c>
      <c r="E2398" s="845">
        <f t="shared" si="76"/>
        <v>6.2777777777777759</v>
      </c>
    </row>
    <row r="2399" spans="2:5">
      <c r="B2399" s="1115">
        <v>45022</v>
      </c>
      <c r="C2399" s="242">
        <f t="shared" si="75"/>
        <v>4</v>
      </c>
      <c r="D2399" s="242" t="s">
        <v>1838</v>
      </c>
      <c r="E2399" s="845">
        <f t="shared" si="76"/>
        <v>6.1111111111111107</v>
      </c>
    </row>
    <row r="2400" spans="2:5">
      <c r="B2400" s="1115">
        <v>45022</v>
      </c>
      <c r="C2400" s="242">
        <f t="shared" si="75"/>
        <v>4</v>
      </c>
      <c r="D2400" s="242">
        <v>42.4</v>
      </c>
      <c r="E2400" s="845">
        <f t="shared" si="76"/>
        <v>5.7777777777777768</v>
      </c>
    </row>
    <row r="2401" spans="2:5">
      <c r="B2401" s="1115">
        <v>45022</v>
      </c>
      <c r="C2401" s="242">
        <f t="shared" si="75"/>
        <v>4</v>
      </c>
      <c r="D2401" s="242">
        <v>42.1</v>
      </c>
      <c r="E2401" s="845">
        <f t="shared" si="76"/>
        <v>5.6111111111111116</v>
      </c>
    </row>
    <row r="2402" spans="2:5">
      <c r="B2402" s="1115">
        <v>45022</v>
      </c>
      <c r="C2402" s="242">
        <f t="shared" si="75"/>
        <v>4</v>
      </c>
      <c r="D2402" s="242">
        <v>41.9</v>
      </c>
      <c r="E2402" s="845">
        <f t="shared" si="76"/>
        <v>5.4999999999999991</v>
      </c>
    </row>
    <row r="2403" spans="2:5">
      <c r="B2403" s="1115">
        <v>45022</v>
      </c>
      <c r="C2403" s="242">
        <f t="shared" si="75"/>
        <v>4</v>
      </c>
      <c r="D2403" s="242">
        <v>42.1</v>
      </c>
      <c r="E2403" s="845">
        <f t="shared" si="76"/>
        <v>5.6111111111111116</v>
      </c>
    </row>
    <row r="2404" spans="2:5">
      <c r="B2404" s="1115">
        <v>45022</v>
      </c>
      <c r="C2404" s="242">
        <f t="shared" si="75"/>
        <v>4</v>
      </c>
      <c r="D2404" s="242">
        <v>41.9</v>
      </c>
      <c r="E2404" s="845">
        <f t="shared" si="76"/>
        <v>5.4999999999999991</v>
      </c>
    </row>
    <row r="2405" spans="2:5">
      <c r="B2405" s="1115">
        <v>45022</v>
      </c>
      <c r="C2405" s="242">
        <f t="shared" si="75"/>
        <v>4</v>
      </c>
      <c r="D2405" s="242">
        <v>42.3</v>
      </c>
      <c r="E2405" s="845">
        <f t="shared" si="76"/>
        <v>5.7222222222222205</v>
      </c>
    </row>
    <row r="2406" spans="2:5">
      <c r="B2406" s="1115">
        <v>45022</v>
      </c>
      <c r="C2406" s="242">
        <f t="shared" si="75"/>
        <v>4</v>
      </c>
      <c r="D2406" s="242">
        <v>42.6</v>
      </c>
      <c r="E2406" s="845">
        <f t="shared" si="76"/>
        <v>5.8888888888888893</v>
      </c>
    </row>
    <row r="2407" spans="2:5">
      <c r="B2407" s="1115">
        <v>45022</v>
      </c>
      <c r="C2407" s="242">
        <f t="shared" si="75"/>
        <v>4</v>
      </c>
      <c r="D2407" s="242">
        <v>43.3</v>
      </c>
      <c r="E2407" s="845">
        <f t="shared" si="76"/>
        <v>6.2777777777777759</v>
      </c>
    </row>
    <row r="2408" spans="2:5">
      <c r="B2408" s="1115">
        <v>45022</v>
      </c>
      <c r="C2408" s="242">
        <f t="shared" si="75"/>
        <v>4</v>
      </c>
      <c r="D2408" s="242">
        <v>43.7</v>
      </c>
      <c r="E2408" s="845">
        <f t="shared" si="76"/>
        <v>6.5000000000000018</v>
      </c>
    </row>
    <row r="2409" spans="2:5">
      <c r="B2409" s="1115">
        <v>45023</v>
      </c>
      <c r="C2409" s="242">
        <f t="shared" si="75"/>
        <v>4</v>
      </c>
      <c r="D2409" s="242">
        <v>43.9</v>
      </c>
      <c r="E2409" s="845">
        <f t="shared" si="76"/>
        <v>6.6111111111111098</v>
      </c>
    </row>
    <row r="2410" spans="2:5">
      <c r="B2410" s="1115">
        <v>45023</v>
      </c>
      <c r="C2410" s="242">
        <f t="shared" si="75"/>
        <v>4</v>
      </c>
      <c r="D2410" s="242">
        <v>43.9</v>
      </c>
      <c r="E2410" s="845">
        <f t="shared" si="76"/>
        <v>6.6111111111111098</v>
      </c>
    </row>
    <row r="2411" spans="2:5">
      <c r="B2411" s="1115">
        <v>45023</v>
      </c>
      <c r="C2411" s="242">
        <f t="shared" si="75"/>
        <v>4</v>
      </c>
      <c r="D2411" s="242">
        <v>43.3</v>
      </c>
      <c r="E2411" s="845">
        <f t="shared" si="76"/>
        <v>6.2777777777777759</v>
      </c>
    </row>
    <row r="2412" spans="2:5">
      <c r="B2412" s="1115">
        <v>45023</v>
      </c>
      <c r="C2412" s="242">
        <f t="shared" si="75"/>
        <v>4</v>
      </c>
      <c r="D2412" s="242" t="s">
        <v>1838</v>
      </c>
      <c r="E2412" s="845">
        <f t="shared" si="76"/>
        <v>6.1111111111111107</v>
      </c>
    </row>
    <row r="2413" spans="2:5">
      <c r="B2413" s="1115">
        <v>45023</v>
      </c>
      <c r="C2413" s="242">
        <f t="shared" si="75"/>
        <v>4</v>
      </c>
      <c r="D2413" s="242">
        <v>42.4</v>
      </c>
      <c r="E2413" s="845">
        <f t="shared" si="76"/>
        <v>5.7777777777777768</v>
      </c>
    </row>
    <row r="2414" spans="2:5">
      <c r="B2414" s="1115">
        <v>45023</v>
      </c>
      <c r="C2414" s="242">
        <f t="shared" si="75"/>
        <v>4</v>
      </c>
      <c r="D2414" s="242">
        <v>42.3</v>
      </c>
      <c r="E2414" s="845">
        <f t="shared" si="76"/>
        <v>5.7222222222222205</v>
      </c>
    </row>
    <row r="2415" spans="2:5">
      <c r="B2415" s="1115">
        <v>45023</v>
      </c>
      <c r="C2415" s="242">
        <f t="shared" si="75"/>
        <v>4</v>
      </c>
      <c r="D2415" s="242">
        <v>42.1</v>
      </c>
      <c r="E2415" s="845">
        <f t="shared" si="76"/>
        <v>5.6111111111111116</v>
      </c>
    </row>
    <row r="2416" spans="2:5">
      <c r="B2416" s="1115">
        <v>45023</v>
      </c>
      <c r="C2416" s="242">
        <f t="shared" si="75"/>
        <v>4</v>
      </c>
      <c r="D2416" s="242">
        <v>42.4</v>
      </c>
      <c r="E2416" s="845">
        <f t="shared" si="76"/>
        <v>5.7777777777777768</v>
      </c>
    </row>
    <row r="2417" spans="2:5">
      <c r="B2417" s="1115">
        <v>45023</v>
      </c>
      <c r="C2417" s="242">
        <f t="shared" si="75"/>
        <v>4</v>
      </c>
      <c r="D2417" s="242">
        <v>42.3</v>
      </c>
      <c r="E2417" s="845">
        <f t="shared" si="76"/>
        <v>5.7222222222222205</v>
      </c>
    </row>
    <row r="2418" spans="2:5">
      <c r="B2418" s="1115">
        <v>45023</v>
      </c>
      <c r="C2418" s="242">
        <f t="shared" si="75"/>
        <v>4</v>
      </c>
      <c r="D2418" s="242">
        <v>42.6</v>
      </c>
      <c r="E2418" s="845">
        <f t="shared" si="76"/>
        <v>5.8888888888888893</v>
      </c>
    </row>
    <row r="2419" spans="2:5">
      <c r="B2419" s="1115">
        <v>45023</v>
      </c>
      <c r="C2419" s="242">
        <f t="shared" si="75"/>
        <v>4</v>
      </c>
      <c r="D2419" s="242">
        <v>43.2</v>
      </c>
      <c r="E2419" s="845">
        <f t="shared" si="76"/>
        <v>6.2222222222222232</v>
      </c>
    </row>
    <row r="2420" spans="2:5">
      <c r="B2420" s="1115">
        <v>45023</v>
      </c>
      <c r="C2420" s="242">
        <f t="shared" si="75"/>
        <v>4</v>
      </c>
      <c r="D2420" s="242">
        <v>43.5</v>
      </c>
      <c r="E2420" s="845">
        <f t="shared" si="76"/>
        <v>6.3888888888888884</v>
      </c>
    </row>
    <row r="2421" spans="2:5">
      <c r="B2421" s="1115">
        <v>45023</v>
      </c>
      <c r="C2421" s="242">
        <f t="shared" si="75"/>
        <v>4</v>
      </c>
      <c r="D2421" s="242">
        <v>43.9</v>
      </c>
      <c r="E2421" s="845">
        <f t="shared" si="76"/>
        <v>6.6111111111111098</v>
      </c>
    </row>
    <row r="2422" spans="2:5">
      <c r="B2422" s="1115">
        <v>45023</v>
      </c>
      <c r="C2422" s="242">
        <f t="shared" si="75"/>
        <v>4</v>
      </c>
      <c r="D2422" s="242">
        <v>44.1</v>
      </c>
      <c r="E2422" s="845">
        <f t="shared" si="76"/>
        <v>6.7222222222222232</v>
      </c>
    </row>
    <row r="2423" spans="2:5">
      <c r="B2423" s="1115">
        <v>45023</v>
      </c>
      <c r="C2423" s="242">
        <f t="shared" si="75"/>
        <v>4</v>
      </c>
      <c r="D2423" s="242">
        <v>43.9</v>
      </c>
      <c r="E2423" s="845">
        <f t="shared" si="76"/>
        <v>6.6111111111111098</v>
      </c>
    </row>
    <row r="2424" spans="2:5">
      <c r="B2424" s="1115">
        <v>45023</v>
      </c>
      <c r="C2424" s="242">
        <f t="shared" si="75"/>
        <v>4</v>
      </c>
      <c r="D2424" s="242">
        <v>43.2</v>
      </c>
      <c r="E2424" s="845">
        <f t="shared" si="76"/>
        <v>6.2222222222222232</v>
      </c>
    </row>
    <row r="2425" spans="2:5">
      <c r="B2425" s="1115">
        <v>45023</v>
      </c>
      <c r="C2425" s="242">
        <f t="shared" si="75"/>
        <v>4</v>
      </c>
      <c r="D2425" s="242">
        <v>42.8</v>
      </c>
      <c r="E2425" s="845">
        <f t="shared" si="76"/>
        <v>5.9999999999999982</v>
      </c>
    </row>
    <row r="2426" spans="2:5">
      <c r="B2426" s="1115">
        <v>45023</v>
      </c>
      <c r="C2426" s="242">
        <f t="shared" si="75"/>
        <v>4</v>
      </c>
      <c r="D2426" s="242">
        <v>42.3</v>
      </c>
      <c r="E2426" s="845">
        <f t="shared" si="76"/>
        <v>5.7222222222222205</v>
      </c>
    </row>
    <row r="2427" spans="2:5">
      <c r="B2427" s="1115">
        <v>45023</v>
      </c>
      <c r="C2427" s="242">
        <f t="shared" si="75"/>
        <v>4</v>
      </c>
      <c r="D2427" s="242">
        <v>42.3</v>
      </c>
      <c r="E2427" s="845">
        <f t="shared" si="76"/>
        <v>5.7222222222222205</v>
      </c>
    </row>
    <row r="2428" spans="2:5">
      <c r="B2428" s="1115">
        <v>45023</v>
      </c>
      <c r="C2428" s="242">
        <f t="shared" si="75"/>
        <v>4</v>
      </c>
      <c r="D2428" s="242">
        <v>42.1</v>
      </c>
      <c r="E2428" s="845">
        <f t="shared" si="76"/>
        <v>5.6111111111111116</v>
      </c>
    </row>
    <row r="2429" spans="2:5">
      <c r="B2429" s="1115">
        <v>45023</v>
      </c>
      <c r="C2429" s="242">
        <f t="shared" si="75"/>
        <v>4</v>
      </c>
      <c r="D2429" s="242">
        <v>42.1</v>
      </c>
      <c r="E2429" s="845">
        <f t="shared" si="76"/>
        <v>5.6111111111111116</v>
      </c>
    </row>
    <row r="2430" spans="2:5">
      <c r="B2430" s="1115">
        <v>45023</v>
      </c>
      <c r="C2430" s="242">
        <f t="shared" si="75"/>
        <v>4</v>
      </c>
      <c r="D2430" s="242">
        <v>42.4</v>
      </c>
      <c r="E2430" s="845">
        <f t="shared" si="76"/>
        <v>5.7777777777777768</v>
      </c>
    </row>
    <row r="2431" spans="2:5">
      <c r="B2431" s="1115">
        <v>45023</v>
      </c>
      <c r="C2431" s="242">
        <f t="shared" si="75"/>
        <v>4</v>
      </c>
      <c r="D2431" s="242" t="s">
        <v>1838</v>
      </c>
      <c r="E2431" s="845">
        <f t="shared" si="76"/>
        <v>6.1111111111111107</v>
      </c>
    </row>
    <row r="2432" spans="2:5">
      <c r="B2432" s="1115">
        <v>45023</v>
      </c>
      <c r="C2432" s="242">
        <f t="shared" si="75"/>
        <v>4</v>
      </c>
      <c r="D2432" s="242">
        <v>43.7</v>
      </c>
      <c r="E2432" s="845">
        <f t="shared" si="76"/>
        <v>6.5000000000000018</v>
      </c>
    </row>
    <row r="2433" spans="2:5">
      <c r="B2433" s="1115">
        <v>45024</v>
      </c>
      <c r="C2433" s="242">
        <f t="shared" si="75"/>
        <v>4</v>
      </c>
      <c r="D2433" s="242">
        <v>44.1</v>
      </c>
      <c r="E2433" s="845">
        <f t="shared" si="76"/>
        <v>6.7222222222222232</v>
      </c>
    </row>
    <row r="2434" spans="2:5">
      <c r="B2434" s="1115">
        <v>45024</v>
      </c>
      <c r="C2434" s="242">
        <f t="shared" si="75"/>
        <v>4</v>
      </c>
      <c r="D2434" s="242">
        <v>44.1</v>
      </c>
      <c r="E2434" s="845">
        <f t="shared" si="76"/>
        <v>6.7222222222222232</v>
      </c>
    </row>
    <row r="2435" spans="2:5">
      <c r="B2435" s="1115">
        <v>45024</v>
      </c>
      <c r="C2435" s="242">
        <f t="shared" si="75"/>
        <v>4</v>
      </c>
      <c r="D2435" s="242">
        <v>43.9</v>
      </c>
      <c r="E2435" s="845">
        <f t="shared" si="76"/>
        <v>6.6111111111111098</v>
      </c>
    </row>
    <row r="2436" spans="2:5">
      <c r="B2436" s="1115">
        <v>45024</v>
      </c>
      <c r="C2436" s="242">
        <f t="shared" si="75"/>
        <v>4</v>
      </c>
      <c r="D2436" s="242">
        <v>43.3</v>
      </c>
      <c r="E2436" s="845">
        <f t="shared" si="76"/>
        <v>6.2777777777777759</v>
      </c>
    </row>
    <row r="2437" spans="2:5">
      <c r="B2437" s="1115">
        <v>45024</v>
      </c>
      <c r="C2437" s="242">
        <f t="shared" si="75"/>
        <v>4</v>
      </c>
      <c r="D2437" s="242">
        <v>42.6</v>
      </c>
      <c r="E2437" s="845">
        <f t="shared" si="76"/>
        <v>5.8888888888888893</v>
      </c>
    </row>
    <row r="2438" spans="2:5">
      <c r="B2438" s="1115">
        <v>45024</v>
      </c>
      <c r="C2438" s="242">
        <f t="shared" si="75"/>
        <v>4</v>
      </c>
      <c r="D2438" s="242">
        <v>42.1</v>
      </c>
      <c r="E2438" s="845">
        <f t="shared" si="76"/>
        <v>5.6111111111111116</v>
      </c>
    </row>
    <row r="2439" spans="2:5">
      <c r="B2439" s="1115">
        <v>45024</v>
      </c>
      <c r="C2439" s="242">
        <f t="shared" si="75"/>
        <v>4</v>
      </c>
      <c r="D2439" s="242">
        <v>41.7</v>
      </c>
      <c r="E2439" s="845">
        <f t="shared" si="76"/>
        <v>5.3888888888888902</v>
      </c>
    </row>
    <row r="2440" spans="2:5">
      <c r="B2440" s="1115">
        <v>45024</v>
      </c>
      <c r="C2440" s="242">
        <f t="shared" si="75"/>
        <v>4</v>
      </c>
      <c r="D2440" s="242">
        <v>41.5</v>
      </c>
      <c r="E2440" s="845">
        <f t="shared" si="76"/>
        <v>5.2777777777777777</v>
      </c>
    </row>
    <row r="2441" spans="2:5">
      <c r="B2441" s="1115">
        <v>45024</v>
      </c>
      <c r="C2441" s="242">
        <f t="shared" si="75"/>
        <v>4</v>
      </c>
      <c r="D2441" s="242">
        <v>41.5</v>
      </c>
      <c r="E2441" s="845">
        <f t="shared" si="76"/>
        <v>5.2777777777777777</v>
      </c>
    </row>
    <row r="2442" spans="2:5">
      <c r="B2442" s="1115">
        <v>45024</v>
      </c>
      <c r="C2442" s="242">
        <f t="shared" ref="C2442:C2505" si="77">MONTH(B2442)</f>
        <v>4</v>
      </c>
      <c r="D2442" s="242">
        <v>41.7</v>
      </c>
      <c r="E2442" s="845">
        <f t="shared" ref="E2442:E2505" si="78">CONVERT(D2442,"F","C")</f>
        <v>5.3888888888888902</v>
      </c>
    </row>
    <row r="2443" spans="2:5">
      <c r="B2443" s="1115">
        <v>45024</v>
      </c>
      <c r="C2443" s="242">
        <f t="shared" si="77"/>
        <v>4</v>
      </c>
      <c r="D2443" s="242">
        <v>42.3</v>
      </c>
      <c r="E2443" s="845">
        <f t="shared" si="78"/>
        <v>5.7222222222222205</v>
      </c>
    </row>
    <row r="2444" spans="2:5">
      <c r="B2444" s="1115">
        <v>45024</v>
      </c>
      <c r="C2444" s="242">
        <f t="shared" si="77"/>
        <v>4</v>
      </c>
      <c r="D2444" s="242">
        <v>42.8</v>
      </c>
      <c r="E2444" s="845">
        <f t="shared" si="78"/>
        <v>5.9999999999999982</v>
      </c>
    </row>
    <row r="2445" spans="2:5">
      <c r="B2445" s="1115">
        <v>45024</v>
      </c>
      <c r="C2445" s="242">
        <f t="shared" si="77"/>
        <v>4</v>
      </c>
      <c r="D2445" s="242">
        <v>43.2</v>
      </c>
      <c r="E2445" s="845">
        <f t="shared" si="78"/>
        <v>6.2222222222222232</v>
      </c>
    </row>
    <row r="2446" spans="2:5">
      <c r="B2446" s="1115">
        <v>45024</v>
      </c>
      <c r="C2446" s="242">
        <f t="shared" si="77"/>
        <v>4</v>
      </c>
      <c r="D2446" s="242">
        <v>43.3</v>
      </c>
      <c r="E2446" s="845">
        <f t="shared" si="78"/>
        <v>6.2777777777777759</v>
      </c>
    </row>
    <row r="2447" spans="2:5">
      <c r="B2447" s="1115">
        <v>45024</v>
      </c>
      <c r="C2447" s="242">
        <f t="shared" si="77"/>
        <v>4</v>
      </c>
      <c r="D2447" s="242">
        <v>43.5</v>
      </c>
      <c r="E2447" s="845">
        <f t="shared" si="78"/>
        <v>6.3888888888888884</v>
      </c>
    </row>
    <row r="2448" spans="2:5">
      <c r="B2448" s="1115">
        <v>45024</v>
      </c>
      <c r="C2448" s="242">
        <f t="shared" si="77"/>
        <v>4</v>
      </c>
      <c r="D2448" s="242" t="s">
        <v>1838</v>
      </c>
      <c r="E2448" s="845">
        <f t="shared" si="78"/>
        <v>6.1111111111111107</v>
      </c>
    </row>
    <row r="2449" spans="2:5">
      <c r="B2449" s="1115">
        <v>45024</v>
      </c>
      <c r="C2449" s="242">
        <f t="shared" si="77"/>
        <v>4</v>
      </c>
      <c r="D2449" s="242">
        <v>42.3</v>
      </c>
      <c r="E2449" s="845">
        <f t="shared" si="78"/>
        <v>5.7222222222222205</v>
      </c>
    </row>
    <row r="2450" spans="2:5">
      <c r="B2450" s="1115">
        <v>45024</v>
      </c>
      <c r="C2450" s="242">
        <f t="shared" si="77"/>
        <v>4</v>
      </c>
      <c r="D2450" s="242">
        <v>42.3</v>
      </c>
      <c r="E2450" s="845">
        <f t="shared" si="78"/>
        <v>5.7222222222222205</v>
      </c>
    </row>
    <row r="2451" spans="2:5">
      <c r="B2451" s="1115">
        <v>45024</v>
      </c>
      <c r="C2451" s="242">
        <f t="shared" si="77"/>
        <v>4</v>
      </c>
      <c r="D2451" s="242">
        <v>41.9</v>
      </c>
      <c r="E2451" s="845">
        <f t="shared" si="78"/>
        <v>5.4999999999999991</v>
      </c>
    </row>
    <row r="2452" spans="2:5">
      <c r="B2452" s="1115">
        <v>45024</v>
      </c>
      <c r="C2452" s="242">
        <f t="shared" si="77"/>
        <v>4</v>
      </c>
      <c r="D2452" s="242">
        <v>41.7</v>
      </c>
      <c r="E2452" s="845">
        <f t="shared" si="78"/>
        <v>5.3888888888888902</v>
      </c>
    </row>
    <row r="2453" spans="2:5">
      <c r="B2453" s="1115">
        <v>45024</v>
      </c>
      <c r="C2453" s="242">
        <f t="shared" si="77"/>
        <v>4</v>
      </c>
      <c r="D2453" s="242">
        <v>42.1</v>
      </c>
      <c r="E2453" s="845">
        <f t="shared" si="78"/>
        <v>5.6111111111111116</v>
      </c>
    </row>
    <row r="2454" spans="2:5">
      <c r="B2454" s="1115">
        <v>45024</v>
      </c>
      <c r="C2454" s="242">
        <f t="shared" si="77"/>
        <v>4</v>
      </c>
      <c r="D2454" s="242">
        <v>42.1</v>
      </c>
      <c r="E2454" s="845">
        <f t="shared" si="78"/>
        <v>5.6111111111111116</v>
      </c>
    </row>
    <row r="2455" spans="2:5">
      <c r="B2455" s="1115">
        <v>45024</v>
      </c>
      <c r="C2455" s="242">
        <f t="shared" si="77"/>
        <v>4</v>
      </c>
      <c r="D2455" s="242">
        <v>42.4</v>
      </c>
      <c r="E2455" s="845">
        <f t="shared" si="78"/>
        <v>5.7777777777777768</v>
      </c>
    </row>
    <row r="2456" spans="2:5">
      <c r="B2456" s="1115">
        <v>45024</v>
      </c>
      <c r="C2456" s="242">
        <f t="shared" si="77"/>
        <v>4</v>
      </c>
      <c r="D2456" s="242">
        <v>43.2</v>
      </c>
      <c r="E2456" s="845">
        <f t="shared" si="78"/>
        <v>6.2222222222222232</v>
      </c>
    </row>
    <row r="2457" spans="2:5">
      <c r="B2457" s="1115">
        <v>45025</v>
      </c>
      <c r="C2457" s="242">
        <f t="shared" si="77"/>
        <v>4</v>
      </c>
      <c r="D2457" s="242">
        <v>43.7</v>
      </c>
      <c r="E2457" s="845">
        <f t="shared" si="78"/>
        <v>6.5000000000000018</v>
      </c>
    </row>
    <row r="2458" spans="2:5">
      <c r="B2458" s="1115">
        <v>45025</v>
      </c>
      <c r="C2458" s="242">
        <f t="shared" si="77"/>
        <v>4</v>
      </c>
      <c r="D2458" s="242">
        <v>43.9</v>
      </c>
      <c r="E2458" s="845">
        <f t="shared" si="78"/>
        <v>6.6111111111111098</v>
      </c>
    </row>
    <row r="2459" spans="2:5">
      <c r="B2459" s="1115">
        <v>45025</v>
      </c>
      <c r="C2459" s="242">
        <f t="shared" si="77"/>
        <v>4</v>
      </c>
      <c r="D2459" s="242">
        <v>43.9</v>
      </c>
      <c r="E2459" s="845">
        <f t="shared" si="78"/>
        <v>6.6111111111111098</v>
      </c>
    </row>
    <row r="2460" spans="2:5">
      <c r="B2460" s="1115">
        <v>45025</v>
      </c>
      <c r="C2460" s="242">
        <f t="shared" si="77"/>
        <v>4</v>
      </c>
      <c r="D2460" s="242">
        <v>43.5</v>
      </c>
      <c r="E2460" s="845">
        <f t="shared" si="78"/>
        <v>6.3888888888888884</v>
      </c>
    </row>
    <row r="2461" spans="2:5">
      <c r="B2461" s="1115">
        <v>45025</v>
      </c>
      <c r="C2461" s="242">
        <f t="shared" si="77"/>
        <v>4</v>
      </c>
      <c r="D2461" s="242" t="s">
        <v>1838</v>
      </c>
      <c r="E2461" s="845">
        <f t="shared" si="78"/>
        <v>6.1111111111111107</v>
      </c>
    </row>
    <row r="2462" spans="2:5">
      <c r="B2462" s="1115">
        <v>45025</v>
      </c>
      <c r="C2462" s="242">
        <f t="shared" si="77"/>
        <v>4</v>
      </c>
      <c r="D2462" s="242">
        <v>42.4</v>
      </c>
      <c r="E2462" s="845">
        <f t="shared" si="78"/>
        <v>5.7777777777777768</v>
      </c>
    </row>
    <row r="2463" spans="2:5">
      <c r="B2463" s="1115">
        <v>45025</v>
      </c>
      <c r="C2463" s="242">
        <f t="shared" si="77"/>
        <v>4</v>
      </c>
      <c r="D2463" s="242">
        <v>41.9</v>
      </c>
      <c r="E2463" s="845">
        <f t="shared" si="78"/>
        <v>5.4999999999999991</v>
      </c>
    </row>
    <row r="2464" spans="2:5">
      <c r="B2464" s="1115">
        <v>45025</v>
      </c>
      <c r="C2464" s="242">
        <f t="shared" si="77"/>
        <v>4</v>
      </c>
      <c r="D2464" s="242">
        <v>41.7</v>
      </c>
      <c r="E2464" s="845">
        <f t="shared" si="78"/>
        <v>5.3888888888888902</v>
      </c>
    </row>
    <row r="2465" spans="2:5">
      <c r="B2465" s="1115">
        <v>45025</v>
      </c>
      <c r="C2465" s="242">
        <f t="shared" si="77"/>
        <v>4</v>
      </c>
      <c r="D2465" s="242">
        <v>41.7</v>
      </c>
      <c r="E2465" s="845">
        <f t="shared" si="78"/>
        <v>5.3888888888888902</v>
      </c>
    </row>
    <row r="2466" spans="2:5">
      <c r="B2466" s="1115">
        <v>45025</v>
      </c>
      <c r="C2466" s="242">
        <f t="shared" si="77"/>
        <v>4</v>
      </c>
      <c r="D2466" s="242">
        <v>41.7</v>
      </c>
      <c r="E2466" s="845">
        <f t="shared" si="78"/>
        <v>5.3888888888888902</v>
      </c>
    </row>
    <row r="2467" spans="2:5">
      <c r="B2467" s="1115">
        <v>45025</v>
      </c>
      <c r="C2467" s="242">
        <f t="shared" si="77"/>
        <v>4</v>
      </c>
      <c r="D2467" s="242">
        <v>41.9</v>
      </c>
      <c r="E2467" s="845">
        <f t="shared" si="78"/>
        <v>5.4999999999999991</v>
      </c>
    </row>
    <row r="2468" spans="2:5">
      <c r="B2468" s="1115">
        <v>45025</v>
      </c>
      <c r="C2468" s="242">
        <f t="shared" si="77"/>
        <v>4</v>
      </c>
      <c r="D2468" s="242">
        <v>42.4</v>
      </c>
      <c r="E2468" s="845">
        <f t="shared" si="78"/>
        <v>5.7777777777777768</v>
      </c>
    </row>
    <row r="2469" spans="2:5">
      <c r="B2469" s="1115">
        <v>45025</v>
      </c>
      <c r="C2469" s="242">
        <f t="shared" si="77"/>
        <v>4</v>
      </c>
      <c r="D2469" s="242" t="s">
        <v>1838</v>
      </c>
      <c r="E2469" s="845">
        <f t="shared" si="78"/>
        <v>6.1111111111111107</v>
      </c>
    </row>
    <row r="2470" spans="2:5">
      <c r="B2470" s="1115">
        <v>45025</v>
      </c>
      <c r="C2470" s="242">
        <f t="shared" si="77"/>
        <v>4</v>
      </c>
      <c r="D2470" s="242">
        <v>43.3</v>
      </c>
      <c r="E2470" s="845">
        <f t="shared" si="78"/>
        <v>6.2777777777777759</v>
      </c>
    </row>
    <row r="2471" spans="2:5">
      <c r="B2471" s="1115">
        <v>45025</v>
      </c>
      <c r="C2471" s="242">
        <f t="shared" si="77"/>
        <v>4</v>
      </c>
      <c r="D2471" s="242">
        <v>43.5</v>
      </c>
      <c r="E2471" s="845">
        <f t="shared" si="78"/>
        <v>6.3888888888888884</v>
      </c>
    </row>
    <row r="2472" spans="2:5">
      <c r="B2472" s="1115">
        <v>45025</v>
      </c>
      <c r="C2472" s="242">
        <f t="shared" si="77"/>
        <v>4</v>
      </c>
      <c r="D2472" s="242">
        <v>43.5</v>
      </c>
      <c r="E2472" s="845">
        <f t="shared" si="78"/>
        <v>6.3888888888888884</v>
      </c>
    </row>
    <row r="2473" spans="2:5">
      <c r="B2473" s="1115">
        <v>45025</v>
      </c>
      <c r="C2473" s="242">
        <f t="shared" si="77"/>
        <v>4</v>
      </c>
      <c r="D2473" s="242" t="s">
        <v>1838</v>
      </c>
      <c r="E2473" s="845">
        <f t="shared" si="78"/>
        <v>6.1111111111111107</v>
      </c>
    </row>
    <row r="2474" spans="2:5">
      <c r="B2474" s="1115">
        <v>45025</v>
      </c>
      <c r="C2474" s="242">
        <f t="shared" si="77"/>
        <v>4</v>
      </c>
      <c r="D2474" s="242">
        <v>42.4</v>
      </c>
      <c r="E2474" s="845">
        <f t="shared" si="78"/>
        <v>5.7777777777777768</v>
      </c>
    </row>
    <row r="2475" spans="2:5">
      <c r="B2475" s="1115">
        <v>45025</v>
      </c>
      <c r="C2475" s="242">
        <f t="shared" si="77"/>
        <v>4</v>
      </c>
      <c r="D2475" s="242">
        <v>42.3</v>
      </c>
      <c r="E2475" s="845">
        <f t="shared" si="78"/>
        <v>5.7222222222222205</v>
      </c>
    </row>
    <row r="2476" spans="2:5">
      <c r="B2476" s="1115">
        <v>45025</v>
      </c>
      <c r="C2476" s="242">
        <f t="shared" si="77"/>
        <v>4</v>
      </c>
      <c r="D2476" s="242">
        <v>42.1</v>
      </c>
      <c r="E2476" s="845">
        <f t="shared" si="78"/>
        <v>5.6111111111111116</v>
      </c>
    </row>
    <row r="2477" spans="2:5">
      <c r="B2477" s="1115">
        <v>45025</v>
      </c>
      <c r="C2477" s="242">
        <f t="shared" si="77"/>
        <v>4</v>
      </c>
      <c r="D2477" s="242">
        <v>42.1</v>
      </c>
      <c r="E2477" s="845">
        <f t="shared" si="78"/>
        <v>5.6111111111111116</v>
      </c>
    </row>
    <row r="2478" spans="2:5">
      <c r="B2478" s="1115">
        <v>45025</v>
      </c>
      <c r="C2478" s="242">
        <f t="shared" si="77"/>
        <v>4</v>
      </c>
      <c r="D2478" s="242">
        <v>42.4</v>
      </c>
      <c r="E2478" s="845">
        <f t="shared" si="78"/>
        <v>5.7777777777777768</v>
      </c>
    </row>
    <row r="2479" spans="2:5">
      <c r="B2479" s="1115">
        <v>45025</v>
      </c>
      <c r="C2479" s="242">
        <f t="shared" si="77"/>
        <v>4</v>
      </c>
      <c r="D2479" s="242">
        <v>42.4</v>
      </c>
      <c r="E2479" s="845">
        <f t="shared" si="78"/>
        <v>5.7777777777777768</v>
      </c>
    </row>
    <row r="2480" spans="2:5">
      <c r="B2480" s="1115">
        <v>45025</v>
      </c>
      <c r="C2480" s="242">
        <f t="shared" si="77"/>
        <v>4</v>
      </c>
      <c r="D2480" s="242">
        <v>42.8</v>
      </c>
      <c r="E2480" s="845">
        <f t="shared" si="78"/>
        <v>5.9999999999999982</v>
      </c>
    </row>
    <row r="2481" spans="2:5">
      <c r="B2481" s="1115">
        <v>45026</v>
      </c>
      <c r="C2481" s="242">
        <f t="shared" si="77"/>
        <v>4</v>
      </c>
      <c r="D2481" s="242">
        <v>43.5</v>
      </c>
      <c r="E2481" s="845">
        <f t="shared" si="78"/>
        <v>6.3888888888888884</v>
      </c>
    </row>
    <row r="2482" spans="2:5">
      <c r="B2482" s="1115">
        <v>45026</v>
      </c>
      <c r="C2482" s="242">
        <f t="shared" si="77"/>
        <v>4</v>
      </c>
      <c r="D2482" s="242">
        <v>44.1</v>
      </c>
      <c r="E2482" s="845">
        <f t="shared" si="78"/>
        <v>6.7222222222222232</v>
      </c>
    </row>
    <row r="2483" spans="2:5">
      <c r="B2483" s="1115">
        <v>45026</v>
      </c>
      <c r="C2483" s="242">
        <f t="shared" si="77"/>
        <v>4</v>
      </c>
      <c r="D2483" s="242">
        <v>44.2</v>
      </c>
      <c r="E2483" s="845">
        <f t="shared" si="78"/>
        <v>6.7777777777777795</v>
      </c>
    </row>
    <row r="2484" spans="2:5">
      <c r="B2484" s="1115">
        <v>45026</v>
      </c>
      <c r="C2484" s="242">
        <f t="shared" si="77"/>
        <v>4</v>
      </c>
      <c r="D2484" s="242">
        <v>44.1</v>
      </c>
      <c r="E2484" s="845">
        <f t="shared" si="78"/>
        <v>6.7222222222222232</v>
      </c>
    </row>
    <row r="2485" spans="2:5">
      <c r="B2485" s="1115">
        <v>45026</v>
      </c>
      <c r="C2485" s="242">
        <f t="shared" si="77"/>
        <v>4</v>
      </c>
      <c r="D2485" s="242">
        <v>43.5</v>
      </c>
      <c r="E2485" s="845">
        <f t="shared" si="78"/>
        <v>6.3888888888888884</v>
      </c>
    </row>
    <row r="2486" spans="2:5">
      <c r="B2486" s="1115">
        <v>45026</v>
      </c>
      <c r="C2486" s="242">
        <f t="shared" si="77"/>
        <v>4</v>
      </c>
      <c r="D2486" s="242" t="s">
        <v>1838</v>
      </c>
      <c r="E2486" s="845">
        <f t="shared" si="78"/>
        <v>6.1111111111111107</v>
      </c>
    </row>
    <row r="2487" spans="2:5">
      <c r="B2487" s="1115">
        <v>45026</v>
      </c>
      <c r="C2487" s="242">
        <f t="shared" si="77"/>
        <v>4</v>
      </c>
      <c r="D2487" s="242">
        <v>42.4</v>
      </c>
      <c r="E2487" s="845">
        <f t="shared" si="78"/>
        <v>5.7777777777777768</v>
      </c>
    </row>
    <row r="2488" spans="2:5">
      <c r="B2488" s="1115">
        <v>45026</v>
      </c>
      <c r="C2488" s="242">
        <f t="shared" si="77"/>
        <v>4</v>
      </c>
      <c r="D2488" s="242">
        <v>42.3</v>
      </c>
      <c r="E2488" s="845">
        <f t="shared" si="78"/>
        <v>5.7222222222222205</v>
      </c>
    </row>
    <row r="2489" spans="2:5">
      <c r="B2489" s="1115">
        <v>45026</v>
      </c>
      <c r="C2489" s="242">
        <f t="shared" si="77"/>
        <v>4</v>
      </c>
      <c r="D2489" s="242">
        <v>42.1</v>
      </c>
      <c r="E2489" s="845">
        <f t="shared" si="78"/>
        <v>5.6111111111111116</v>
      </c>
    </row>
    <row r="2490" spans="2:5">
      <c r="B2490" s="1115">
        <v>45026</v>
      </c>
      <c r="C2490" s="242">
        <f t="shared" si="77"/>
        <v>4</v>
      </c>
      <c r="D2490" s="242">
        <v>42.1</v>
      </c>
      <c r="E2490" s="845">
        <f t="shared" si="78"/>
        <v>5.6111111111111116</v>
      </c>
    </row>
    <row r="2491" spans="2:5">
      <c r="B2491" s="1115">
        <v>45026</v>
      </c>
      <c r="C2491" s="242">
        <f t="shared" si="77"/>
        <v>4</v>
      </c>
      <c r="D2491" s="242">
        <v>42.1</v>
      </c>
      <c r="E2491" s="845">
        <f t="shared" si="78"/>
        <v>5.6111111111111116</v>
      </c>
    </row>
    <row r="2492" spans="2:5">
      <c r="B2492" s="1115">
        <v>45026</v>
      </c>
      <c r="C2492" s="242">
        <f t="shared" si="77"/>
        <v>4</v>
      </c>
      <c r="D2492" s="242">
        <v>42.4</v>
      </c>
      <c r="E2492" s="845">
        <f t="shared" si="78"/>
        <v>5.7777777777777768</v>
      </c>
    </row>
    <row r="2493" spans="2:5">
      <c r="B2493" s="1115">
        <v>45026</v>
      </c>
      <c r="C2493" s="242">
        <f t="shared" si="77"/>
        <v>4</v>
      </c>
      <c r="D2493" s="242" t="s">
        <v>1838</v>
      </c>
      <c r="E2493" s="845">
        <f t="shared" si="78"/>
        <v>6.1111111111111107</v>
      </c>
    </row>
    <row r="2494" spans="2:5">
      <c r="B2494" s="1115">
        <v>45026</v>
      </c>
      <c r="C2494" s="242">
        <f t="shared" si="77"/>
        <v>4</v>
      </c>
      <c r="D2494" s="242">
        <v>43.5</v>
      </c>
      <c r="E2494" s="845">
        <f t="shared" si="78"/>
        <v>6.3888888888888884</v>
      </c>
    </row>
    <row r="2495" spans="2:5">
      <c r="B2495" s="1115">
        <v>45026</v>
      </c>
      <c r="C2495" s="242">
        <f t="shared" si="77"/>
        <v>4</v>
      </c>
      <c r="D2495" s="242">
        <v>43.9</v>
      </c>
      <c r="E2495" s="845">
        <f t="shared" si="78"/>
        <v>6.6111111111111098</v>
      </c>
    </row>
    <row r="2496" spans="2:5">
      <c r="B2496" s="1115">
        <v>45026</v>
      </c>
      <c r="C2496" s="242">
        <f t="shared" si="77"/>
        <v>4</v>
      </c>
      <c r="D2496" s="242">
        <v>44.2</v>
      </c>
      <c r="E2496" s="845">
        <f t="shared" si="78"/>
        <v>6.7777777777777795</v>
      </c>
    </row>
    <row r="2497" spans="2:5">
      <c r="B2497" s="1115">
        <v>45026</v>
      </c>
      <c r="C2497" s="242">
        <f t="shared" si="77"/>
        <v>4</v>
      </c>
      <c r="D2497" s="242">
        <v>43.9</v>
      </c>
      <c r="E2497" s="845">
        <f t="shared" si="78"/>
        <v>6.6111111111111098</v>
      </c>
    </row>
    <row r="2498" spans="2:5">
      <c r="B2498" s="1115">
        <v>45026</v>
      </c>
      <c r="C2498" s="242">
        <f t="shared" si="77"/>
        <v>4</v>
      </c>
      <c r="D2498" s="242">
        <v>43.3</v>
      </c>
      <c r="E2498" s="845">
        <f t="shared" si="78"/>
        <v>6.2777777777777759</v>
      </c>
    </row>
    <row r="2499" spans="2:5">
      <c r="B2499" s="1115">
        <v>45026</v>
      </c>
      <c r="C2499" s="242">
        <f t="shared" si="77"/>
        <v>4</v>
      </c>
      <c r="D2499" s="242">
        <v>42.8</v>
      </c>
      <c r="E2499" s="845">
        <f t="shared" si="78"/>
        <v>5.9999999999999982</v>
      </c>
    </row>
    <row r="2500" spans="2:5">
      <c r="B2500" s="1115">
        <v>45026</v>
      </c>
      <c r="C2500" s="242">
        <f t="shared" si="77"/>
        <v>4</v>
      </c>
      <c r="D2500" s="242">
        <v>42.6</v>
      </c>
      <c r="E2500" s="845">
        <f t="shared" si="78"/>
        <v>5.8888888888888893</v>
      </c>
    </row>
    <row r="2501" spans="2:5">
      <c r="B2501" s="1115">
        <v>45026</v>
      </c>
      <c r="C2501" s="242">
        <f t="shared" si="77"/>
        <v>4</v>
      </c>
      <c r="D2501" s="242">
        <v>42.6</v>
      </c>
      <c r="E2501" s="845">
        <f t="shared" si="78"/>
        <v>5.8888888888888893</v>
      </c>
    </row>
    <row r="2502" spans="2:5">
      <c r="B2502" s="1115">
        <v>45026</v>
      </c>
      <c r="C2502" s="242">
        <f t="shared" si="77"/>
        <v>4</v>
      </c>
      <c r="D2502" s="242">
        <v>42.4</v>
      </c>
      <c r="E2502" s="845">
        <f t="shared" si="78"/>
        <v>5.7777777777777768</v>
      </c>
    </row>
    <row r="2503" spans="2:5">
      <c r="B2503" s="1115">
        <v>45026</v>
      </c>
      <c r="C2503" s="242">
        <f t="shared" si="77"/>
        <v>4</v>
      </c>
      <c r="D2503" s="242">
        <v>42.8</v>
      </c>
      <c r="E2503" s="845">
        <f t="shared" si="78"/>
        <v>5.9999999999999982</v>
      </c>
    </row>
    <row r="2504" spans="2:5">
      <c r="B2504" s="1115">
        <v>45026</v>
      </c>
      <c r="C2504" s="242">
        <f t="shared" si="77"/>
        <v>4</v>
      </c>
      <c r="D2504" s="242" t="s">
        <v>1838</v>
      </c>
      <c r="E2504" s="845">
        <f t="shared" si="78"/>
        <v>6.1111111111111107</v>
      </c>
    </row>
    <row r="2505" spans="2:5">
      <c r="B2505" s="1115">
        <v>45027</v>
      </c>
      <c r="C2505" s="242">
        <f t="shared" si="77"/>
        <v>4</v>
      </c>
      <c r="D2505" s="242">
        <v>43.5</v>
      </c>
      <c r="E2505" s="845">
        <f t="shared" si="78"/>
        <v>6.3888888888888884</v>
      </c>
    </row>
    <row r="2506" spans="2:5">
      <c r="B2506" s="1115">
        <v>45027</v>
      </c>
      <c r="C2506" s="242">
        <f t="shared" ref="C2506:C2569" si="79">MONTH(B2506)</f>
        <v>4</v>
      </c>
      <c r="D2506" s="242">
        <v>44.2</v>
      </c>
      <c r="E2506" s="845">
        <f t="shared" ref="E2506:E2569" si="80">CONVERT(D2506,"F","C")</f>
        <v>6.7777777777777795</v>
      </c>
    </row>
    <row r="2507" spans="2:5">
      <c r="B2507" s="1115">
        <v>45027</v>
      </c>
      <c r="C2507" s="242">
        <f t="shared" si="79"/>
        <v>4</v>
      </c>
      <c r="D2507" s="242">
        <v>44.6</v>
      </c>
      <c r="E2507" s="845">
        <f t="shared" si="80"/>
        <v>7.0000000000000009</v>
      </c>
    </row>
    <row r="2508" spans="2:5">
      <c r="B2508" s="1115">
        <v>45027</v>
      </c>
      <c r="C2508" s="242">
        <f t="shared" si="79"/>
        <v>4</v>
      </c>
      <c r="D2508" s="242">
        <v>44.8</v>
      </c>
      <c r="E2508" s="845">
        <f t="shared" si="80"/>
        <v>7.1111111111111089</v>
      </c>
    </row>
    <row r="2509" spans="2:5">
      <c r="B2509" s="1115">
        <v>45027</v>
      </c>
      <c r="C2509" s="242">
        <f t="shared" si="79"/>
        <v>4</v>
      </c>
      <c r="D2509" s="242">
        <v>44.6</v>
      </c>
      <c r="E2509" s="845">
        <f t="shared" si="80"/>
        <v>7.0000000000000009</v>
      </c>
    </row>
    <row r="2510" spans="2:5">
      <c r="B2510" s="1115">
        <v>45027</v>
      </c>
      <c r="C2510" s="242">
        <f t="shared" si="79"/>
        <v>4</v>
      </c>
      <c r="D2510" s="242">
        <v>43.9</v>
      </c>
      <c r="E2510" s="845">
        <f t="shared" si="80"/>
        <v>6.6111111111111098</v>
      </c>
    </row>
    <row r="2511" spans="2:5">
      <c r="B2511" s="1115">
        <v>45027</v>
      </c>
      <c r="C2511" s="242">
        <f t="shared" si="79"/>
        <v>4</v>
      </c>
      <c r="D2511" s="242">
        <v>43.3</v>
      </c>
      <c r="E2511" s="845">
        <f t="shared" si="80"/>
        <v>6.2777777777777759</v>
      </c>
    </row>
    <row r="2512" spans="2:5">
      <c r="B2512" s="1115">
        <v>45027</v>
      </c>
      <c r="C2512" s="242">
        <f t="shared" si="79"/>
        <v>4</v>
      </c>
      <c r="D2512" s="242">
        <v>42.8</v>
      </c>
      <c r="E2512" s="845">
        <f t="shared" si="80"/>
        <v>5.9999999999999982</v>
      </c>
    </row>
    <row r="2513" spans="2:5">
      <c r="B2513" s="1115">
        <v>45027</v>
      </c>
      <c r="C2513" s="242">
        <f t="shared" si="79"/>
        <v>4</v>
      </c>
      <c r="D2513" s="242">
        <v>42.4</v>
      </c>
      <c r="E2513" s="845">
        <f t="shared" si="80"/>
        <v>5.7777777777777768</v>
      </c>
    </row>
    <row r="2514" spans="2:5">
      <c r="B2514" s="1115">
        <v>45027</v>
      </c>
      <c r="C2514" s="242">
        <f t="shared" si="79"/>
        <v>4</v>
      </c>
      <c r="D2514" s="242">
        <v>42.3</v>
      </c>
      <c r="E2514" s="845">
        <f t="shared" si="80"/>
        <v>5.7222222222222205</v>
      </c>
    </row>
    <row r="2515" spans="2:5">
      <c r="B2515" s="1115">
        <v>45027</v>
      </c>
      <c r="C2515" s="242">
        <f t="shared" si="79"/>
        <v>4</v>
      </c>
      <c r="D2515" s="242">
        <v>42.3</v>
      </c>
      <c r="E2515" s="845">
        <f t="shared" si="80"/>
        <v>5.7222222222222205</v>
      </c>
    </row>
    <row r="2516" spans="2:5">
      <c r="B2516" s="1115">
        <v>45027</v>
      </c>
      <c r="C2516" s="242">
        <f t="shared" si="79"/>
        <v>4</v>
      </c>
      <c r="D2516" s="242">
        <v>42.4</v>
      </c>
      <c r="E2516" s="845">
        <f t="shared" si="80"/>
        <v>5.7777777777777768</v>
      </c>
    </row>
    <row r="2517" spans="2:5">
      <c r="B2517" s="1115">
        <v>45027</v>
      </c>
      <c r="C2517" s="242">
        <f t="shared" si="79"/>
        <v>4</v>
      </c>
      <c r="D2517" s="242" t="s">
        <v>1838</v>
      </c>
      <c r="E2517" s="845">
        <f t="shared" si="80"/>
        <v>6.1111111111111107</v>
      </c>
    </row>
    <row r="2518" spans="2:5">
      <c r="B2518" s="1115">
        <v>45027</v>
      </c>
      <c r="C2518" s="242">
        <f t="shared" si="79"/>
        <v>4</v>
      </c>
      <c r="D2518" s="242">
        <v>43.7</v>
      </c>
      <c r="E2518" s="845">
        <f t="shared" si="80"/>
        <v>6.5000000000000018</v>
      </c>
    </row>
    <row r="2519" spans="2:5">
      <c r="B2519" s="1115">
        <v>45027</v>
      </c>
      <c r="C2519" s="242">
        <f t="shared" si="79"/>
        <v>4</v>
      </c>
      <c r="D2519" s="242">
        <v>44.4</v>
      </c>
      <c r="E2519" s="845">
        <f t="shared" si="80"/>
        <v>6.8888888888888875</v>
      </c>
    </row>
    <row r="2520" spans="2:5">
      <c r="B2520" s="1115">
        <v>45027</v>
      </c>
      <c r="C2520" s="242">
        <f t="shared" si="79"/>
        <v>4</v>
      </c>
      <c r="D2520" s="242">
        <v>44.8</v>
      </c>
      <c r="E2520" s="845">
        <f t="shared" si="80"/>
        <v>7.1111111111111089</v>
      </c>
    </row>
    <row r="2521" spans="2:5">
      <c r="B2521" s="1115">
        <v>45027</v>
      </c>
      <c r="C2521" s="242">
        <f t="shared" si="79"/>
        <v>4</v>
      </c>
      <c r="D2521" s="242">
        <v>45.1</v>
      </c>
      <c r="E2521" s="845">
        <f t="shared" si="80"/>
        <v>7.2777777777777786</v>
      </c>
    </row>
    <row r="2522" spans="2:5">
      <c r="B2522" s="1115">
        <v>45027</v>
      </c>
      <c r="C2522" s="242">
        <f t="shared" si="79"/>
        <v>4</v>
      </c>
      <c r="D2522" s="242">
        <v>44.8</v>
      </c>
      <c r="E2522" s="845">
        <f t="shared" si="80"/>
        <v>7.1111111111111089</v>
      </c>
    </row>
    <row r="2523" spans="2:5">
      <c r="B2523" s="1115">
        <v>45027</v>
      </c>
      <c r="C2523" s="242">
        <f t="shared" si="79"/>
        <v>4</v>
      </c>
      <c r="D2523" s="242">
        <v>43.9</v>
      </c>
      <c r="E2523" s="845">
        <f t="shared" si="80"/>
        <v>6.6111111111111098</v>
      </c>
    </row>
    <row r="2524" spans="2:5">
      <c r="B2524" s="1115">
        <v>45027</v>
      </c>
      <c r="C2524" s="242">
        <f t="shared" si="79"/>
        <v>4</v>
      </c>
      <c r="D2524" s="242">
        <v>43.5</v>
      </c>
      <c r="E2524" s="845">
        <f t="shared" si="80"/>
        <v>6.3888888888888884</v>
      </c>
    </row>
    <row r="2525" spans="2:5">
      <c r="B2525" s="1115">
        <v>45027</v>
      </c>
      <c r="C2525" s="242">
        <f t="shared" si="79"/>
        <v>4</v>
      </c>
      <c r="D2525" s="242">
        <v>43.2</v>
      </c>
      <c r="E2525" s="845">
        <f t="shared" si="80"/>
        <v>6.2222222222222232</v>
      </c>
    </row>
    <row r="2526" spans="2:5">
      <c r="B2526" s="1115">
        <v>45027</v>
      </c>
      <c r="C2526" s="242">
        <f t="shared" si="79"/>
        <v>4</v>
      </c>
      <c r="D2526" s="242">
        <v>42.6</v>
      </c>
      <c r="E2526" s="845">
        <f t="shared" si="80"/>
        <v>5.8888888888888893</v>
      </c>
    </row>
    <row r="2527" spans="2:5">
      <c r="B2527" s="1115">
        <v>45027</v>
      </c>
      <c r="C2527" s="242">
        <f t="shared" si="79"/>
        <v>4</v>
      </c>
      <c r="D2527" s="242">
        <v>42.4</v>
      </c>
      <c r="E2527" s="845">
        <f t="shared" si="80"/>
        <v>5.7777777777777768</v>
      </c>
    </row>
    <row r="2528" spans="2:5">
      <c r="B2528" s="1115">
        <v>45027</v>
      </c>
      <c r="C2528" s="242">
        <f t="shared" si="79"/>
        <v>4</v>
      </c>
      <c r="D2528" s="242">
        <v>42.8</v>
      </c>
      <c r="E2528" s="845">
        <f t="shared" si="80"/>
        <v>5.9999999999999982</v>
      </c>
    </row>
    <row r="2529" spans="2:5">
      <c r="B2529" s="1115">
        <v>45028</v>
      </c>
      <c r="C2529" s="242">
        <f t="shared" si="79"/>
        <v>4</v>
      </c>
      <c r="D2529" s="242">
        <v>43.2</v>
      </c>
      <c r="E2529" s="845">
        <f t="shared" si="80"/>
        <v>6.2222222222222232</v>
      </c>
    </row>
    <row r="2530" spans="2:5">
      <c r="B2530" s="1115">
        <v>45028</v>
      </c>
      <c r="C2530" s="242">
        <f t="shared" si="79"/>
        <v>4</v>
      </c>
      <c r="D2530" s="242">
        <v>43.9</v>
      </c>
      <c r="E2530" s="845">
        <f t="shared" si="80"/>
        <v>6.6111111111111098</v>
      </c>
    </row>
    <row r="2531" spans="2:5">
      <c r="B2531" s="1115">
        <v>45028</v>
      </c>
      <c r="C2531" s="242">
        <f t="shared" si="79"/>
        <v>4</v>
      </c>
      <c r="D2531" s="242">
        <v>44.8</v>
      </c>
      <c r="E2531" s="845">
        <f t="shared" si="80"/>
        <v>7.1111111111111089</v>
      </c>
    </row>
    <row r="2532" spans="2:5">
      <c r="B2532" s="1115">
        <v>45028</v>
      </c>
      <c r="C2532" s="242">
        <f t="shared" si="79"/>
        <v>4</v>
      </c>
      <c r="D2532" s="242">
        <v>45.1</v>
      </c>
      <c r="E2532" s="845">
        <f t="shared" si="80"/>
        <v>7.2777777777777786</v>
      </c>
    </row>
    <row r="2533" spans="2:5">
      <c r="B2533" s="1115">
        <v>45028</v>
      </c>
      <c r="C2533" s="242">
        <f t="shared" si="79"/>
        <v>4</v>
      </c>
      <c r="D2533" s="242">
        <v>45.5</v>
      </c>
      <c r="E2533" s="845">
        <f t="shared" si="80"/>
        <v>7.5</v>
      </c>
    </row>
    <row r="2534" spans="2:5">
      <c r="B2534" s="1115">
        <v>45028</v>
      </c>
      <c r="C2534" s="242">
        <f t="shared" si="79"/>
        <v>4</v>
      </c>
      <c r="D2534" s="242">
        <v>45.1</v>
      </c>
      <c r="E2534" s="845">
        <f t="shared" si="80"/>
        <v>7.2777777777777786</v>
      </c>
    </row>
    <row r="2535" spans="2:5">
      <c r="B2535" s="1115">
        <v>45028</v>
      </c>
      <c r="C2535" s="242">
        <f t="shared" si="79"/>
        <v>4</v>
      </c>
      <c r="D2535" s="242">
        <v>44.2</v>
      </c>
      <c r="E2535" s="845">
        <f t="shared" si="80"/>
        <v>6.7777777777777795</v>
      </c>
    </row>
    <row r="2536" spans="2:5">
      <c r="B2536" s="1115">
        <v>45028</v>
      </c>
      <c r="C2536" s="242">
        <f t="shared" si="79"/>
        <v>4</v>
      </c>
      <c r="D2536" s="242">
        <v>43.5</v>
      </c>
      <c r="E2536" s="845">
        <f t="shared" si="80"/>
        <v>6.3888888888888884</v>
      </c>
    </row>
    <row r="2537" spans="2:5">
      <c r="B2537" s="1115">
        <v>45028</v>
      </c>
      <c r="C2537" s="242">
        <f t="shared" si="79"/>
        <v>4</v>
      </c>
      <c r="D2537" s="242">
        <v>42.6</v>
      </c>
      <c r="E2537" s="845">
        <f t="shared" si="80"/>
        <v>5.8888888888888893</v>
      </c>
    </row>
    <row r="2538" spans="2:5">
      <c r="B2538" s="1115">
        <v>45028</v>
      </c>
      <c r="C2538" s="242">
        <f t="shared" si="79"/>
        <v>4</v>
      </c>
      <c r="D2538" s="242">
        <v>42.3</v>
      </c>
      <c r="E2538" s="845">
        <f t="shared" si="80"/>
        <v>5.7222222222222205</v>
      </c>
    </row>
    <row r="2539" spans="2:5">
      <c r="B2539" s="1115">
        <v>45028</v>
      </c>
      <c r="C2539" s="242">
        <f t="shared" si="79"/>
        <v>4</v>
      </c>
      <c r="D2539" s="242">
        <v>42.1</v>
      </c>
      <c r="E2539" s="845">
        <f t="shared" si="80"/>
        <v>5.6111111111111116</v>
      </c>
    </row>
    <row r="2540" spans="2:5">
      <c r="B2540" s="1115">
        <v>45028</v>
      </c>
      <c r="C2540" s="242">
        <f t="shared" si="79"/>
        <v>4</v>
      </c>
      <c r="D2540" s="242">
        <v>42.3</v>
      </c>
      <c r="E2540" s="845">
        <f t="shared" si="80"/>
        <v>5.7222222222222205</v>
      </c>
    </row>
    <row r="2541" spans="2:5">
      <c r="B2541" s="1115">
        <v>45028</v>
      </c>
      <c r="C2541" s="242">
        <f t="shared" si="79"/>
        <v>4</v>
      </c>
      <c r="D2541" s="242">
        <v>42.6</v>
      </c>
      <c r="E2541" s="845">
        <f t="shared" si="80"/>
        <v>5.8888888888888893</v>
      </c>
    </row>
    <row r="2542" spans="2:5">
      <c r="B2542" s="1115">
        <v>45028</v>
      </c>
      <c r="C2542" s="242">
        <f t="shared" si="79"/>
        <v>4</v>
      </c>
      <c r="D2542" s="242">
        <v>43.5</v>
      </c>
      <c r="E2542" s="845">
        <f t="shared" si="80"/>
        <v>6.3888888888888884</v>
      </c>
    </row>
    <row r="2543" spans="2:5">
      <c r="B2543" s="1115">
        <v>45028</v>
      </c>
      <c r="C2543" s="242">
        <f t="shared" si="79"/>
        <v>4</v>
      </c>
      <c r="D2543" s="242">
        <v>44.4</v>
      </c>
      <c r="E2543" s="845">
        <f t="shared" si="80"/>
        <v>6.8888888888888875</v>
      </c>
    </row>
    <row r="2544" spans="2:5">
      <c r="B2544" s="1115">
        <v>45028</v>
      </c>
      <c r="C2544" s="242">
        <f t="shared" si="79"/>
        <v>4</v>
      </c>
      <c r="D2544" s="242">
        <v>45.1</v>
      </c>
      <c r="E2544" s="845">
        <f t="shared" si="80"/>
        <v>7.2777777777777786</v>
      </c>
    </row>
    <row r="2545" spans="2:5">
      <c r="B2545" s="1115">
        <v>45028</v>
      </c>
      <c r="C2545" s="242">
        <f t="shared" si="79"/>
        <v>4</v>
      </c>
      <c r="D2545" s="242">
        <v>45.7</v>
      </c>
      <c r="E2545" s="845">
        <f t="shared" si="80"/>
        <v>7.6111111111111125</v>
      </c>
    </row>
    <row r="2546" spans="2:5">
      <c r="B2546" s="1115">
        <v>45028</v>
      </c>
      <c r="C2546" s="242">
        <f t="shared" si="79"/>
        <v>4</v>
      </c>
      <c r="D2546" s="242" t="s">
        <v>1842</v>
      </c>
      <c r="E2546" s="845">
        <f t="shared" si="80"/>
        <v>7.7777777777777777</v>
      </c>
    </row>
    <row r="2547" spans="2:5">
      <c r="B2547" s="1115">
        <v>45028</v>
      </c>
      <c r="C2547" s="242">
        <f t="shared" si="79"/>
        <v>4</v>
      </c>
      <c r="D2547" s="242">
        <v>45.7</v>
      </c>
      <c r="E2547" s="845">
        <f t="shared" si="80"/>
        <v>7.6111111111111125</v>
      </c>
    </row>
    <row r="2548" spans="2:5">
      <c r="B2548" s="1115">
        <v>45028</v>
      </c>
      <c r="C2548" s="242">
        <f t="shared" si="79"/>
        <v>4</v>
      </c>
      <c r="D2548" s="242">
        <v>44.2</v>
      </c>
      <c r="E2548" s="845">
        <f t="shared" si="80"/>
        <v>6.7777777777777795</v>
      </c>
    </row>
    <row r="2549" spans="2:5">
      <c r="B2549" s="1115">
        <v>45028</v>
      </c>
      <c r="C2549" s="242">
        <f t="shared" si="79"/>
        <v>4</v>
      </c>
      <c r="D2549" s="242">
        <v>43.9</v>
      </c>
      <c r="E2549" s="845">
        <f t="shared" si="80"/>
        <v>6.6111111111111098</v>
      </c>
    </row>
    <row r="2550" spans="2:5">
      <c r="B2550" s="1115">
        <v>45028</v>
      </c>
      <c r="C2550" s="242">
        <f t="shared" si="79"/>
        <v>4</v>
      </c>
      <c r="D2550" s="242" t="s">
        <v>1838</v>
      </c>
      <c r="E2550" s="845">
        <f t="shared" si="80"/>
        <v>6.1111111111111107</v>
      </c>
    </row>
    <row r="2551" spans="2:5">
      <c r="B2551" s="1115">
        <v>45028</v>
      </c>
      <c r="C2551" s="242">
        <f t="shared" si="79"/>
        <v>4</v>
      </c>
      <c r="D2551" s="242">
        <v>42.6</v>
      </c>
      <c r="E2551" s="845">
        <f t="shared" si="80"/>
        <v>5.8888888888888893</v>
      </c>
    </row>
    <row r="2552" spans="2:5">
      <c r="B2552" s="1115">
        <v>45028</v>
      </c>
      <c r="C2552" s="242">
        <f t="shared" si="79"/>
        <v>4</v>
      </c>
      <c r="D2552" s="242">
        <v>42.4</v>
      </c>
      <c r="E2552" s="845">
        <f t="shared" si="80"/>
        <v>5.7777777777777768</v>
      </c>
    </row>
    <row r="2553" spans="2:5">
      <c r="B2553" s="1115">
        <v>45029</v>
      </c>
      <c r="C2553" s="242">
        <f t="shared" si="79"/>
        <v>4</v>
      </c>
      <c r="D2553" s="242">
        <v>42.6</v>
      </c>
      <c r="E2553" s="845">
        <f t="shared" si="80"/>
        <v>5.8888888888888893</v>
      </c>
    </row>
    <row r="2554" spans="2:5">
      <c r="B2554" s="1115">
        <v>45029</v>
      </c>
      <c r="C2554" s="242">
        <f t="shared" si="79"/>
        <v>4</v>
      </c>
      <c r="D2554" s="242">
        <v>43.2</v>
      </c>
      <c r="E2554" s="845">
        <f t="shared" si="80"/>
        <v>6.2222222222222232</v>
      </c>
    </row>
    <row r="2555" spans="2:5">
      <c r="B2555" s="1115">
        <v>45029</v>
      </c>
      <c r="C2555" s="242">
        <f t="shared" si="79"/>
        <v>4</v>
      </c>
      <c r="D2555" s="242">
        <v>44.1</v>
      </c>
      <c r="E2555" s="845">
        <f t="shared" si="80"/>
        <v>6.7222222222222232</v>
      </c>
    </row>
    <row r="2556" spans="2:5">
      <c r="B2556" s="1115">
        <v>45029</v>
      </c>
      <c r="C2556" s="242">
        <f t="shared" si="79"/>
        <v>4</v>
      </c>
      <c r="D2556" s="242">
        <v>45.1</v>
      </c>
      <c r="E2556" s="845">
        <f t="shared" si="80"/>
        <v>7.2777777777777786</v>
      </c>
    </row>
    <row r="2557" spans="2:5">
      <c r="B2557" s="1115">
        <v>45029</v>
      </c>
      <c r="C2557" s="242">
        <f t="shared" si="79"/>
        <v>4</v>
      </c>
      <c r="D2557" s="242">
        <v>45.7</v>
      </c>
      <c r="E2557" s="845">
        <f t="shared" si="80"/>
        <v>7.6111111111111125</v>
      </c>
    </row>
    <row r="2558" spans="2:5">
      <c r="B2558" s="1115">
        <v>45029</v>
      </c>
      <c r="C2558" s="242">
        <f t="shared" si="79"/>
        <v>4</v>
      </c>
      <c r="D2558" s="242">
        <v>45.9</v>
      </c>
      <c r="E2558" s="845">
        <f t="shared" si="80"/>
        <v>7.7222222222222214</v>
      </c>
    </row>
    <row r="2559" spans="2:5">
      <c r="B2559" s="1115">
        <v>45029</v>
      </c>
      <c r="C2559" s="242">
        <f t="shared" si="79"/>
        <v>4</v>
      </c>
      <c r="D2559" s="242">
        <v>45.5</v>
      </c>
      <c r="E2559" s="845">
        <f t="shared" si="80"/>
        <v>7.5</v>
      </c>
    </row>
    <row r="2560" spans="2:5">
      <c r="B2560" s="1115">
        <v>45029</v>
      </c>
      <c r="C2560" s="242">
        <f t="shared" si="79"/>
        <v>4</v>
      </c>
      <c r="D2560" s="242">
        <v>44.2</v>
      </c>
      <c r="E2560" s="845">
        <f t="shared" si="80"/>
        <v>6.7777777777777795</v>
      </c>
    </row>
    <row r="2561" spans="2:5">
      <c r="B2561" s="1115">
        <v>45029</v>
      </c>
      <c r="C2561" s="242">
        <f t="shared" si="79"/>
        <v>4</v>
      </c>
      <c r="D2561" s="242">
        <v>43.3</v>
      </c>
      <c r="E2561" s="845">
        <f t="shared" si="80"/>
        <v>6.2777777777777759</v>
      </c>
    </row>
    <row r="2562" spans="2:5">
      <c r="B2562" s="1115">
        <v>45029</v>
      </c>
      <c r="C2562" s="242">
        <f t="shared" si="79"/>
        <v>4</v>
      </c>
      <c r="D2562" s="242">
        <v>42.6</v>
      </c>
      <c r="E2562" s="845">
        <f t="shared" si="80"/>
        <v>5.8888888888888893</v>
      </c>
    </row>
    <row r="2563" spans="2:5">
      <c r="B2563" s="1115">
        <v>45029</v>
      </c>
      <c r="C2563" s="242">
        <f t="shared" si="79"/>
        <v>4</v>
      </c>
      <c r="D2563" s="242">
        <v>42.3</v>
      </c>
      <c r="E2563" s="845">
        <f t="shared" si="80"/>
        <v>5.7222222222222205</v>
      </c>
    </row>
    <row r="2564" spans="2:5">
      <c r="B2564" s="1115">
        <v>45029</v>
      </c>
      <c r="C2564" s="242">
        <f t="shared" si="79"/>
        <v>4</v>
      </c>
      <c r="D2564" s="242">
        <v>42.3</v>
      </c>
      <c r="E2564" s="845">
        <f t="shared" si="80"/>
        <v>5.7222222222222205</v>
      </c>
    </row>
    <row r="2565" spans="2:5">
      <c r="B2565" s="1115">
        <v>45029</v>
      </c>
      <c r="C2565" s="242">
        <f t="shared" si="79"/>
        <v>4</v>
      </c>
      <c r="D2565" s="242">
        <v>42.4</v>
      </c>
      <c r="E2565" s="845">
        <f t="shared" si="80"/>
        <v>5.7777777777777768</v>
      </c>
    </row>
    <row r="2566" spans="2:5">
      <c r="B2566" s="1115">
        <v>45029</v>
      </c>
      <c r="C2566" s="242">
        <f t="shared" si="79"/>
        <v>4</v>
      </c>
      <c r="D2566" s="242">
        <v>42.8</v>
      </c>
      <c r="E2566" s="845">
        <f t="shared" si="80"/>
        <v>5.9999999999999982</v>
      </c>
    </row>
    <row r="2567" spans="2:5">
      <c r="B2567" s="1115">
        <v>45029</v>
      </c>
      <c r="C2567" s="242">
        <f t="shared" si="79"/>
        <v>4</v>
      </c>
      <c r="D2567" s="242">
        <v>43.3</v>
      </c>
      <c r="E2567" s="845">
        <f t="shared" si="80"/>
        <v>6.2777777777777759</v>
      </c>
    </row>
    <row r="2568" spans="2:5">
      <c r="B2568" s="1115">
        <v>45029</v>
      </c>
      <c r="C2568" s="242">
        <f t="shared" si="79"/>
        <v>4</v>
      </c>
      <c r="D2568" s="242">
        <v>44.6</v>
      </c>
      <c r="E2568" s="845">
        <f t="shared" si="80"/>
        <v>7.0000000000000009</v>
      </c>
    </row>
    <row r="2569" spans="2:5">
      <c r="B2569" s="1115">
        <v>45029</v>
      </c>
      <c r="C2569" s="242">
        <f t="shared" si="79"/>
        <v>4</v>
      </c>
      <c r="D2569" s="242">
        <v>45.7</v>
      </c>
      <c r="E2569" s="845">
        <f t="shared" si="80"/>
        <v>7.6111111111111125</v>
      </c>
    </row>
    <row r="2570" spans="2:5">
      <c r="B2570" s="1115">
        <v>45029</v>
      </c>
      <c r="C2570" s="242">
        <f t="shared" ref="C2570:C2633" si="81">MONTH(B2570)</f>
        <v>4</v>
      </c>
      <c r="D2570" s="242">
        <v>46.2</v>
      </c>
      <c r="E2570" s="845">
        <f t="shared" ref="E2570:E2633" si="82">CONVERT(D2570,"F","C")</f>
        <v>7.8888888888888902</v>
      </c>
    </row>
    <row r="2571" spans="2:5">
      <c r="B2571" s="1115">
        <v>45029</v>
      </c>
      <c r="C2571" s="242">
        <f t="shared" si="81"/>
        <v>4</v>
      </c>
      <c r="D2571" s="242">
        <v>46.8</v>
      </c>
      <c r="E2571" s="845">
        <f t="shared" si="82"/>
        <v>8.2222222222222197</v>
      </c>
    </row>
    <row r="2572" spans="2:5">
      <c r="B2572" s="1115">
        <v>45029</v>
      </c>
      <c r="C2572" s="242">
        <f t="shared" si="81"/>
        <v>4</v>
      </c>
      <c r="D2572" s="242">
        <v>46.2</v>
      </c>
      <c r="E2572" s="845">
        <f t="shared" si="82"/>
        <v>7.8888888888888902</v>
      </c>
    </row>
    <row r="2573" spans="2:5">
      <c r="B2573" s="1115">
        <v>45029</v>
      </c>
      <c r="C2573" s="242">
        <f t="shared" si="81"/>
        <v>4</v>
      </c>
      <c r="D2573" s="242">
        <v>45.1</v>
      </c>
      <c r="E2573" s="845">
        <f t="shared" si="82"/>
        <v>7.2777777777777786</v>
      </c>
    </row>
    <row r="2574" spans="2:5">
      <c r="B2574" s="1115">
        <v>45029</v>
      </c>
      <c r="C2574" s="242">
        <f t="shared" si="81"/>
        <v>4</v>
      </c>
      <c r="D2574" s="242">
        <v>44.4</v>
      </c>
      <c r="E2574" s="845">
        <f t="shared" si="82"/>
        <v>6.8888888888888875</v>
      </c>
    </row>
    <row r="2575" spans="2:5">
      <c r="B2575" s="1115">
        <v>45029</v>
      </c>
      <c r="C2575" s="242">
        <f t="shared" si="81"/>
        <v>4</v>
      </c>
      <c r="D2575" s="242">
        <v>43.9</v>
      </c>
      <c r="E2575" s="845">
        <f t="shared" si="82"/>
        <v>6.6111111111111098</v>
      </c>
    </row>
    <row r="2576" spans="2:5">
      <c r="B2576" s="1115">
        <v>45029</v>
      </c>
      <c r="C2576" s="242">
        <f t="shared" si="81"/>
        <v>4</v>
      </c>
      <c r="D2576" s="242">
        <v>43.7</v>
      </c>
      <c r="E2576" s="845">
        <f t="shared" si="82"/>
        <v>6.5000000000000018</v>
      </c>
    </row>
    <row r="2577" spans="2:5">
      <c r="B2577" s="1115">
        <v>45030</v>
      </c>
      <c r="C2577" s="242">
        <f t="shared" si="81"/>
        <v>4</v>
      </c>
      <c r="D2577" s="242">
        <v>43.5</v>
      </c>
      <c r="E2577" s="845">
        <f t="shared" si="82"/>
        <v>6.3888888888888884</v>
      </c>
    </row>
    <row r="2578" spans="2:5">
      <c r="B2578" s="1115">
        <v>45030</v>
      </c>
      <c r="C2578" s="242">
        <f t="shared" si="81"/>
        <v>4</v>
      </c>
      <c r="D2578" s="242">
        <v>43.9</v>
      </c>
      <c r="E2578" s="845">
        <f t="shared" si="82"/>
        <v>6.6111111111111098</v>
      </c>
    </row>
    <row r="2579" spans="2:5">
      <c r="B2579" s="1115">
        <v>45030</v>
      </c>
      <c r="C2579" s="242">
        <f t="shared" si="81"/>
        <v>4</v>
      </c>
      <c r="D2579" s="242">
        <v>44.2</v>
      </c>
      <c r="E2579" s="845">
        <f t="shared" si="82"/>
        <v>6.7777777777777795</v>
      </c>
    </row>
    <row r="2580" spans="2:5">
      <c r="B2580" s="1115">
        <v>45030</v>
      </c>
      <c r="C2580" s="242">
        <f t="shared" si="81"/>
        <v>4</v>
      </c>
      <c r="D2580" s="242" t="s">
        <v>1836</v>
      </c>
      <c r="E2580" s="845">
        <f t="shared" si="82"/>
        <v>7.2222222222222223</v>
      </c>
    </row>
    <row r="2581" spans="2:5">
      <c r="B2581" s="1115">
        <v>45030</v>
      </c>
      <c r="C2581" s="242">
        <f t="shared" si="81"/>
        <v>4</v>
      </c>
      <c r="D2581" s="242" t="s">
        <v>1842</v>
      </c>
      <c r="E2581" s="845">
        <f t="shared" si="82"/>
        <v>7.7777777777777777</v>
      </c>
    </row>
    <row r="2582" spans="2:5">
      <c r="B2582" s="1115">
        <v>45030</v>
      </c>
      <c r="C2582" s="242">
        <f t="shared" si="81"/>
        <v>4</v>
      </c>
      <c r="D2582" s="242">
        <v>46.8</v>
      </c>
      <c r="E2582" s="845">
        <f t="shared" si="82"/>
        <v>8.2222222222222197</v>
      </c>
    </row>
    <row r="2583" spans="2:5">
      <c r="B2583" s="1115">
        <v>45030</v>
      </c>
      <c r="C2583" s="242">
        <f t="shared" si="81"/>
        <v>4</v>
      </c>
      <c r="D2583" s="242">
        <v>46.9</v>
      </c>
      <c r="E2583" s="845">
        <f t="shared" si="82"/>
        <v>8.2777777777777768</v>
      </c>
    </row>
    <row r="2584" spans="2:5">
      <c r="B2584" s="1115">
        <v>45030</v>
      </c>
      <c r="C2584" s="242">
        <f t="shared" si="81"/>
        <v>4</v>
      </c>
      <c r="D2584" s="242">
        <v>46.4</v>
      </c>
      <c r="E2584" s="845">
        <f t="shared" si="82"/>
        <v>7.9999999999999991</v>
      </c>
    </row>
    <row r="2585" spans="2:5">
      <c r="B2585" s="1115">
        <v>45030</v>
      </c>
      <c r="C2585" s="242">
        <f t="shared" si="81"/>
        <v>4</v>
      </c>
      <c r="D2585" s="242">
        <v>45.3</v>
      </c>
      <c r="E2585" s="845">
        <f t="shared" si="82"/>
        <v>7.3888888888888875</v>
      </c>
    </row>
    <row r="2586" spans="2:5">
      <c r="B2586" s="1115">
        <v>45030</v>
      </c>
      <c r="C2586" s="242">
        <f t="shared" si="81"/>
        <v>4</v>
      </c>
      <c r="D2586" s="242">
        <v>44.6</v>
      </c>
      <c r="E2586" s="845">
        <f t="shared" si="82"/>
        <v>7.0000000000000009</v>
      </c>
    </row>
    <row r="2587" spans="2:5">
      <c r="B2587" s="1115">
        <v>45030</v>
      </c>
      <c r="C2587" s="242">
        <f t="shared" si="81"/>
        <v>4</v>
      </c>
      <c r="D2587" s="242">
        <v>43.9</v>
      </c>
      <c r="E2587" s="845">
        <f t="shared" si="82"/>
        <v>6.6111111111111098</v>
      </c>
    </row>
    <row r="2588" spans="2:5">
      <c r="B2588" s="1115">
        <v>45030</v>
      </c>
      <c r="C2588" s="242">
        <f t="shared" si="81"/>
        <v>4</v>
      </c>
      <c r="D2588" s="242">
        <v>43.7</v>
      </c>
      <c r="E2588" s="845">
        <f t="shared" si="82"/>
        <v>6.5000000000000018</v>
      </c>
    </row>
    <row r="2589" spans="2:5">
      <c r="B2589" s="1115">
        <v>45030</v>
      </c>
      <c r="C2589" s="242">
        <f t="shared" si="81"/>
        <v>4</v>
      </c>
      <c r="D2589" s="242">
        <v>43.5</v>
      </c>
      <c r="E2589" s="845">
        <f t="shared" si="82"/>
        <v>6.3888888888888884</v>
      </c>
    </row>
    <row r="2590" spans="2:5">
      <c r="B2590" s="1115">
        <v>45030</v>
      </c>
      <c r="C2590" s="242">
        <f t="shared" si="81"/>
        <v>4</v>
      </c>
      <c r="D2590" s="242">
        <v>43.5</v>
      </c>
      <c r="E2590" s="845">
        <f t="shared" si="82"/>
        <v>6.3888888888888884</v>
      </c>
    </row>
    <row r="2591" spans="2:5">
      <c r="B2591" s="1115">
        <v>45030</v>
      </c>
      <c r="C2591" s="242">
        <f t="shared" si="81"/>
        <v>4</v>
      </c>
      <c r="D2591" s="242">
        <v>44.1</v>
      </c>
      <c r="E2591" s="845">
        <f t="shared" si="82"/>
        <v>6.7222222222222232</v>
      </c>
    </row>
    <row r="2592" spans="2:5">
      <c r="B2592" s="1115">
        <v>45030</v>
      </c>
      <c r="C2592" s="242">
        <f t="shared" si="81"/>
        <v>4</v>
      </c>
      <c r="D2592" s="242">
        <v>44.8</v>
      </c>
      <c r="E2592" s="845">
        <f t="shared" si="82"/>
        <v>7.1111111111111089</v>
      </c>
    </row>
    <row r="2593" spans="2:5">
      <c r="B2593" s="1115">
        <v>45030</v>
      </c>
      <c r="C2593" s="242">
        <f t="shared" si="81"/>
        <v>4</v>
      </c>
      <c r="D2593" s="242" t="s">
        <v>1842</v>
      </c>
      <c r="E2593" s="845">
        <f t="shared" si="82"/>
        <v>7.7777777777777777</v>
      </c>
    </row>
    <row r="2594" spans="2:5">
      <c r="B2594" s="1115">
        <v>45030</v>
      </c>
      <c r="C2594" s="242">
        <f t="shared" si="81"/>
        <v>4</v>
      </c>
      <c r="D2594" s="242">
        <v>47.1</v>
      </c>
      <c r="E2594" s="845">
        <f t="shared" si="82"/>
        <v>8.3888888888888893</v>
      </c>
    </row>
    <row r="2595" spans="2:5">
      <c r="B2595" s="1115">
        <v>45030</v>
      </c>
      <c r="C2595" s="242">
        <f t="shared" si="81"/>
        <v>4</v>
      </c>
      <c r="D2595" s="242" t="s">
        <v>1843</v>
      </c>
      <c r="E2595" s="845">
        <f t="shared" si="82"/>
        <v>8.8888888888888893</v>
      </c>
    </row>
    <row r="2596" spans="2:5">
      <c r="B2596" s="1115">
        <v>45030</v>
      </c>
      <c r="C2596" s="242">
        <f t="shared" si="81"/>
        <v>4</v>
      </c>
      <c r="D2596" s="242">
        <v>48.6</v>
      </c>
      <c r="E2596" s="845">
        <f t="shared" si="82"/>
        <v>9.2222222222222232</v>
      </c>
    </row>
    <row r="2597" spans="2:5">
      <c r="B2597" s="1115">
        <v>45030</v>
      </c>
      <c r="C2597" s="242">
        <f t="shared" si="81"/>
        <v>4</v>
      </c>
      <c r="D2597" s="242">
        <v>47.8</v>
      </c>
      <c r="E2597" s="845">
        <f t="shared" si="82"/>
        <v>8.7777777777777768</v>
      </c>
    </row>
    <row r="2598" spans="2:5">
      <c r="B2598" s="1115">
        <v>45030</v>
      </c>
      <c r="C2598" s="242">
        <f t="shared" si="81"/>
        <v>4</v>
      </c>
      <c r="D2598" s="242">
        <v>46.6</v>
      </c>
      <c r="E2598" s="845">
        <f t="shared" si="82"/>
        <v>8.1111111111111125</v>
      </c>
    </row>
    <row r="2599" spans="2:5">
      <c r="B2599" s="1115">
        <v>45030</v>
      </c>
      <c r="C2599" s="242">
        <f t="shared" si="81"/>
        <v>4</v>
      </c>
      <c r="D2599" s="242">
        <v>45.7</v>
      </c>
      <c r="E2599" s="845">
        <f t="shared" si="82"/>
        <v>7.6111111111111125</v>
      </c>
    </row>
    <row r="2600" spans="2:5">
      <c r="B2600" s="1115">
        <v>45030</v>
      </c>
      <c r="C2600" s="242">
        <f t="shared" si="81"/>
        <v>4</v>
      </c>
      <c r="D2600" s="242">
        <v>45.3</v>
      </c>
      <c r="E2600" s="845">
        <f t="shared" si="82"/>
        <v>7.3888888888888875</v>
      </c>
    </row>
    <row r="2601" spans="2:5">
      <c r="B2601" s="1115">
        <v>45031</v>
      </c>
      <c r="C2601" s="242">
        <f t="shared" si="81"/>
        <v>4</v>
      </c>
      <c r="D2601" s="242" t="s">
        <v>1836</v>
      </c>
      <c r="E2601" s="845">
        <f t="shared" si="82"/>
        <v>7.2222222222222223</v>
      </c>
    </row>
    <row r="2602" spans="2:5">
      <c r="B2602" s="1115">
        <v>45031</v>
      </c>
      <c r="C2602" s="242">
        <f t="shared" si="81"/>
        <v>4</v>
      </c>
      <c r="D2602" s="242">
        <v>44.8</v>
      </c>
      <c r="E2602" s="845">
        <f t="shared" si="82"/>
        <v>7.1111111111111089</v>
      </c>
    </row>
    <row r="2603" spans="2:5">
      <c r="B2603" s="1115">
        <v>45031</v>
      </c>
      <c r="C2603" s="242">
        <f t="shared" si="81"/>
        <v>4</v>
      </c>
      <c r="D2603" s="242">
        <v>44.8</v>
      </c>
      <c r="E2603" s="845">
        <f t="shared" si="82"/>
        <v>7.1111111111111089</v>
      </c>
    </row>
    <row r="2604" spans="2:5">
      <c r="B2604" s="1115">
        <v>45031</v>
      </c>
      <c r="C2604" s="242">
        <f t="shared" si="81"/>
        <v>4</v>
      </c>
      <c r="D2604" s="242">
        <v>45.1</v>
      </c>
      <c r="E2604" s="845">
        <f t="shared" si="82"/>
        <v>7.2777777777777786</v>
      </c>
    </row>
    <row r="2605" spans="2:5">
      <c r="B2605" s="1115">
        <v>45031</v>
      </c>
      <c r="C2605" s="242">
        <f t="shared" si="81"/>
        <v>4</v>
      </c>
      <c r="D2605" s="242">
        <v>45.7</v>
      </c>
      <c r="E2605" s="845">
        <f t="shared" si="82"/>
        <v>7.6111111111111125</v>
      </c>
    </row>
    <row r="2606" spans="2:5">
      <c r="B2606" s="1115">
        <v>45031</v>
      </c>
      <c r="C2606" s="242">
        <f t="shared" si="81"/>
        <v>4</v>
      </c>
      <c r="D2606" s="242">
        <v>46.9</v>
      </c>
      <c r="E2606" s="845">
        <f t="shared" si="82"/>
        <v>8.2777777777777768</v>
      </c>
    </row>
    <row r="2607" spans="2:5">
      <c r="B2607" s="1115">
        <v>45031</v>
      </c>
      <c r="C2607" s="242">
        <f t="shared" si="81"/>
        <v>4</v>
      </c>
      <c r="D2607" s="242">
        <v>47.7</v>
      </c>
      <c r="E2607" s="845">
        <f t="shared" si="82"/>
        <v>8.7222222222222232</v>
      </c>
    </row>
    <row r="2608" spans="2:5">
      <c r="B2608" s="1115">
        <v>45031</v>
      </c>
      <c r="C2608" s="242">
        <f t="shared" si="81"/>
        <v>4</v>
      </c>
      <c r="D2608" s="242">
        <v>48.2</v>
      </c>
      <c r="E2608" s="845">
        <f t="shared" si="82"/>
        <v>9.0000000000000018</v>
      </c>
    </row>
    <row r="2609" spans="2:5">
      <c r="B2609" s="1115">
        <v>45031</v>
      </c>
      <c r="C2609" s="242">
        <f t="shared" si="81"/>
        <v>4</v>
      </c>
      <c r="D2609" s="242">
        <v>47.8</v>
      </c>
      <c r="E2609" s="845">
        <f t="shared" si="82"/>
        <v>8.7777777777777768</v>
      </c>
    </row>
    <row r="2610" spans="2:5">
      <c r="B2610" s="1115">
        <v>45031</v>
      </c>
      <c r="C2610" s="242">
        <f t="shared" si="81"/>
        <v>4</v>
      </c>
      <c r="D2610" s="242">
        <v>46.6</v>
      </c>
      <c r="E2610" s="845">
        <f t="shared" si="82"/>
        <v>8.1111111111111125</v>
      </c>
    </row>
    <row r="2611" spans="2:5">
      <c r="B2611" s="1115">
        <v>45031</v>
      </c>
      <c r="C2611" s="242">
        <f t="shared" si="81"/>
        <v>4</v>
      </c>
      <c r="D2611" s="242">
        <v>45.7</v>
      </c>
      <c r="E2611" s="845">
        <f t="shared" si="82"/>
        <v>7.6111111111111125</v>
      </c>
    </row>
    <row r="2612" spans="2:5">
      <c r="B2612" s="1115">
        <v>45031</v>
      </c>
      <c r="C2612" s="242">
        <f t="shared" si="81"/>
        <v>4</v>
      </c>
      <c r="D2612" s="242" t="s">
        <v>1836</v>
      </c>
      <c r="E2612" s="845">
        <f t="shared" si="82"/>
        <v>7.2222222222222223</v>
      </c>
    </row>
    <row r="2613" spans="2:5">
      <c r="B2613" s="1115">
        <v>45031</v>
      </c>
      <c r="C2613" s="242">
        <f t="shared" si="81"/>
        <v>4</v>
      </c>
      <c r="D2613" s="242">
        <v>44.4</v>
      </c>
      <c r="E2613" s="845">
        <f t="shared" si="82"/>
        <v>6.8888888888888875</v>
      </c>
    </row>
    <row r="2614" spans="2:5">
      <c r="B2614" s="1115">
        <v>45031</v>
      </c>
      <c r="C2614" s="242">
        <f t="shared" si="81"/>
        <v>4</v>
      </c>
      <c r="D2614" s="242">
        <v>44.2</v>
      </c>
      <c r="E2614" s="845">
        <f t="shared" si="82"/>
        <v>6.7777777777777795</v>
      </c>
    </row>
    <row r="2615" spans="2:5">
      <c r="B2615" s="1115">
        <v>45031</v>
      </c>
      <c r="C2615" s="242">
        <f t="shared" si="81"/>
        <v>4</v>
      </c>
      <c r="D2615" s="242">
        <v>44.6</v>
      </c>
      <c r="E2615" s="845">
        <f t="shared" si="82"/>
        <v>7.0000000000000009</v>
      </c>
    </row>
    <row r="2616" spans="2:5">
      <c r="B2616" s="1115">
        <v>45031</v>
      </c>
      <c r="C2616" s="242">
        <f t="shared" si="81"/>
        <v>4</v>
      </c>
      <c r="D2616" s="242">
        <v>44.8</v>
      </c>
      <c r="E2616" s="845">
        <f t="shared" si="82"/>
        <v>7.1111111111111089</v>
      </c>
    </row>
    <row r="2617" spans="2:5">
      <c r="B2617" s="1115">
        <v>45031</v>
      </c>
      <c r="C2617" s="242">
        <f t="shared" si="81"/>
        <v>4</v>
      </c>
      <c r="D2617" s="242">
        <v>45.5</v>
      </c>
      <c r="E2617" s="845">
        <f t="shared" si="82"/>
        <v>7.5</v>
      </c>
    </row>
    <row r="2618" spans="2:5">
      <c r="B2618" s="1115">
        <v>45031</v>
      </c>
      <c r="C2618" s="242">
        <f t="shared" si="81"/>
        <v>4</v>
      </c>
      <c r="D2618" s="242">
        <v>46.9</v>
      </c>
      <c r="E2618" s="845">
        <f t="shared" si="82"/>
        <v>8.2777777777777768</v>
      </c>
    </row>
    <row r="2619" spans="2:5">
      <c r="B2619" s="1115">
        <v>45031</v>
      </c>
      <c r="C2619" s="242">
        <f t="shared" si="81"/>
        <v>4</v>
      </c>
      <c r="D2619" s="242" t="s">
        <v>1843</v>
      </c>
      <c r="E2619" s="845">
        <f t="shared" si="82"/>
        <v>8.8888888888888893</v>
      </c>
    </row>
    <row r="2620" spans="2:5">
      <c r="B2620" s="1115">
        <v>45031</v>
      </c>
      <c r="C2620" s="242">
        <f t="shared" si="81"/>
        <v>4</v>
      </c>
      <c r="D2620" s="242">
        <v>48.7</v>
      </c>
      <c r="E2620" s="845">
        <f t="shared" si="82"/>
        <v>9.2777777777777786</v>
      </c>
    </row>
    <row r="2621" spans="2:5">
      <c r="B2621" s="1115">
        <v>45031</v>
      </c>
      <c r="C2621" s="242">
        <f t="shared" si="81"/>
        <v>4</v>
      </c>
      <c r="D2621" s="242">
        <v>49.5</v>
      </c>
      <c r="E2621" s="845">
        <f t="shared" si="82"/>
        <v>9.7222222222222214</v>
      </c>
    </row>
    <row r="2622" spans="2:5">
      <c r="B2622" s="1115">
        <v>45031</v>
      </c>
      <c r="C2622" s="242">
        <f t="shared" si="81"/>
        <v>4</v>
      </c>
      <c r="D2622" s="242">
        <v>49.1</v>
      </c>
      <c r="E2622" s="845">
        <f t="shared" si="82"/>
        <v>9.5</v>
      </c>
    </row>
    <row r="2623" spans="2:5">
      <c r="B2623" s="1115">
        <v>45031</v>
      </c>
      <c r="C2623" s="242">
        <f t="shared" si="81"/>
        <v>4</v>
      </c>
      <c r="D2623" s="242">
        <v>47.8</v>
      </c>
      <c r="E2623" s="845">
        <f t="shared" si="82"/>
        <v>8.7777777777777768</v>
      </c>
    </row>
    <row r="2624" spans="2:5">
      <c r="B2624" s="1115">
        <v>45031</v>
      </c>
      <c r="C2624" s="242">
        <f t="shared" si="81"/>
        <v>4</v>
      </c>
      <c r="D2624" s="242">
        <v>46.9</v>
      </c>
      <c r="E2624" s="845">
        <f t="shared" si="82"/>
        <v>8.2777777777777768</v>
      </c>
    </row>
    <row r="2625" spans="2:5">
      <c r="B2625" s="1115">
        <v>45032</v>
      </c>
      <c r="C2625" s="242">
        <f t="shared" si="81"/>
        <v>4</v>
      </c>
      <c r="D2625" s="242">
        <v>46.4</v>
      </c>
      <c r="E2625" s="845">
        <f t="shared" si="82"/>
        <v>7.9999999999999991</v>
      </c>
    </row>
    <row r="2626" spans="2:5">
      <c r="B2626" s="1115">
        <v>45032</v>
      </c>
      <c r="C2626" s="242">
        <f t="shared" si="81"/>
        <v>4</v>
      </c>
      <c r="D2626" s="242" t="s">
        <v>1842</v>
      </c>
      <c r="E2626" s="845">
        <f t="shared" si="82"/>
        <v>7.7777777777777777</v>
      </c>
    </row>
    <row r="2627" spans="2:5">
      <c r="B2627" s="1115">
        <v>45032</v>
      </c>
      <c r="C2627" s="242">
        <f t="shared" si="81"/>
        <v>4</v>
      </c>
      <c r="D2627" s="242">
        <v>45.9</v>
      </c>
      <c r="E2627" s="845">
        <f t="shared" si="82"/>
        <v>7.7222222222222214</v>
      </c>
    </row>
    <row r="2628" spans="2:5">
      <c r="B2628" s="1115">
        <v>45032</v>
      </c>
      <c r="C2628" s="242">
        <f t="shared" si="81"/>
        <v>4</v>
      </c>
      <c r="D2628" s="242">
        <v>45.9</v>
      </c>
      <c r="E2628" s="845">
        <f t="shared" si="82"/>
        <v>7.7222222222222214</v>
      </c>
    </row>
    <row r="2629" spans="2:5">
      <c r="B2629" s="1115">
        <v>45032</v>
      </c>
      <c r="C2629" s="242">
        <f t="shared" si="81"/>
        <v>4</v>
      </c>
      <c r="D2629" s="242">
        <v>46.2</v>
      </c>
      <c r="E2629" s="845">
        <f t="shared" si="82"/>
        <v>7.8888888888888902</v>
      </c>
    </row>
    <row r="2630" spans="2:5">
      <c r="B2630" s="1115">
        <v>45032</v>
      </c>
      <c r="C2630" s="242">
        <f t="shared" si="81"/>
        <v>4</v>
      </c>
      <c r="D2630" s="242">
        <v>46.8</v>
      </c>
      <c r="E2630" s="845">
        <f t="shared" si="82"/>
        <v>8.2222222222222197</v>
      </c>
    </row>
    <row r="2631" spans="2:5">
      <c r="B2631" s="1115">
        <v>45032</v>
      </c>
      <c r="C2631" s="242">
        <f t="shared" si="81"/>
        <v>4</v>
      </c>
      <c r="D2631" s="242">
        <v>47.8</v>
      </c>
      <c r="E2631" s="845">
        <f t="shared" si="82"/>
        <v>8.7777777777777768</v>
      </c>
    </row>
    <row r="2632" spans="2:5">
      <c r="B2632" s="1115">
        <v>45032</v>
      </c>
      <c r="C2632" s="242">
        <f t="shared" si="81"/>
        <v>4</v>
      </c>
      <c r="D2632" s="242">
        <v>48.7</v>
      </c>
      <c r="E2632" s="845">
        <f t="shared" si="82"/>
        <v>9.2777777777777786</v>
      </c>
    </row>
    <row r="2633" spans="2:5">
      <c r="B2633" s="1115">
        <v>45032</v>
      </c>
      <c r="C2633" s="242">
        <f t="shared" si="81"/>
        <v>4</v>
      </c>
      <c r="D2633" s="242">
        <v>49.1</v>
      </c>
      <c r="E2633" s="845">
        <f t="shared" si="82"/>
        <v>9.5</v>
      </c>
    </row>
    <row r="2634" spans="2:5">
      <c r="B2634" s="1115">
        <v>45032</v>
      </c>
      <c r="C2634" s="242">
        <f t="shared" ref="C2634:C2697" si="83">MONTH(B2634)</f>
        <v>4</v>
      </c>
      <c r="D2634" s="242">
        <v>48.9</v>
      </c>
      <c r="E2634" s="845">
        <f t="shared" ref="E2634:E2697" si="84">CONVERT(D2634,"F","C")</f>
        <v>9.3888888888888875</v>
      </c>
    </row>
    <row r="2635" spans="2:5">
      <c r="B2635" s="1115">
        <v>45032</v>
      </c>
      <c r="C2635" s="242">
        <f t="shared" si="83"/>
        <v>4</v>
      </c>
      <c r="D2635" s="242">
        <v>47.7</v>
      </c>
      <c r="E2635" s="845">
        <f t="shared" si="84"/>
        <v>8.7222222222222232</v>
      </c>
    </row>
    <row r="2636" spans="2:5">
      <c r="B2636" s="1115">
        <v>45032</v>
      </c>
      <c r="C2636" s="242">
        <f t="shared" si="83"/>
        <v>4</v>
      </c>
      <c r="D2636" s="242">
        <v>46.9</v>
      </c>
      <c r="E2636" s="845">
        <f t="shared" si="84"/>
        <v>8.2777777777777768</v>
      </c>
    </row>
    <row r="2637" spans="2:5">
      <c r="B2637" s="1115">
        <v>45032</v>
      </c>
      <c r="C2637" s="242">
        <f t="shared" si="83"/>
        <v>4</v>
      </c>
      <c r="D2637" s="242" t="s">
        <v>1842</v>
      </c>
      <c r="E2637" s="845">
        <f t="shared" si="84"/>
        <v>7.7777777777777777</v>
      </c>
    </row>
    <row r="2638" spans="2:5">
      <c r="B2638" s="1115">
        <v>45032</v>
      </c>
      <c r="C2638" s="242">
        <f t="shared" si="83"/>
        <v>4</v>
      </c>
      <c r="D2638" s="242">
        <v>45.7</v>
      </c>
      <c r="E2638" s="845">
        <f t="shared" si="84"/>
        <v>7.6111111111111125</v>
      </c>
    </row>
    <row r="2639" spans="2:5">
      <c r="B2639" s="1115">
        <v>45032</v>
      </c>
      <c r="C2639" s="242">
        <f t="shared" si="83"/>
        <v>4</v>
      </c>
      <c r="D2639" s="242">
        <v>45.5</v>
      </c>
      <c r="E2639" s="845">
        <f t="shared" si="84"/>
        <v>7.5</v>
      </c>
    </row>
    <row r="2640" spans="2:5">
      <c r="B2640" s="1115">
        <v>45032</v>
      </c>
      <c r="C2640" s="242">
        <f t="shared" si="83"/>
        <v>4</v>
      </c>
      <c r="D2640" s="242">
        <v>45.7</v>
      </c>
      <c r="E2640" s="845">
        <f t="shared" si="84"/>
        <v>7.6111111111111125</v>
      </c>
    </row>
    <row r="2641" spans="2:5">
      <c r="B2641" s="1115">
        <v>45032</v>
      </c>
      <c r="C2641" s="242">
        <f t="shared" si="83"/>
        <v>4</v>
      </c>
      <c r="D2641" s="242">
        <v>45.9</v>
      </c>
      <c r="E2641" s="845">
        <f t="shared" si="84"/>
        <v>7.7222222222222214</v>
      </c>
    </row>
    <row r="2642" spans="2:5">
      <c r="B2642" s="1115">
        <v>45032</v>
      </c>
      <c r="C2642" s="242">
        <f t="shared" si="83"/>
        <v>4</v>
      </c>
      <c r="D2642" s="242">
        <v>46.4</v>
      </c>
      <c r="E2642" s="845">
        <f t="shared" si="84"/>
        <v>7.9999999999999991</v>
      </c>
    </row>
    <row r="2643" spans="2:5">
      <c r="B2643" s="1115">
        <v>45032</v>
      </c>
      <c r="C2643" s="242">
        <f t="shared" si="83"/>
        <v>4</v>
      </c>
      <c r="D2643" s="242">
        <v>47.7</v>
      </c>
      <c r="E2643" s="845">
        <f t="shared" si="84"/>
        <v>8.7222222222222232</v>
      </c>
    </row>
    <row r="2644" spans="2:5">
      <c r="B2644" s="1115">
        <v>45032</v>
      </c>
      <c r="C2644" s="242">
        <f t="shared" si="83"/>
        <v>4</v>
      </c>
      <c r="D2644" s="242">
        <v>48.6</v>
      </c>
      <c r="E2644" s="845">
        <f t="shared" si="84"/>
        <v>9.2222222222222232</v>
      </c>
    </row>
    <row r="2645" spans="2:5">
      <c r="B2645" s="1115">
        <v>45032</v>
      </c>
      <c r="C2645" s="242">
        <f t="shared" si="83"/>
        <v>4</v>
      </c>
      <c r="D2645" s="242">
        <v>49.5</v>
      </c>
      <c r="E2645" s="845">
        <f t="shared" si="84"/>
        <v>9.7222222222222214</v>
      </c>
    </row>
    <row r="2646" spans="2:5">
      <c r="B2646" s="1115">
        <v>45032</v>
      </c>
      <c r="C2646" s="242">
        <f t="shared" si="83"/>
        <v>4</v>
      </c>
      <c r="D2646" s="242" t="s">
        <v>1844</v>
      </c>
      <c r="E2646" s="845">
        <f t="shared" si="84"/>
        <v>10</v>
      </c>
    </row>
    <row r="2647" spans="2:5">
      <c r="B2647" s="1115">
        <v>45032</v>
      </c>
      <c r="C2647" s="242">
        <f t="shared" si="83"/>
        <v>4</v>
      </c>
      <c r="D2647" s="242">
        <v>49.8</v>
      </c>
      <c r="E2647" s="845">
        <f t="shared" si="84"/>
        <v>9.8888888888888875</v>
      </c>
    </row>
    <row r="2648" spans="2:5">
      <c r="B2648" s="1115">
        <v>45032</v>
      </c>
      <c r="C2648" s="242">
        <f t="shared" si="83"/>
        <v>4</v>
      </c>
      <c r="D2648" s="242">
        <v>48.2</v>
      </c>
      <c r="E2648" s="845">
        <f t="shared" si="84"/>
        <v>9.0000000000000018</v>
      </c>
    </row>
    <row r="2649" spans="2:5">
      <c r="B2649" s="1115">
        <v>45033</v>
      </c>
      <c r="C2649" s="242">
        <f t="shared" si="83"/>
        <v>4</v>
      </c>
      <c r="D2649" s="242">
        <v>47.7</v>
      </c>
      <c r="E2649" s="845">
        <f t="shared" si="84"/>
        <v>8.7222222222222232</v>
      </c>
    </row>
    <row r="2650" spans="2:5">
      <c r="B2650" s="1115">
        <v>45033</v>
      </c>
      <c r="C2650" s="242">
        <f t="shared" si="83"/>
        <v>4</v>
      </c>
      <c r="D2650" s="242">
        <v>46.6</v>
      </c>
      <c r="E2650" s="845">
        <f t="shared" si="84"/>
        <v>8.1111111111111125</v>
      </c>
    </row>
    <row r="2651" spans="2:5">
      <c r="B2651" s="1115">
        <v>45033</v>
      </c>
      <c r="C2651" s="242">
        <f t="shared" si="83"/>
        <v>4</v>
      </c>
      <c r="D2651" s="242">
        <v>46.2</v>
      </c>
      <c r="E2651" s="845">
        <f t="shared" si="84"/>
        <v>7.8888888888888902</v>
      </c>
    </row>
    <row r="2652" spans="2:5">
      <c r="B2652" s="1115">
        <v>45033</v>
      </c>
      <c r="C2652" s="242">
        <f t="shared" si="83"/>
        <v>4</v>
      </c>
      <c r="D2652" s="242">
        <v>46.2</v>
      </c>
      <c r="E2652" s="845">
        <f t="shared" si="84"/>
        <v>7.8888888888888902</v>
      </c>
    </row>
    <row r="2653" spans="2:5">
      <c r="B2653" s="1115">
        <v>45033</v>
      </c>
      <c r="C2653" s="242">
        <f t="shared" si="83"/>
        <v>4</v>
      </c>
      <c r="D2653" s="242">
        <v>46.4</v>
      </c>
      <c r="E2653" s="845">
        <f t="shared" si="84"/>
        <v>7.9999999999999991</v>
      </c>
    </row>
    <row r="2654" spans="2:5">
      <c r="B2654" s="1115">
        <v>45033</v>
      </c>
      <c r="C2654" s="242">
        <f t="shared" si="83"/>
        <v>4</v>
      </c>
      <c r="D2654" s="242">
        <v>46.6</v>
      </c>
      <c r="E2654" s="845">
        <f t="shared" si="84"/>
        <v>8.1111111111111125</v>
      </c>
    </row>
    <row r="2655" spans="2:5">
      <c r="B2655" s="1115">
        <v>45033</v>
      </c>
      <c r="C2655" s="242">
        <f t="shared" si="83"/>
        <v>4</v>
      </c>
      <c r="D2655" s="242">
        <v>47.3</v>
      </c>
      <c r="E2655" s="845">
        <f t="shared" si="84"/>
        <v>8.4999999999999982</v>
      </c>
    </row>
    <row r="2656" spans="2:5">
      <c r="B2656" s="1115">
        <v>45033</v>
      </c>
      <c r="C2656" s="242">
        <f t="shared" si="83"/>
        <v>4</v>
      </c>
      <c r="D2656" s="242">
        <v>48.2</v>
      </c>
      <c r="E2656" s="845">
        <f t="shared" si="84"/>
        <v>9.0000000000000018</v>
      </c>
    </row>
    <row r="2657" spans="2:5">
      <c r="B2657" s="1115">
        <v>45033</v>
      </c>
      <c r="C2657" s="242">
        <f t="shared" si="83"/>
        <v>4</v>
      </c>
      <c r="D2657" s="242">
        <v>49.1</v>
      </c>
      <c r="E2657" s="845">
        <f t="shared" si="84"/>
        <v>9.5</v>
      </c>
    </row>
    <row r="2658" spans="2:5">
      <c r="B2658" s="1115">
        <v>45033</v>
      </c>
      <c r="C2658" s="242">
        <f t="shared" si="83"/>
        <v>4</v>
      </c>
      <c r="D2658" s="242">
        <v>49.5</v>
      </c>
      <c r="E2658" s="845">
        <f t="shared" si="84"/>
        <v>9.7222222222222214</v>
      </c>
    </row>
    <row r="2659" spans="2:5">
      <c r="B2659" s="1115">
        <v>45033</v>
      </c>
      <c r="C2659" s="242">
        <f t="shared" si="83"/>
        <v>4</v>
      </c>
      <c r="D2659" s="242">
        <v>49.6</v>
      </c>
      <c r="E2659" s="845">
        <f t="shared" si="84"/>
        <v>9.7777777777777786</v>
      </c>
    </row>
    <row r="2660" spans="2:5">
      <c r="B2660" s="1115">
        <v>45033</v>
      </c>
      <c r="C2660" s="242">
        <f t="shared" si="83"/>
        <v>4</v>
      </c>
      <c r="D2660" s="242" t="s">
        <v>1843</v>
      </c>
      <c r="E2660" s="845">
        <f t="shared" si="84"/>
        <v>8.8888888888888893</v>
      </c>
    </row>
    <row r="2661" spans="2:5">
      <c r="B2661" s="1115">
        <v>45033</v>
      </c>
      <c r="C2661" s="242">
        <f t="shared" si="83"/>
        <v>4</v>
      </c>
      <c r="D2661" s="242">
        <v>47.7</v>
      </c>
      <c r="E2661" s="845">
        <f t="shared" si="84"/>
        <v>8.7222222222222232</v>
      </c>
    </row>
    <row r="2662" spans="2:5">
      <c r="B2662" s="1115">
        <v>45033</v>
      </c>
      <c r="C2662" s="242">
        <f t="shared" si="83"/>
        <v>4</v>
      </c>
      <c r="D2662" s="242">
        <v>46.8</v>
      </c>
      <c r="E2662" s="845">
        <f t="shared" si="84"/>
        <v>8.2222222222222197</v>
      </c>
    </row>
    <row r="2663" spans="2:5">
      <c r="B2663" s="1115">
        <v>45033</v>
      </c>
      <c r="C2663" s="242">
        <f t="shared" si="83"/>
        <v>4</v>
      </c>
      <c r="D2663" s="242">
        <v>46.6</v>
      </c>
      <c r="E2663" s="845">
        <f t="shared" si="84"/>
        <v>8.1111111111111125</v>
      </c>
    </row>
    <row r="2664" spans="2:5">
      <c r="B2664" s="1115">
        <v>45033</v>
      </c>
      <c r="C2664" s="242">
        <f t="shared" si="83"/>
        <v>4</v>
      </c>
      <c r="D2664" s="242">
        <v>46.6</v>
      </c>
      <c r="E2664" s="845">
        <f t="shared" si="84"/>
        <v>8.1111111111111125</v>
      </c>
    </row>
    <row r="2665" spans="2:5">
      <c r="B2665" s="1115">
        <v>45033</v>
      </c>
      <c r="C2665" s="242">
        <f t="shared" si="83"/>
        <v>4</v>
      </c>
      <c r="D2665" s="242">
        <v>46.6</v>
      </c>
      <c r="E2665" s="845">
        <f t="shared" si="84"/>
        <v>8.1111111111111125</v>
      </c>
    </row>
    <row r="2666" spans="2:5">
      <c r="B2666" s="1115">
        <v>45033</v>
      </c>
      <c r="C2666" s="242">
        <f t="shared" si="83"/>
        <v>4</v>
      </c>
      <c r="D2666" s="242">
        <v>46.8</v>
      </c>
      <c r="E2666" s="845">
        <f t="shared" si="84"/>
        <v>8.2222222222222197</v>
      </c>
    </row>
    <row r="2667" spans="2:5">
      <c r="B2667" s="1115">
        <v>45033</v>
      </c>
      <c r="C2667" s="242">
        <f t="shared" si="83"/>
        <v>4</v>
      </c>
      <c r="D2667" s="242">
        <v>47.1</v>
      </c>
      <c r="E2667" s="845">
        <f t="shared" si="84"/>
        <v>8.3888888888888893</v>
      </c>
    </row>
    <row r="2668" spans="2:5">
      <c r="B2668" s="1115">
        <v>45033</v>
      </c>
      <c r="C2668" s="242">
        <f t="shared" si="83"/>
        <v>4</v>
      </c>
      <c r="D2668" s="242" t="s">
        <v>1843</v>
      </c>
      <c r="E2668" s="845">
        <f t="shared" si="84"/>
        <v>8.8888888888888893</v>
      </c>
    </row>
    <row r="2669" spans="2:5">
      <c r="B2669" s="1115">
        <v>45033</v>
      </c>
      <c r="C2669" s="242">
        <f t="shared" si="83"/>
        <v>4</v>
      </c>
      <c r="D2669" s="242">
        <v>48.7</v>
      </c>
      <c r="E2669" s="845">
        <f t="shared" si="84"/>
        <v>9.2777777777777786</v>
      </c>
    </row>
    <row r="2670" spans="2:5">
      <c r="B2670" s="1115">
        <v>45033</v>
      </c>
      <c r="C2670" s="242">
        <f t="shared" si="83"/>
        <v>4</v>
      </c>
      <c r="D2670" s="242">
        <v>49.5</v>
      </c>
      <c r="E2670" s="845">
        <f t="shared" si="84"/>
        <v>9.7222222222222214</v>
      </c>
    </row>
    <row r="2671" spans="2:5">
      <c r="B2671" s="1115">
        <v>45033</v>
      </c>
      <c r="C2671" s="242">
        <f t="shared" si="83"/>
        <v>4</v>
      </c>
      <c r="D2671" s="242">
        <v>49.8</v>
      </c>
      <c r="E2671" s="845">
        <f t="shared" si="84"/>
        <v>9.8888888888888875</v>
      </c>
    </row>
    <row r="2672" spans="2:5">
      <c r="B2672" s="1115">
        <v>45033</v>
      </c>
      <c r="C2672" s="242">
        <f t="shared" si="83"/>
        <v>4</v>
      </c>
      <c r="D2672" s="242">
        <v>49.5</v>
      </c>
      <c r="E2672" s="845">
        <f t="shared" si="84"/>
        <v>9.7222222222222214</v>
      </c>
    </row>
    <row r="2673" spans="2:5">
      <c r="B2673" s="1115">
        <v>45034</v>
      </c>
      <c r="C2673" s="242">
        <f t="shared" si="83"/>
        <v>4</v>
      </c>
      <c r="D2673" s="242">
        <v>48.2</v>
      </c>
      <c r="E2673" s="845">
        <f t="shared" si="84"/>
        <v>9.0000000000000018</v>
      </c>
    </row>
    <row r="2674" spans="2:5">
      <c r="B2674" s="1115">
        <v>45034</v>
      </c>
      <c r="C2674" s="242">
        <f t="shared" si="83"/>
        <v>4</v>
      </c>
      <c r="D2674" s="242">
        <v>47.5</v>
      </c>
      <c r="E2674" s="845">
        <f t="shared" si="84"/>
        <v>8.6111111111111107</v>
      </c>
    </row>
    <row r="2675" spans="2:5">
      <c r="B2675" s="1115">
        <v>45034</v>
      </c>
      <c r="C2675" s="242">
        <f t="shared" si="83"/>
        <v>4</v>
      </c>
      <c r="D2675" s="242">
        <v>46.9</v>
      </c>
      <c r="E2675" s="845">
        <f t="shared" si="84"/>
        <v>8.2777777777777768</v>
      </c>
    </row>
    <row r="2676" spans="2:5">
      <c r="B2676" s="1115">
        <v>45034</v>
      </c>
      <c r="C2676" s="242">
        <f t="shared" si="83"/>
        <v>4</v>
      </c>
      <c r="D2676" s="242">
        <v>46.8</v>
      </c>
      <c r="E2676" s="845">
        <f t="shared" si="84"/>
        <v>8.2222222222222197</v>
      </c>
    </row>
    <row r="2677" spans="2:5">
      <c r="B2677" s="1115">
        <v>45034</v>
      </c>
      <c r="C2677" s="242">
        <f t="shared" si="83"/>
        <v>4</v>
      </c>
      <c r="D2677" s="242">
        <v>46.8</v>
      </c>
      <c r="E2677" s="845">
        <f t="shared" si="84"/>
        <v>8.2222222222222197</v>
      </c>
    </row>
    <row r="2678" spans="2:5">
      <c r="B2678" s="1115">
        <v>45034</v>
      </c>
      <c r="C2678" s="242">
        <f t="shared" si="83"/>
        <v>4</v>
      </c>
      <c r="D2678" s="242">
        <v>46.8</v>
      </c>
      <c r="E2678" s="845">
        <f t="shared" si="84"/>
        <v>8.2222222222222197</v>
      </c>
    </row>
    <row r="2679" spans="2:5">
      <c r="B2679" s="1115">
        <v>45034</v>
      </c>
      <c r="C2679" s="242">
        <f t="shared" si="83"/>
        <v>4</v>
      </c>
      <c r="D2679" s="242">
        <v>46.9</v>
      </c>
      <c r="E2679" s="845">
        <f t="shared" si="84"/>
        <v>8.2777777777777768</v>
      </c>
    </row>
    <row r="2680" spans="2:5">
      <c r="B2680" s="1115">
        <v>45034</v>
      </c>
      <c r="C2680" s="242">
        <f t="shared" si="83"/>
        <v>4</v>
      </c>
      <c r="D2680" s="242">
        <v>47.7</v>
      </c>
      <c r="E2680" s="845">
        <f t="shared" si="84"/>
        <v>8.7222222222222232</v>
      </c>
    </row>
    <row r="2681" spans="2:5">
      <c r="B2681" s="1115">
        <v>45034</v>
      </c>
      <c r="C2681" s="242">
        <f t="shared" si="83"/>
        <v>4</v>
      </c>
      <c r="D2681" s="242">
        <v>48.4</v>
      </c>
      <c r="E2681" s="845">
        <f t="shared" si="84"/>
        <v>9.1111111111111107</v>
      </c>
    </row>
    <row r="2682" spans="2:5">
      <c r="B2682" s="1115">
        <v>45034</v>
      </c>
      <c r="C2682" s="242">
        <f t="shared" si="83"/>
        <v>4</v>
      </c>
      <c r="D2682" s="242">
        <v>48.9</v>
      </c>
      <c r="E2682" s="845">
        <f t="shared" si="84"/>
        <v>9.3888888888888875</v>
      </c>
    </row>
    <row r="2683" spans="2:5">
      <c r="B2683" s="1115">
        <v>45034</v>
      </c>
      <c r="C2683" s="242">
        <f t="shared" si="83"/>
        <v>4</v>
      </c>
      <c r="D2683" s="242">
        <v>49.5</v>
      </c>
      <c r="E2683" s="845">
        <f t="shared" si="84"/>
        <v>9.7222222222222214</v>
      </c>
    </row>
    <row r="2684" spans="2:5">
      <c r="B2684" s="1115">
        <v>45034</v>
      </c>
      <c r="C2684" s="242">
        <f t="shared" si="83"/>
        <v>4</v>
      </c>
      <c r="D2684" s="242">
        <v>49.6</v>
      </c>
      <c r="E2684" s="845">
        <f t="shared" si="84"/>
        <v>9.7777777777777786</v>
      </c>
    </row>
    <row r="2685" spans="2:5">
      <c r="B2685" s="1115">
        <v>45034</v>
      </c>
      <c r="C2685" s="242">
        <f t="shared" si="83"/>
        <v>4</v>
      </c>
      <c r="D2685" s="242">
        <v>48.7</v>
      </c>
      <c r="E2685" s="845">
        <f t="shared" si="84"/>
        <v>9.2777777777777786</v>
      </c>
    </row>
    <row r="2686" spans="2:5">
      <c r="B2686" s="1115">
        <v>45034</v>
      </c>
      <c r="C2686" s="242">
        <f t="shared" si="83"/>
        <v>4</v>
      </c>
      <c r="D2686" s="242">
        <v>47.8</v>
      </c>
      <c r="E2686" s="845">
        <f t="shared" si="84"/>
        <v>8.7777777777777768</v>
      </c>
    </row>
    <row r="2687" spans="2:5">
      <c r="B2687" s="1115">
        <v>45034</v>
      </c>
      <c r="C2687" s="242">
        <f t="shared" si="83"/>
        <v>4</v>
      </c>
      <c r="D2687" s="242">
        <v>47.1</v>
      </c>
      <c r="E2687" s="845">
        <f t="shared" si="84"/>
        <v>8.3888888888888893</v>
      </c>
    </row>
    <row r="2688" spans="2:5">
      <c r="B2688" s="1115">
        <v>45034</v>
      </c>
      <c r="C2688" s="242">
        <f t="shared" si="83"/>
        <v>4</v>
      </c>
      <c r="D2688" s="242">
        <v>46.9</v>
      </c>
      <c r="E2688" s="845">
        <f t="shared" si="84"/>
        <v>8.2777777777777768</v>
      </c>
    </row>
    <row r="2689" spans="2:5">
      <c r="B2689" s="1115">
        <v>45034</v>
      </c>
      <c r="C2689" s="242">
        <f t="shared" si="83"/>
        <v>4</v>
      </c>
      <c r="D2689" s="242">
        <v>46.9</v>
      </c>
      <c r="E2689" s="845">
        <f t="shared" si="84"/>
        <v>8.2777777777777768</v>
      </c>
    </row>
    <row r="2690" spans="2:5">
      <c r="B2690" s="1115">
        <v>45034</v>
      </c>
      <c r="C2690" s="242">
        <f t="shared" si="83"/>
        <v>4</v>
      </c>
      <c r="D2690" s="242">
        <v>47.1</v>
      </c>
      <c r="E2690" s="845">
        <f t="shared" si="84"/>
        <v>8.3888888888888893</v>
      </c>
    </row>
    <row r="2691" spans="2:5">
      <c r="B2691" s="1115">
        <v>45034</v>
      </c>
      <c r="C2691" s="242">
        <f t="shared" si="83"/>
        <v>4</v>
      </c>
      <c r="D2691" s="242">
        <v>47.1</v>
      </c>
      <c r="E2691" s="845">
        <f t="shared" si="84"/>
        <v>8.3888888888888893</v>
      </c>
    </row>
    <row r="2692" spans="2:5">
      <c r="B2692" s="1115">
        <v>45034</v>
      </c>
      <c r="C2692" s="242">
        <f t="shared" si="83"/>
        <v>4</v>
      </c>
      <c r="D2692" s="242">
        <v>47.8</v>
      </c>
      <c r="E2692" s="845">
        <f t="shared" si="84"/>
        <v>8.7777777777777768</v>
      </c>
    </row>
    <row r="2693" spans="2:5">
      <c r="B2693" s="1115">
        <v>45034</v>
      </c>
      <c r="C2693" s="242">
        <f t="shared" si="83"/>
        <v>4</v>
      </c>
      <c r="D2693" s="242">
        <v>48.6</v>
      </c>
      <c r="E2693" s="845">
        <f t="shared" si="84"/>
        <v>9.2222222222222232</v>
      </c>
    </row>
    <row r="2694" spans="2:5">
      <c r="B2694" s="1115">
        <v>45034</v>
      </c>
      <c r="C2694" s="242">
        <f t="shared" si="83"/>
        <v>4</v>
      </c>
      <c r="D2694" s="242">
        <v>49.3</v>
      </c>
      <c r="E2694" s="845">
        <f t="shared" si="84"/>
        <v>9.6111111111111089</v>
      </c>
    </row>
    <row r="2695" spans="2:5">
      <c r="B2695" s="1115">
        <v>45034</v>
      </c>
      <c r="C2695" s="242">
        <f t="shared" si="83"/>
        <v>4</v>
      </c>
      <c r="D2695" s="242">
        <v>49.8</v>
      </c>
      <c r="E2695" s="845">
        <f t="shared" si="84"/>
        <v>9.8888888888888875</v>
      </c>
    </row>
    <row r="2696" spans="2:5">
      <c r="B2696" s="1115">
        <v>45034</v>
      </c>
      <c r="C2696" s="242">
        <f t="shared" si="83"/>
        <v>4</v>
      </c>
      <c r="D2696" s="242">
        <v>50.2</v>
      </c>
      <c r="E2696" s="845">
        <f t="shared" si="84"/>
        <v>10.111111111111112</v>
      </c>
    </row>
    <row r="2697" spans="2:5">
      <c r="B2697" s="1115">
        <v>45035</v>
      </c>
      <c r="C2697" s="242">
        <f t="shared" si="83"/>
        <v>4</v>
      </c>
      <c r="D2697" s="242">
        <v>49.8</v>
      </c>
      <c r="E2697" s="845">
        <f t="shared" si="84"/>
        <v>9.8888888888888875</v>
      </c>
    </row>
    <row r="2698" spans="2:5">
      <c r="B2698" s="1115">
        <v>45035</v>
      </c>
      <c r="C2698" s="242">
        <f t="shared" ref="C2698:C2761" si="85">MONTH(B2698)</f>
        <v>4</v>
      </c>
      <c r="D2698" s="242">
        <v>48.9</v>
      </c>
      <c r="E2698" s="845">
        <f t="shared" ref="E2698:E2761" si="86">CONVERT(D2698,"F","C")</f>
        <v>9.3888888888888875</v>
      </c>
    </row>
    <row r="2699" spans="2:5">
      <c r="B2699" s="1115">
        <v>45035</v>
      </c>
      <c r="C2699" s="242">
        <f t="shared" si="85"/>
        <v>4</v>
      </c>
      <c r="D2699" s="242">
        <v>47.8</v>
      </c>
      <c r="E2699" s="845">
        <f t="shared" si="86"/>
        <v>8.7777777777777768</v>
      </c>
    </row>
    <row r="2700" spans="2:5">
      <c r="B2700" s="1115">
        <v>45035</v>
      </c>
      <c r="C2700" s="242">
        <f t="shared" si="85"/>
        <v>4</v>
      </c>
      <c r="D2700" s="242">
        <v>46.8</v>
      </c>
      <c r="E2700" s="845">
        <f t="shared" si="86"/>
        <v>8.2222222222222197</v>
      </c>
    </row>
    <row r="2701" spans="2:5">
      <c r="B2701" s="1115">
        <v>45035</v>
      </c>
      <c r="C2701" s="242">
        <f t="shared" si="85"/>
        <v>4</v>
      </c>
      <c r="D2701" s="242">
        <v>46.2</v>
      </c>
      <c r="E2701" s="845">
        <f t="shared" si="86"/>
        <v>7.8888888888888902</v>
      </c>
    </row>
    <row r="2702" spans="2:5">
      <c r="B2702" s="1115">
        <v>45035</v>
      </c>
      <c r="C2702" s="242">
        <f t="shared" si="85"/>
        <v>4</v>
      </c>
      <c r="D2702" s="242">
        <v>46.2</v>
      </c>
      <c r="E2702" s="845">
        <f t="shared" si="86"/>
        <v>7.8888888888888902</v>
      </c>
    </row>
    <row r="2703" spans="2:5">
      <c r="B2703" s="1115">
        <v>45035</v>
      </c>
      <c r="C2703" s="242">
        <f t="shared" si="85"/>
        <v>4</v>
      </c>
      <c r="D2703" s="242">
        <v>46.4</v>
      </c>
      <c r="E2703" s="845">
        <f t="shared" si="86"/>
        <v>7.9999999999999991</v>
      </c>
    </row>
    <row r="2704" spans="2:5">
      <c r="B2704" s="1115">
        <v>45035</v>
      </c>
      <c r="C2704" s="242">
        <f t="shared" si="85"/>
        <v>4</v>
      </c>
      <c r="D2704" s="242">
        <v>46.8</v>
      </c>
      <c r="E2704" s="845">
        <f t="shared" si="86"/>
        <v>8.2222222222222197</v>
      </c>
    </row>
    <row r="2705" spans="2:5">
      <c r="B2705" s="1115">
        <v>45035</v>
      </c>
      <c r="C2705" s="242">
        <f t="shared" si="85"/>
        <v>4</v>
      </c>
      <c r="D2705" s="242">
        <v>47.8</v>
      </c>
      <c r="E2705" s="845">
        <f t="shared" si="86"/>
        <v>8.7777777777777768</v>
      </c>
    </row>
    <row r="2706" spans="2:5">
      <c r="B2706" s="1115">
        <v>45035</v>
      </c>
      <c r="C2706" s="242">
        <f t="shared" si="85"/>
        <v>4</v>
      </c>
      <c r="D2706" s="242">
        <v>48.7</v>
      </c>
      <c r="E2706" s="845">
        <f t="shared" si="86"/>
        <v>9.2777777777777786</v>
      </c>
    </row>
    <row r="2707" spans="2:5">
      <c r="B2707" s="1115">
        <v>45035</v>
      </c>
      <c r="C2707" s="242">
        <f t="shared" si="85"/>
        <v>4</v>
      </c>
      <c r="D2707" s="242">
        <v>49.3</v>
      </c>
      <c r="E2707" s="845">
        <f t="shared" si="86"/>
        <v>9.6111111111111089</v>
      </c>
    </row>
    <row r="2708" spans="2:5">
      <c r="B2708" s="1115">
        <v>45035</v>
      </c>
      <c r="C2708" s="242">
        <f t="shared" si="85"/>
        <v>4</v>
      </c>
      <c r="D2708" s="242">
        <v>49.8</v>
      </c>
      <c r="E2708" s="845">
        <f t="shared" si="86"/>
        <v>9.8888888888888875</v>
      </c>
    </row>
    <row r="2709" spans="2:5">
      <c r="B2709" s="1115">
        <v>45035</v>
      </c>
      <c r="C2709" s="242">
        <f t="shared" si="85"/>
        <v>4</v>
      </c>
      <c r="D2709" s="242">
        <v>49.8</v>
      </c>
      <c r="E2709" s="845">
        <f t="shared" si="86"/>
        <v>9.8888888888888875</v>
      </c>
    </row>
    <row r="2710" spans="2:5">
      <c r="B2710" s="1115">
        <v>45035</v>
      </c>
      <c r="C2710" s="242">
        <f t="shared" si="85"/>
        <v>4</v>
      </c>
      <c r="D2710" s="242">
        <v>48.7</v>
      </c>
      <c r="E2710" s="845">
        <f t="shared" si="86"/>
        <v>9.2777777777777786</v>
      </c>
    </row>
    <row r="2711" spans="2:5">
      <c r="B2711" s="1115">
        <v>45035</v>
      </c>
      <c r="C2711" s="242">
        <f t="shared" si="85"/>
        <v>4</v>
      </c>
      <c r="D2711" s="242">
        <v>47.8</v>
      </c>
      <c r="E2711" s="845">
        <f t="shared" si="86"/>
        <v>8.7777777777777768</v>
      </c>
    </row>
    <row r="2712" spans="2:5">
      <c r="B2712" s="1115">
        <v>45035</v>
      </c>
      <c r="C2712" s="242">
        <f t="shared" si="85"/>
        <v>4</v>
      </c>
      <c r="D2712" s="242">
        <v>46.6</v>
      </c>
      <c r="E2712" s="845">
        <f t="shared" si="86"/>
        <v>8.1111111111111125</v>
      </c>
    </row>
    <row r="2713" spans="2:5">
      <c r="B2713" s="1115">
        <v>45035</v>
      </c>
      <c r="C2713" s="242">
        <f t="shared" si="85"/>
        <v>4</v>
      </c>
      <c r="D2713" s="242">
        <v>45.9</v>
      </c>
      <c r="E2713" s="845">
        <f t="shared" si="86"/>
        <v>7.7222222222222214</v>
      </c>
    </row>
    <row r="2714" spans="2:5">
      <c r="B2714" s="1115">
        <v>45035</v>
      </c>
      <c r="C2714" s="242">
        <f t="shared" si="85"/>
        <v>4</v>
      </c>
      <c r="D2714" s="242">
        <v>45.5</v>
      </c>
      <c r="E2714" s="845">
        <f t="shared" si="86"/>
        <v>7.5</v>
      </c>
    </row>
    <row r="2715" spans="2:5">
      <c r="B2715" s="1115">
        <v>45035</v>
      </c>
      <c r="C2715" s="242">
        <f t="shared" si="85"/>
        <v>4</v>
      </c>
      <c r="D2715" s="242">
        <v>45.7</v>
      </c>
      <c r="E2715" s="845">
        <f t="shared" si="86"/>
        <v>7.6111111111111125</v>
      </c>
    </row>
    <row r="2716" spans="2:5">
      <c r="B2716" s="1115">
        <v>45035</v>
      </c>
      <c r="C2716" s="242">
        <f t="shared" si="85"/>
        <v>4</v>
      </c>
      <c r="D2716" s="242" t="s">
        <v>1842</v>
      </c>
      <c r="E2716" s="845">
        <f t="shared" si="86"/>
        <v>7.7777777777777777</v>
      </c>
    </row>
    <row r="2717" spans="2:5">
      <c r="B2717" s="1115">
        <v>45035</v>
      </c>
      <c r="C2717" s="242">
        <f t="shared" si="85"/>
        <v>4</v>
      </c>
      <c r="D2717" s="242">
        <v>46.9</v>
      </c>
      <c r="E2717" s="845">
        <f t="shared" si="86"/>
        <v>8.2777777777777768</v>
      </c>
    </row>
    <row r="2718" spans="2:5">
      <c r="B2718" s="1115">
        <v>45035</v>
      </c>
      <c r="C2718" s="242">
        <f t="shared" si="85"/>
        <v>4</v>
      </c>
      <c r="D2718" s="242">
        <v>48.4</v>
      </c>
      <c r="E2718" s="845">
        <f t="shared" si="86"/>
        <v>9.1111111111111107</v>
      </c>
    </row>
    <row r="2719" spans="2:5">
      <c r="B2719" s="1115">
        <v>45035</v>
      </c>
      <c r="C2719" s="242">
        <f t="shared" si="85"/>
        <v>4</v>
      </c>
      <c r="D2719" s="242">
        <v>48.9</v>
      </c>
      <c r="E2719" s="845">
        <f t="shared" si="86"/>
        <v>9.3888888888888875</v>
      </c>
    </row>
    <row r="2720" spans="2:5">
      <c r="B2720" s="1115">
        <v>45035</v>
      </c>
      <c r="C2720" s="242">
        <f t="shared" si="85"/>
        <v>4</v>
      </c>
      <c r="D2720" s="242">
        <v>49.6</v>
      </c>
      <c r="E2720" s="845">
        <f t="shared" si="86"/>
        <v>9.7777777777777786</v>
      </c>
    </row>
    <row r="2721" spans="2:5">
      <c r="B2721" s="1115">
        <v>45036</v>
      </c>
      <c r="C2721" s="242">
        <f t="shared" si="85"/>
        <v>4</v>
      </c>
      <c r="D2721" s="242">
        <v>49.8</v>
      </c>
      <c r="E2721" s="845">
        <f t="shared" si="86"/>
        <v>9.8888888888888875</v>
      </c>
    </row>
    <row r="2722" spans="2:5">
      <c r="B2722" s="1115">
        <v>45036</v>
      </c>
      <c r="C2722" s="242">
        <f t="shared" si="85"/>
        <v>4</v>
      </c>
      <c r="D2722" s="242">
        <v>49.1</v>
      </c>
      <c r="E2722" s="845">
        <f t="shared" si="86"/>
        <v>9.5</v>
      </c>
    </row>
    <row r="2723" spans="2:5">
      <c r="B2723" s="1115">
        <v>45036</v>
      </c>
      <c r="C2723" s="242">
        <f t="shared" si="85"/>
        <v>4</v>
      </c>
      <c r="D2723" s="242" t="s">
        <v>1843</v>
      </c>
      <c r="E2723" s="845">
        <f t="shared" si="86"/>
        <v>8.8888888888888893</v>
      </c>
    </row>
    <row r="2724" spans="2:5">
      <c r="B2724" s="1115">
        <v>45036</v>
      </c>
      <c r="C2724" s="242">
        <f t="shared" si="85"/>
        <v>4</v>
      </c>
      <c r="D2724" s="242">
        <v>46.4</v>
      </c>
      <c r="E2724" s="845">
        <f t="shared" si="86"/>
        <v>7.9999999999999991</v>
      </c>
    </row>
    <row r="2725" spans="2:5">
      <c r="B2725" s="1115">
        <v>45036</v>
      </c>
      <c r="C2725" s="242">
        <f t="shared" si="85"/>
        <v>4</v>
      </c>
      <c r="D2725" s="242">
        <v>45.5</v>
      </c>
      <c r="E2725" s="845">
        <f t="shared" si="86"/>
        <v>7.5</v>
      </c>
    </row>
    <row r="2726" spans="2:5">
      <c r="B2726" s="1115">
        <v>45036</v>
      </c>
      <c r="C2726" s="242">
        <f t="shared" si="85"/>
        <v>4</v>
      </c>
      <c r="D2726" s="242">
        <v>45.1</v>
      </c>
      <c r="E2726" s="845">
        <f t="shared" si="86"/>
        <v>7.2777777777777786</v>
      </c>
    </row>
    <row r="2727" spans="2:5">
      <c r="B2727" s="1115">
        <v>45036</v>
      </c>
      <c r="C2727" s="242">
        <f t="shared" si="85"/>
        <v>4</v>
      </c>
      <c r="D2727" s="242">
        <v>45.1</v>
      </c>
      <c r="E2727" s="845">
        <f t="shared" si="86"/>
        <v>7.2777777777777786</v>
      </c>
    </row>
    <row r="2728" spans="2:5">
      <c r="B2728" s="1115">
        <v>45036</v>
      </c>
      <c r="C2728" s="242">
        <f t="shared" si="85"/>
        <v>4</v>
      </c>
      <c r="D2728" s="242">
        <v>45.3</v>
      </c>
      <c r="E2728" s="845">
        <f t="shared" si="86"/>
        <v>7.3888888888888875</v>
      </c>
    </row>
    <row r="2729" spans="2:5">
      <c r="B2729" s="1115">
        <v>45036</v>
      </c>
      <c r="C2729" s="242">
        <f t="shared" si="85"/>
        <v>4</v>
      </c>
      <c r="D2729" s="242" t="s">
        <v>1842</v>
      </c>
      <c r="E2729" s="845">
        <f t="shared" si="86"/>
        <v>7.7777777777777777</v>
      </c>
    </row>
    <row r="2730" spans="2:5">
      <c r="B2730" s="1115">
        <v>45036</v>
      </c>
      <c r="C2730" s="242">
        <f t="shared" si="85"/>
        <v>4</v>
      </c>
      <c r="D2730" s="242">
        <v>47.3</v>
      </c>
      <c r="E2730" s="845">
        <f t="shared" si="86"/>
        <v>8.4999999999999982</v>
      </c>
    </row>
    <row r="2731" spans="2:5">
      <c r="B2731" s="1115">
        <v>45036</v>
      </c>
      <c r="C2731" s="242">
        <f t="shared" si="85"/>
        <v>4</v>
      </c>
      <c r="D2731" s="242" t="s">
        <v>1843</v>
      </c>
      <c r="E2731" s="845">
        <f t="shared" si="86"/>
        <v>8.8888888888888893</v>
      </c>
    </row>
    <row r="2732" spans="2:5">
      <c r="B2732" s="1115">
        <v>45036</v>
      </c>
      <c r="C2732" s="242">
        <f t="shared" si="85"/>
        <v>4</v>
      </c>
      <c r="D2732" s="242">
        <v>48.7</v>
      </c>
      <c r="E2732" s="845">
        <f t="shared" si="86"/>
        <v>9.2777777777777786</v>
      </c>
    </row>
    <row r="2733" spans="2:5">
      <c r="B2733" s="1115">
        <v>45036</v>
      </c>
      <c r="C2733" s="242">
        <f t="shared" si="85"/>
        <v>4</v>
      </c>
      <c r="D2733" s="242">
        <v>49.1</v>
      </c>
      <c r="E2733" s="845">
        <f t="shared" si="86"/>
        <v>9.5</v>
      </c>
    </row>
    <row r="2734" spans="2:5">
      <c r="B2734" s="1115">
        <v>45036</v>
      </c>
      <c r="C2734" s="242">
        <f t="shared" si="85"/>
        <v>4</v>
      </c>
      <c r="D2734" s="242">
        <v>49.1</v>
      </c>
      <c r="E2734" s="845">
        <f t="shared" si="86"/>
        <v>9.5</v>
      </c>
    </row>
    <row r="2735" spans="2:5">
      <c r="B2735" s="1115">
        <v>45036</v>
      </c>
      <c r="C2735" s="242">
        <f t="shared" si="85"/>
        <v>4</v>
      </c>
      <c r="D2735" s="242">
        <v>47.8</v>
      </c>
      <c r="E2735" s="845">
        <f t="shared" si="86"/>
        <v>8.7777777777777768</v>
      </c>
    </row>
    <row r="2736" spans="2:5">
      <c r="B2736" s="1115">
        <v>45036</v>
      </c>
      <c r="C2736" s="242">
        <f t="shared" si="85"/>
        <v>4</v>
      </c>
      <c r="D2736" s="242">
        <v>46.8</v>
      </c>
      <c r="E2736" s="845">
        <f t="shared" si="86"/>
        <v>8.2222222222222197</v>
      </c>
    </row>
    <row r="2737" spans="2:5">
      <c r="B2737" s="1115">
        <v>45036</v>
      </c>
      <c r="C2737" s="242">
        <f t="shared" si="85"/>
        <v>4</v>
      </c>
      <c r="D2737" s="242">
        <v>45.5</v>
      </c>
      <c r="E2737" s="845">
        <f t="shared" si="86"/>
        <v>7.5</v>
      </c>
    </row>
    <row r="2738" spans="2:5">
      <c r="B2738" s="1115">
        <v>45036</v>
      </c>
      <c r="C2738" s="242">
        <f t="shared" si="85"/>
        <v>4</v>
      </c>
      <c r="D2738" s="242">
        <v>45.3</v>
      </c>
      <c r="E2738" s="845">
        <f t="shared" si="86"/>
        <v>7.3888888888888875</v>
      </c>
    </row>
    <row r="2739" spans="2:5">
      <c r="B2739" s="1115">
        <v>45036</v>
      </c>
      <c r="C2739" s="242">
        <f t="shared" si="85"/>
        <v>4</v>
      </c>
      <c r="D2739" s="242">
        <v>45.1</v>
      </c>
      <c r="E2739" s="845">
        <f t="shared" si="86"/>
        <v>7.2777777777777786</v>
      </c>
    </row>
    <row r="2740" spans="2:5">
      <c r="B2740" s="1115">
        <v>45036</v>
      </c>
      <c r="C2740" s="242">
        <f t="shared" si="85"/>
        <v>4</v>
      </c>
      <c r="D2740" s="242">
        <v>45.7</v>
      </c>
      <c r="E2740" s="845">
        <f t="shared" si="86"/>
        <v>7.6111111111111125</v>
      </c>
    </row>
    <row r="2741" spans="2:5">
      <c r="B2741" s="1115">
        <v>45036</v>
      </c>
      <c r="C2741" s="242">
        <f t="shared" si="85"/>
        <v>4</v>
      </c>
      <c r="D2741" s="242">
        <v>45.9</v>
      </c>
      <c r="E2741" s="845">
        <f t="shared" si="86"/>
        <v>7.7222222222222214</v>
      </c>
    </row>
    <row r="2742" spans="2:5">
      <c r="B2742" s="1115">
        <v>45036</v>
      </c>
      <c r="C2742" s="242">
        <f t="shared" si="85"/>
        <v>4</v>
      </c>
      <c r="D2742" s="242">
        <v>46.9</v>
      </c>
      <c r="E2742" s="845">
        <f t="shared" si="86"/>
        <v>8.2777777777777768</v>
      </c>
    </row>
    <row r="2743" spans="2:5">
      <c r="B2743" s="1115">
        <v>45036</v>
      </c>
      <c r="C2743" s="242">
        <f t="shared" si="85"/>
        <v>4</v>
      </c>
      <c r="D2743" s="242">
        <v>48.2</v>
      </c>
      <c r="E2743" s="845">
        <f t="shared" si="86"/>
        <v>9.0000000000000018</v>
      </c>
    </row>
    <row r="2744" spans="2:5">
      <c r="B2744" s="1115">
        <v>45036</v>
      </c>
      <c r="C2744" s="242">
        <f t="shared" si="85"/>
        <v>4</v>
      </c>
      <c r="D2744" s="242">
        <v>48.9</v>
      </c>
      <c r="E2744" s="845">
        <f t="shared" si="86"/>
        <v>9.3888888888888875</v>
      </c>
    </row>
    <row r="2745" spans="2:5">
      <c r="B2745" s="1115">
        <v>45037</v>
      </c>
      <c r="C2745" s="242">
        <f t="shared" si="85"/>
        <v>4</v>
      </c>
      <c r="D2745" s="242">
        <v>49.5</v>
      </c>
      <c r="E2745" s="845">
        <f t="shared" si="86"/>
        <v>9.7222222222222214</v>
      </c>
    </row>
    <row r="2746" spans="2:5">
      <c r="B2746" s="1115">
        <v>45037</v>
      </c>
      <c r="C2746" s="242">
        <f t="shared" si="85"/>
        <v>4</v>
      </c>
      <c r="D2746" s="242">
        <v>49.5</v>
      </c>
      <c r="E2746" s="845">
        <f t="shared" si="86"/>
        <v>9.7222222222222214</v>
      </c>
    </row>
    <row r="2747" spans="2:5">
      <c r="B2747" s="1115">
        <v>45037</v>
      </c>
      <c r="C2747" s="242">
        <f t="shared" si="85"/>
        <v>4</v>
      </c>
      <c r="D2747" s="242">
        <v>48.2</v>
      </c>
      <c r="E2747" s="845">
        <f t="shared" si="86"/>
        <v>9.0000000000000018</v>
      </c>
    </row>
    <row r="2748" spans="2:5">
      <c r="B2748" s="1115">
        <v>45037</v>
      </c>
      <c r="C2748" s="242">
        <f t="shared" si="85"/>
        <v>4</v>
      </c>
      <c r="D2748" s="242">
        <v>46.9</v>
      </c>
      <c r="E2748" s="845">
        <f t="shared" si="86"/>
        <v>8.2777777777777768</v>
      </c>
    </row>
    <row r="2749" spans="2:5">
      <c r="B2749" s="1115">
        <v>45037</v>
      </c>
      <c r="C2749" s="242">
        <f t="shared" si="85"/>
        <v>4</v>
      </c>
      <c r="D2749" s="242">
        <v>45.7</v>
      </c>
      <c r="E2749" s="845">
        <f t="shared" si="86"/>
        <v>7.6111111111111125</v>
      </c>
    </row>
    <row r="2750" spans="2:5">
      <c r="B2750" s="1115">
        <v>45037</v>
      </c>
      <c r="C2750" s="242">
        <f t="shared" si="85"/>
        <v>4</v>
      </c>
      <c r="D2750" s="242">
        <v>45.3</v>
      </c>
      <c r="E2750" s="845">
        <f t="shared" si="86"/>
        <v>7.3888888888888875</v>
      </c>
    </row>
    <row r="2751" spans="2:5">
      <c r="B2751" s="1115">
        <v>45037</v>
      </c>
      <c r="C2751" s="242">
        <f t="shared" si="85"/>
        <v>4</v>
      </c>
      <c r="D2751" s="242">
        <v>45.3</v>
      </c>
      <c r="E2751" s="845">
        <f t="shared" si="86"/>
        <v>7.3888888888888875</v>
      </c>
    </row>
    <row r="2752" spans="2:5">
      <c r="B2752" s="1115">
        <v>45037</v>
      </c>
      <c r="C2752" s="242">
        <f t="shared" si="85"/>
        <v>4</v>
      </c>
      <c r="D2752" s="242">
        <v>45.5</v>
      </c>
      <c r="E2752" s="845">
        <f t="shared" si="86"/>
        <v>7.5</v>
      </c>
    </row>
    <row r="2753" spans="2:5">
      <c r="B2753" s="1115">
        <v>45037</v>
      </c>
      <c r="C2753" s="242">
        <f t="shared" si="85"/>
        <v>4</v>
      </c>
      <c r="D2753" s="242">
        <v>45.7</v>
      </c>
      <c r="E2753" s="845">
        <f t="shared" si="86"/>
        <v>7.6111111111111125</v>
      </c>
    </row>
    <row r="2754" spans="2:5">
      <c r="B2754" s="1115">
        <v>45037</v>
      </c>
      <c r="C2754" s="242">
        <f t="shared" si="85"/>
        <v>4</v>
      </c>
      <c r="D2754" s="242">
        <v>46.2</v>
      </c>
      <c r="E2754" s="845">
        <f t="shared" si="86"/>
        <v>7.8888888888888902</v>
      </c>
    </row>
    <row r="2755" spans="2:5">
      <c r="B2755" s="1115">
        <v>45037</v>
      </c>
      <c r="C2755" s="242">
        <f t="shared" si="85"/>
        <v>4</v>
      </c>
      <c r="D2755" s="242">
        <v>47.3</v>
      </c>
      <c r="E2755" s="845">
        <f t="shared" si="86"/>
        <v>8.4999999999999982</v>
      </c>
    </row>
    <row r="2756" spans="2:5">
      <c r="B2756" s="1115">
        <v>45037</v>
      </c>
      <c r="C2756" s="242">
        <f t="shared" si="85"/>
        <v>4</v>
      </c>
      <c r="D2756" s="242" t="s">
        <v>1843</v>
      </c>
      <c r="E2756" s="845">
        <f t="shared" si="86"/>
        <v>8.8888888888888893</v>
      </c>
    </row>
    <row r="2757" spans="2:5">
      <c r="B2757" s="1115">
        <v>45037</v>
      </c>
      <c r="C2757" s="242">
        <f t="shared" si="85"/>
        <v>4</v>
      </c>
      <c r="D2757" s="242">
        <v>48.7</v>
      </c>
      <c r="E2757" s="845">
        <f t="shared" si="86"/>
        <v>9.2777777777777786</v>
      </c>
    </row>
    <row r="2758" spans="2:5">
      <c r="B2758" s="1115">
        <v>45037</v>
      </c>
      <c r="C2758" s="242">
        <f t="shared" si="85"/>
        <v>4</v>
      </c>
      <c r="D2758" s="242">
        <v>49.1</v>
      </c>
      <c r="E2758" s="845">
        <f t="shared" si="86"/>
        <v>9.5</v>
      </c>
    </row>
    <row r="2759" spans="2:5">
      <c r="B2759" s="1115">
        <v>45037</v>
      </c>
      <c r="C2759" s="242">
        <f t="shared" si="85"/>
        <v>4</v>
      </c>
      <c r="D2759" s="242">
        <v>48.9</v>
      </c>
      <c r="E2759" s="845">
        <f t="shared" si="86"/>
        <v>9.3888888888888875</v>
      </c>
    </row>
    <row r="2760" spans="2:5">
      <c r="B2760" s="1115">
        <v>45037</v>
      </c>
      <c r="C2760" s="242">
        <f t="shared" si="85"/>
        <v>4</v>
      </c>
      <c r="D2760" s="242">
        <v>47.5</v>
      </c>
      <c r="E2760" s="845">
        <f t="shared" si="86"/>
        <v>8.6111111111111107</v>
      </c>
    </row>
    <row r="2761" spans="2:5">
      <c r="B2761" s="1115">
        <v>45037</v>
      </c>
      <c r="C2761" s="242">
        <f t="shared" si="85"/>
        <v>4</v>
      </c>
      <c r="D2761" s="242">
        <v>46.6</v>
      </c>
      <c r="E2761" s="845">
        <f t="shared" si="86"/>
        <v>8.1111111111111125</v>
      </c>
    </row>
    <row r="2762" spans="2:5">
      <c r="B2762" s="1115">
        <v>45037</v>
      </c>
      <c r="C2762" s="242">
        <f t="shared" ref="C2762:C2825" si="87">MONTH(B2762)</f>
        <v>4</v>
      </c>
      <c r="D2762" s="242">
        <v>46.2</v>
      </c>
      <c r="E2762" s="845">
        <f t="shared" ref="E2762:E2825" si="88">CONVERT(D2762,"F","C")</f>
        <v>7.8888888888888902</v>
      </c>
    </row>
    <row r="2763" spans="2:5">
      <c r="B2763" s="1115">
        <v>45037</v>
      </c>
      <c r="C2763" s="242">
        <f t="shared" si="87"/>
        <v>4</v>
      </c>
      <c r="D2763" s="242">
        <v>46.2</v>
      </c>
      <c r="E2763" s="845">
        <f t="shared" si="88"/>
        <v>7.8888888888888902</v>
      </c>
    </row>
    <row r="2764" spans="2:5">
      <c r="B2764" s="1115">
        <v>45037</v>
      </c>
      <c r="C2764" s="242">
        <f t="shared" si="87"/>
        <v>4</v>
      </c>
      <c r="D2764" s="242" t="s">
        <v>1842</v>
      </c>
      <c r="E2764" s="845">
        <f t="shared" si="88"/>
        <v>7.7777777777777777</v>
      </c>
    </row>
    <row r="2765" spans="2:5">
      <c r="B2765" s="1115">
        <v>45037</v>
      </c>
      <c r="C2765" s="242">
        <f t="shared" si="87"/>
        <v>4</v>
      </c>
      <c r="D2765" s="242">
        <v>46.4</v>
      </c>
      <c r="E2765" s="845">
        <f t="shared" si="88"/>
        <v>7.9999999999999991</v>
      </c>
    </row>
    <row r="2766" spans="2:5">
      <c r="B2766" s="1115">
        <v>45037</v>
      </c>
      <c r="C2766" s="242">
        <f t="shared" si="87"/>
        <v>4</v>
      </c>
      <c r="D2766" s="242">
        <v>46.8</v>
      </c>
      <c r="E2766" s="845">
        <f t="shared" si="88"/>
        <v>8.2222222222222197</v>
      </c>
    </row>
    <row r="2767" spans="2:5">
      <c r="B2767" s="1115">
        <v>45037</v>
      </c>
      <c r="C2767" s="242">
        <f t="shared" si="87"/>
        <v>4</v>
      </c>
      <c r="D2767" s="242">
        <v>47.5</v>
      </c>
      <c r="E2767" s="845">
        <f t="shared" si="88"/>
        <v>8.6111111111111107</v>
      </c>
    </row>
    <row r="2768" spans="2:5">
      <c r="B2768" s="1115">
        <v>45037</v>
      </c>
      <c r="C2768" s="242">
        <f t="shared" si="87"/>
        <v>4</v>
      </c>
      <c r="D2768" s="242">
        <v>48.4</v>
      </c>
      <c r="E2768" s="845">
        <f t="shared" si="88"/>
        <v>9.1111111111111107</v>
      </c>
    </row>
    <row r="2769" spans="2:5">
      <c r="B2769" s="1115">
        <v>45038</v>
      </c>
      <c r="C2769" s="242">
        <f t="shared" si="87"/>
        <v>4</v>
      </c>
      <c r="D2769" s="242">
        <v>49.1</v>
      </c>
      <c r="E2769" s="845">
        <f t="shared" si="88"/>
        <v>9.5</v>
      </c>
    </row>
    <row r="2770" spans="2:5">
      <c r="B2770" s="1115">
        <v>45038</v>
      </c>
      <c r="C2770" s="242">
        <f t="shared" si="87"/>
        <v>4</v>
      </c>
      <c r="D2770" s="242">
        <v>49.5</v>
      </c>
      <c r="E2770" s="845">
        <f t="shared" si="88"/>
        <v>9.7222222222222214</v>
      </c>
    </row>
    <row r="2771" spans="2:5">
      <c r="B2771" s="1115">
        <v>45038</v>
      </c>
      <c r="C2771" s="242">
        <f t="shared" si="87"/>
        <v>4</v>
      </c>
      <c r="D2771" s="242">
        <v>49.1</v>
      </c>
      <c r="E2771" s="845">
        <f t="shared" si="88"/>
        <v>9.5</v>
      </c>
    </row>
    <row r="2772" spans="2:5">
      <c r="B2772" s="1115">
        <v>45038</v>
      </c>
      <c r="C2772" s="242">
        <f t="shared" si="87"/>
        <v>4</v>
      </c>
      <c r="D2772" s="242" t="s">
        <v>1843</v>
      </c>
      <c r="E2772" s="845">
        <f t="shared" si="88"/>
        <v>8.8888888888888893</v>
      </c>
    </row>
    <row r="2773" spans="2:5">
      <c r="B2773" s="1115">
        <v>45038</v>
      </c>
      <c r="C2773" s="242">
        <f t="shared" si="87"/>
        <v>4</v>
      </c>
      <c r="D2773" s="242">
        <v>46.9</v>
      </c>
      <c r="E2773" s="845">
        <f t="shared" si="88"/>
        <v>8.2777777777777768</v>
      </c>
    </row>
    <row r="2774" spans="2:5">
      <c r="B2774" s="1115">
        <v>45038</v>
      </c>
      <c r="C2774" s="242">
        <f t="shared" si="87"/>
        <v>4</v>
      </c>
      <c r="D2774" s="242">
        <v>46.4</v>
      </c>
      <c r="E2774" s="845">
        <f t="shared" si="88"/>
        <v>7.9999999999999991</v>
      </c>
    </row>
    <row r="2775" spans="2:5">
      <c r="B2775" s="1115">
        <v>45038</v>
      </c>
      <c r="C2775" s="242">
        <f t="shared" si="87"/>
        <v>4</v>
      </c>
      <c r="D2775" s="242" t="s">
        <v>1842</v>
      </c>
      <c r="E2775" s="845">
        <f t="shared" si="88"/>
        <v>7.7777777777777777</v>
      </c>
    </row>
    <row r="2776" spans="2:5">
      <c r="B2776" s="1115">
        <v>45038</v>
      </c>
      <c r="C2776" s="242">
        <f t="shared" si="87"/>
        <v>4</v>
      </c>
      <c r="D2776" s="242" t="s">
        <v>1842</v>
      </c>
      <c r="E2776" s="845">
        <f t="shared" si="88"/>
        <v>7.7777777777777777</v>
      </c>
    </row>
    <row r="2777" spans="2:5">
      <c r="B2777" s="1115">
        <v>45038</v>
      </c>
      <c r="C2777" s="242">
        <f t="shared" si="87"/>
        <v>4</v>
      </c>
      <c r="D2777" s="242">
        <v>46.2</v>
      </c>
      <c r="E2777" s="845">
        <f t="shared" si="88"/>
        <v>7.8888888888888902</v>
      </c>
    </row>
    <row r="2778" spans="2:5">
      <c r="B2778" s="1115">
        <v>45038</v>
      </c>
      <c r="C2778" s="242">
        <f t="shared" si="87"/>
        <v>4</v>
      </c>
      <c r="D2778" s="242">
        <v>46.4</v>
      </c>
      <c r="E2778" s="845">
        <f t="shared" si="88"/>
        <v>7.9999999999999991</v>
      </c>
    </row>
    <row r="2779" spans="2:5">
      <c r="B2779" s="1115">
        <v>45038</v>
      </c>
      <c r="C2779" s="242">
        <f t="shared" si="87"/>
        <v>4</v>
      </c>
      <c r="D2779" s="242">
        <v>46.9</v>
      </c>
      <c r="E2779" s="845">
        <f t="shared" si="88"/>
        <v>8.2777777777777768</v>
      </c>
    </row>
    <row r="2780" spans="2:5">
      <c r="B2780" s="1115">
        <v>45038</v>
      </c>
      <c r="C2780" s="242">
        <f t="shared" si="87"/>
        <v>4</v>
      </c>
      <c r="D2780" s="242">
        <v>47.8</v>
      </c>
      <c r="E2780" s="845">
        <f t="shared" si="88"/>
        <v>8.7777777777777768</v>
      </c>
    </row>
    <row r="2781" spans="2:5">
      <c r="B2781" s="1115">
        <v>45038</v>
      </c>
      <c r="C2781" s="242">
        <f t="shared" si="87"/>
        <v>4</v>
      </c>
      <c r="D2781" s="242">
        <v>48.4</v>
      </c>
      <c r="E2781" s="845">
        <f t="shared" si="88"/>
        <v>9.1111111111111107</v>
      </c>
    </row>
    <row r="2782" spans="2:5">
      <c r="B2782" s="1115">
        <v>45038</v>
      </c>
      <c r="C2782" s="242">
        <f t="shared" si="87"/>
        <v>4</v>
      </c>
      <c r="D2782" s="242">
        <v>49.1</v>
      </c>
      <c r="E2782" s="845">
        <f t="shared" si="88"/>
        <v>9.5</v>
      </c>
    </row>
    <row r="2783" spans="2:5">
      <c r="B2783" s="1115">
        <v>45038</v>
      </c>
      <c r="C2783" s="242">
        <f t="shared" si="87"/>
        <v>4</v>
      </c>
      <c r="D2783" s="242">
        <v>49.5</v>
      </c>
      <c r="E2783" s="845">
        <f t="shared" si="88"/>
        <v>9.7222222222222214</v>
      </c>
    </row>
    <row r="2784" spans="2:5">
      <c r="B2784" s="1115">
        <v>45038</v>
      </c>
      <c r="C2784" s="242">
        <f t="shared" si="87"/>
        <v>4</v>
      </c>
      <c r="D2784" s="242">
        <v>49.1</v>
      </c>
      <c r="E2784" s="845">
        <f t="shared" si="88"/>
        <v>9.5</v>
      </c>
    </row>
    <row r="2785" spans="2:5">
      <c r="B2785" s="1115">
        <v>45038</v>
      </c>
      <c r="C2785" s="242">
        <f t="shared" si="87"/>
        <v>4</v>
      </c>
      <c r="D2785" s="242">
        <v>47.8</v>
      </c>
      <c r="E2785" s="845">
        <f t="shared" si="88"/>
        <v>8.7777777777777768</v>
      </c>
    </row>
    <row r="2786" spans="2:5">
      <c r="B2786" s="1115">
        <v>45038</v>
      </c>
      <c r="C2786" s="242">
        <f t="shared" si="87"/>
        <v>4</v>
      </c>
      <c r="D2786" s="242">
        <v>46.9</v>
      </c>
      <c r="E2786" s="845">
        <f t="shared" si="88"/>
        <v>8.2777777777777768</v>
      </c>
    </row>
    <row r="2787" spans="2:5">
      <c r="B2787" s="1115">
        <v>45038</v>
      </c>
      <c r="C2787" s="242">
        <f t="shared" si="87"/>
        <v>4</v>
      </c>
      <c r="D2787" s="242">
        <v>46.4</v>
      </c>
      <c r="E2787" s="845">
        <f t="shared" si="88"/>
        <v>7.9999999999999991</v>
      </c>
    </row>
    <row r="2788" spans="2:5">
      <c r="B2788" s="1115">
        <v>45038</v>
      </c>
      <c r="C2788" s="242">
        <f t="shared" si="87"/>
        <v>4</v>
      </c>
      <c r="D2788" s="242">
        <v>46.4</v>
      </c>
      <c r="E2788" s="845">
        <f t="shared" si="88"/>
        <v>7.9999999999999991</v>
      </c>
    </row>
    <row r="2789" spans="2:5">
      <c r="B2789" s="1115">
        <v>45038</v>
      </c>
      <c r="C2789" s="242">
        <f t="shared" si="87"/>
        <v>4</v>
      </c>
      <c r="D2789" s="242">
        <v>46.4</v>
      </c>
      <c r="E2789" s="845">
        <f t="shared" si="88"/>
        <v>7.9999999999999991</v>
      </c>
    </row>
    <row r="2790" spans="2:5">
      <c r="B2790" s="1115">
        <v>45038</v>
      </c>
      <c r="C2790" s="242">
        <f t="shared" si="87"/>
        <v>4</v>
      </c>
      <c r="D2790" s="242">
        <v>46.8</v>
      </c>
      <c r="E2790" s="845">
        <f t="shared" si="88"/>
        <v>8.2222222222222197</v>
      </c>
    </row>
    <row r="2791" spans="2:5">
      <c r="B2791" s="1115">
        <v>45038</v>
      </c>
      <c r="C2791" s="242">
        <f t="shared" si="87"/>
        <v>4</v>
      </c>
      <c r="D2791" s="242">
        <v>47.1</v>
      </c>
      <c r="E2791" s="845">
        <f t="shared" si="88"/>
        <v>8.3888888888888893</v>
      </c>
    </row>
    <row r="2792" spans="2:5">
      <c r="B2792" s="1115">
        <v>45038</v>
      </c>
      <c r="C2792" s="242">
        <f t="shared" si="87"/>
        <v>4</v>
      </c>
      <c r="D2792" s="242">
        <v>47.8</v>
      </c>
      <c r="E2792" s="845">
        <f t="shared" si="88"/>
        <v>8.7777777777777768</v>
      </c>
    </row>
    <row r="2793" spans="2:5">
      <c r="B2793" s="1115">
        <v>45039</v>
      </c>
      <c r="C2793" s="242">
        <f t="shared" si="87"/>
        <v>4</v>
      </c>
      <c r="D2793" s="242">
        <v>48.7</v>
      </c>
      <c r="E2793" s="845">
        <f t="shared" si="88"/>
        <v>9.2777777777777786</v>
      </c>
    </row>
    <row r="2794" spans="2:5">
      <c r="B2794" s="1115">
        <v>45039</v>
      </c>
      <c r="C2794" s="242">
        <f t="shared" si="87"/>
        <v>4</v>
      </c>
      <c r="D2794" s="242">
        <v>49.3</v>
      </c>
      <c r="E2794" s="845">
        <f t="shared" si="88"/>
        <v>9.6111111111111089</v>
      </c>
    </row>
    <row r="2795" spans="2:5">
      <c r="B2795" s="1115">
        <v>45039</v>
      </c>
      <c r="C2795" s="242">
        <f t="shared" si="87"/>
        <v>4</v>
      </c>
      <c r="D2795" s="242">
        <v>49.5</v>
      </c>
      <c r="E2795" s="845">
        <f t="shared" si="88"/>
        <v>9.7222222222222214</v>
      </c>
    </row>
    <row r="2796" spans="2:5">
      <c r="B2796" s="1115">
        <v>45039</v>
      </c>
      <c r="C2796" s="242">
        <f t="shared" si="87"/>
        <v>4</v>
      </c>
      <c r="D2796" s="242">
        <v>48.7</v>
      </c>
      <c r="E2796" s="845">
        <f t="shared" si="88"/>
        <v>9.2777777777777786</v>
      </c>
    </row>
    <row r="2797" spans="2:5">
      <c r="B2797" s="1115">
        <v>45039</v>
      </c>
      <c r="C2797" s="242">
        <f t="shared" si="87"/>
        <v>4</v>
      </c>
      <c r="D2797" s="242" t="s">
        <v>1843</v>
      </c>
      <c r="E2797" s="845">
        <f t="shared" si="88"/>
        <v>8.8888888888888893</v>
      </c>
    </row>
    <row r="2798" spans="2:5">
      <c r="B2798" s="1115">
        <v>45039</v>
      </c>
      <c r="C2798" s="242">
        <f t="shared" si="87"/>
        <v>4</v>
      </c>
      <c r="D2798" s="242">
        <v>47.1</v>
      </c>
      <c r="E2798" s="845">
        <f t="shared" si="88"/>
        <v>8.3888888888888893</v>
      </c>
    </row>
    <row r="2799" spans="2:5">
      <c r="B2799" s="1115">
        <v>45039</v>
      </c>
      <c r="C2799" s="242">
        <f t="shared" si="87"/>
        <v>4</v>
      </c>
      <c r="D2799" s="242">
        <v>46.8</v>
      </c>
      <c r="E2799" s="845">
        <f t="shared" si="88"/>
        <v>8.2222222222222197</v>
      </c>
    </row>
    <row r="2800" spans="2:5">
      <c r="B2800" s="1115">
        <v>45039</v>
      </c>
      <c r="C2800" s="242">
        <f t="shared" si="87"/>
        <v>4</v>
      </c>
      <c r="D2800" s="242">
        <v>46.4</v>
      </c>
      <c r="E2800" s="845">
        <f t="shared" si="88"/>
        <v>7.9999999999999991</v>
      </c>
    </row>
    <row r="2801" spans="2:5">
      <c r="B2801" s="1115">
        <v>45039</v>
      </c>
      <c r="C2801" s="242">
        <f t="shared" si="87"/>
        <v>4</v>
      </c>
      <c r="D2801" s="242">
        <v>46.4</v>
      </c>
      <c r="E2801" s="845">
        <f t="shared" si="88"/>
        <v>7.9999999999999991</v>
      </c>
    </row>
    <row r="2802" spans="2:5">
      <c r="B2802" s="1115">
        <v>45039</v>
      </c>
      <c r="C2802" s="242">
        <f t="shared" si="87"/>
        <v>4</v>
      </c>
      <c r="D2802" s="242">
        <v>46.6</v>
      </c>
      <c r="E2802" s="845">
        <f t="shared" si="88"/>
        <v>8.1111111111111125</v>
      </c>
    </row>
    <row r="2803" spans="2:5">
      <c r="B2803" s="1115">
        <v>45039</v>
      </c>
      <c r="C2803" s="242">
        <f t="shared" si="87"/>
        <v>4</v>
      </c>
      <c r="D2803" s="242">
        <v>46.8</v>
      </c>
      <c r="E2803" s="845">
        <f t="shared" si="88"/>
        <v>8.2222222222222197</v>
      </c>
    </row>
    <row r="2804" spans="2:5">
      <c r="B2804" s="1115">
        <v>45039</v>
      </c>
      <c r="C2804" s="242">
        <f t="shared" si="87"/>
        <v>4</v>
      </c>
      <c r="D2804" s="242">
        <v>47.7</v>
      </c>
      <c r="E2804" s="845">
        <f t="shared" si="88"/>
        <v>8.7222222222222232</v>
      </c>
    </row>
    <row r="2805" spans="2:5">
      <c r="B2805" s="1115">
        <v>45039</v>
      </c>
      <c r="C2805" s="242">
        <f t="shared" si="87"/>
        <v>4</v>
      </c>
      <c r="D2805" s="242">
        <v>48.2</v>
      </c>
      <c r="E2805" s="845">
        <f t="shared" si="88"/>
        <v>9.0000000000000018</v>
      </c>
    </row>
    <row r="2806" spans="2:5">
      <c r="B2806" s="1115">
        <v>45039</v>
      </c>
      <c r="C2806" s="242">
        <f t="shared" si="87"/>
        <v>4</v>
      </c>
      <c r="D2806" s="242">
        <v>48.7</v>
      </c>
      <c r="E2806" s="845">
        <f t="shared" si="88"/>
        <v>9.2777777777777786</v>
      </c>
    </row>
    <row r="2807" spans="2:5">
      <c r="B2807" s="1115">
        <v>45039</v>
      </c>
      <c r="C2807" s="242">
        <f t="shared" si="87"/>
        <v>4</v>
      </c>
      <c r="D2807" s="242">
        <v>49.1</v>
      </c>
      <c r="E2807" s="845">
        <f t="shared" si="88"/>
        <v>9.5</v>
      </c>
    </row>
    <row r="2808" spans="2:5">
      <c r="B2808" s="1115">
        <v>45039</v>
      </c>
      <c r="C2808" s="242">
        <f t="shared" si="87"/>
        <v>4</v>
      </c>
      <c r="D2808" s="242">
        <v>49.3</v>
      </c>
      <c r="E2808" s="845">
        <f t="shared" si="88"/>
        <v>9.6111111111111089</v>
      </c>
    </row>
    <row r="2809" spans="2:5">
      <c r="B2809" s="1115">
        <v>45039</v>
      </c>
      <c r="C2809" s="242">
        <f t="shared" si="87"/>
        <v>4</v>
      </c>
      <c r="D2809" s="242">
        <v>48.6</v>
      </c>
      <c r="E2809" s="845">
        <f t="shared" si="88"/>
        <v>9.2222222222222232</v>
      </c>
    </row>
    <row r="2810" spans="2:5">
      <c r="B2810" s="1115">
        <v>45039</v>
      </c>
      <c r="C2810" s="242">
        <f t="shared" si="87"/>
        <v>4</v>
      </c>
      <c r="D2810" s="242">
        <v>47.8</v>
      </c>
      <c r="E2810" s="845">
        <f t="shared" si="88"/>
        <v>8.7777777777777768</v>
      </c>
    </row>
    <row r="2811" spans="2:5">
      <c r="B2811" s="1115">
        <v>45039</v>
      </c>
      <c r="C2811" s="242">
        <f t="shared" si="87"/>
        <v>4</v>
      </c>
      <c r="D2811" s="242">
        <v>46.9</v>
      </c>
      <c r="E2811" s="845">
        <f t="shared" si="88"/>
        <v>8.2777777777777768</v>
      </c>
    </row>
    <row r="2812" spans="2:5">
      <c r="B2812" s="1115">
        <v>45039</v>
      </c>
      <c r="C2812" s="242">
        <f t="shared" si="87"/>
        <v>4</v>
      </c>
      <c r="D2812" s="242">
        <v>46.6</v>
      </c>
      <c r="E2812" s="845">
        <f t="shared" si="88"/>
        <v>8.1111111111111125</v>
      </c>
    </row>
    <row r="2813" spans="2:5">
      <c r="B2813" s="1115">
        <v>45039</v>
      </c>
      <c r="C2813" s="242">
        <f t="shared" si="87"/>
        <v>4</v>
      </c>
      <c r="D2813" s="242">
        <v>46.4</v>
      </c>
      <c r="E2813" s="845">
        <f t="shared" si="88"/>
        <v>7.9999999999999991</v>
      </c>
    </row>
    <row r="2814" spans="2:5">
      <c r="B2814" s="1115">
        <v>45039</v>
      </c>
      <c r="C2814" s="242">
        <f t="shared" si="87"/>
        <v>4</v>
      </c>
      <c r="D2814" s="242">
        <v>46.4</v>
      </c>
      <c r="E2814" s="845">
        <f t="shared" si="88"/>
        <v>7.9999999999999991</v>
      </c>
    </row>
    <row r="2815" spans="2:5">
      <c r="B2815" s="1115">
        <v>45039</v>
      </c>
      <c r="C2815" s="242">
        <f t="shared" si="87"/>
        <v>4</v>
      </c>
      <c r="D2815" s="242">
        <v>46.6</v>
      </c>
      <c r="E2815" s="845">
        <f t="shared" si="88"/>
        <v>8.1111111111111125</v>
      </c>
    </row>
    <row r="2816" spans="2:5">
      <c r="B2816" s="1115">
        <v>45039</v>
      </c>
      <c r="C2816" s="242">
        <f t="shared" si="87"/>
        <v>4</v>
      </c>
      <c r="D2816" s="242">
        <v>46.9</v>
      </c>
      <c r="E2816" s="845">
        <f t="shared" si="88"/>
        <v>8.2777777777777768</v>
      </c>
    </row>
    <row r="2817" spans="2:5">
      <c r="B2817" s="1115">
        <v>45040</v>
      </c>
      <c r="C2817" s="242">
        <f t="shared" si="87"/>
        <v>4</v>
      </c>
      <c r="D2817" s="242">
        <v>47.7</v>
      </c>
      <c r="E2817" s="845">
        <f t="shared" si="88"/>
        <v>8.7222222222222232</v>
      </c>
    </row>
    <row r="2818" spans="2:5">
      <c r="B2818" s="1115">
        <v>45040</v>
      </c>
      <c r="C2818" s="242">
        <f t="shared" si="87"/>
        <v>4</v>
      </c>
      <c r="D2818" s="242">
        <v>48.2</v>
      </c>
      <c r="E2818" s="845">
        <f t="shared" si="88"/>
        <v>9.0000000000000018</v>
      </c>
    </row>
    <row r="2819" spans="2:5">
      <c r="B2819" s="1115">
        <v>45040</v>
      </c>
      <c r="C2819" s="242">
        <f t="shared" si="87"/>
        <v>4</v>
      </c>
      <c r="D2819" s="242">
        <v>48.6</v>
      </c>
      <c r="E2819" s="845">
        <f t="shared" si="88"/>
        <v>9.2222222222222232</v>
      </c>
    </row>
    <row r="2820" spans="2:5">
      <c r="B2820" s="1115">
        <v>45040</v>
      </c>
      <c r="C2820" s="242">
        <f t="shared" si="87"/>
        <v>4</v>
      </c>
      <c r="D2820" s="242">
        <v>48.6</v>
      </c>
      <c r="E2820" s="845">
        <f t="shared" si="88"/>
        <v>9.2222222222222232</v>
      </c>
    </row>
    <row r="2821" spans="2:5">
      <c r="B2821" s="1115">
        <v>45040</v>
      </c>
      <c r="C2821" s="242">
        <f t="shared" si="87"/>
        <v>4</v>
      </c>
      <c r="D2821" s="242">
        <v>47.8</v>
      </c>
      <c r="E2821" s="845">
        <f t="shared" si="88"/>
        <v>8.7777777777777768</v>
      </c>
    </row>
    <row r="2822" spans="2:5">
      <c r="B2822" s="1115">
        <v>45040</v>
      </c>
      <c r="C2822" s="242">
        <f t="shared" si="87"/>
        <v>4</v>
      </c>
      <c r="D2822" s="242">
        <v>47.3</v>
      </c>
      <c r="E2822" s="845">
        <f t="shared" si="88"/>
        <v>8.4999999999999982</v>
      </c>
    </row>
    <row r="2823" spans="2:5">
      <c r="B2823" s="1115">
        <v>45040</v>
      </c>
      <c r="C2823" s="242">
        <f t="shared" si="87"/>
        <v>4</v>
      </c>
      <c r="D2823" s="242">
        <v>46.8</v>
      </c>
      <c r="E2823" s="845">
        <f t="shared" si="88"/>
        <v>8.2222222222222197</v>
      </c>
    </row>
    <row r="2824" spans="2:5">
      <c r="B2824" s="1115">
        <v>45040</v>
      </c>
      <c r="C2824" s="242">
        <f t="shared" si="87"/>
        <v>4</v>
      </c>
      <c r="D2824" s="242">
        <v>46.4</v>
      </c>
      <c r="E2824" s="845">
        <f t="shared" si="88"/>
        <v>7.9999999999999991</v>
      </c>
    </row>
    <row r="2825" spans="2:5">
      <c r="B2825" s="1115">
        <v>45040</v>
      </c>
      <c r="C2825" s="242">
        <f t="shared" si="87"/>
        <v>4</v>
      </c>
      <c r="D2825" s="242">
        <v>46.4</v>
      </c>
      <c r="E2825" s="845">
        <f t="shared" si="88"/>
        <v>7.9999999999999991</v>
      </c>
    </row>
    <row r="2826" spans="2:5">
      <c r="B2826" s="1115">
        <v>45040</v>
      </c>
      <c r="C2826" s="242">
        <f t="shared" ref="C2826:C2889" si="89">MONTH(B2826)</f>
        <v>4</v>
      </c>
      <c r="D2826" s="242">
        <v>46.4</v>
      </c>
      <c r="E2826" s="845">
        <f t="shared" ref="E2826:E2889" si="90">CONVERT(D2826,"F","C")</f>
        <v>7.9999999999999991</v>
      </c>
    </row>
    <row r="2827" spans="2:5">
      <c r="B2827" s="1115">
        <v>45040</v>
      </c>
      <c r="C2827" s="242">
        <f t="shared" si="89"/>
        <v>4</v>
      </c>
      <c r="D2827" s="242">
        <v>46.4</v>
      </c>
      <c r="E2827" s="845">
        <f t="shared" si="90"/>
        <v>7.9999999999999991</v>
      </c>
    </row>
    <row r="2828" spans="2:5">
      <c r="B2828" s="1115">
        <v>45040</v>
      </c>
      <c r="C2828" s="242">
        <f t="shared" si="89"/>
        <v>4</v>
      </c>
      <c r="D2828" s="242">
        <v>46.9</v>
      </c>
      <c r="E2828" s="845">
        <f t="shared" si="90"/>
        <v>8.2777777777777768</v>
      </c>
    </row>
    <row r="2829" spans="2:5">
      <c r="B2829" s="1115">
        <v>45040</v>
      </c>
      <c r="C2829" s="242">
        <f t="shared" si="89"/>
        <v>4</v>
      </c>
      <c r="D2829" s="242">
        <v>47.5</v>
      </c>
      <c r="E2829" s="845">
        <f t="shared" si="90"/>
        <v>8.6111111111111107</v>
      </c>
    </row>
    <row r="2830" spans="2:5">
      <c r="B2830" s="1115">
        <v>45040</v>
      </c>
      <c r="C2830" s="242">
        <f t="shared" si="89"/>
        <v>4</v>
      </c>
      <c r="D2830" s="242" t="s">
        <v>1843</v>
      </c>
      <c r="E2830" s="845">
        <f t="shared" si="90"/>
        <v>8.8888888888888893</v>
      </c>
    </row>
    <row r="2831" spans="2:5">
      <c r="B2831" s="1115">
        <v>45040</v>
      </c>
      <c r="C2831" s="242">
        <f t="shared" si="89"/>
        <v>4</v>
      </c>
      <c r="D2831" s="242">
        <v>48.6</v>
      </c>
      <c r="E2831" s="845">
        <f t="shared" si="90"/>
        <v>9.2222222222222232</v>
      </c>
    </row>
    <row r="2832" spans="2:5">
      <c r="B2832" s="1115">
        <v>45040</v>
      </c>
      <c r="C2832" s="242">
        <f t="shared" si="89"/>
        <v>4</v>
      </c>
      <c r="D2832" s="242">
        <v>48.7</v>
      </c>
      <c r="E2832" s="845">
        <f t="shared" si="90"/>
        <v>9.2777777777777786</v>
      </c>
    </row>
    <row r="2833" spans="2:5">
      <c r="B2833" s="1115">
        <v>45040</v>
      </c>
      <c r="C2833" s="242">
        <f t="shared" si="89"/>
        <v>4</v>
      </c>
      <c r="D2833" s="242">
        <v>48.9</v>
      </c>
      <c r="E2833" s="845">
        <f t="shared" si="90"/>
        <v>9.3888888888888875</v>
      </c>
    </row>
    <row r="2834" spans="2:5">
      <c r="B2834" s="1115">
        <v>45040</v>
      </c>
      <c r="C2834" s="242">
        <f t="shared" si="89"/>
        <v>4</v>
      </c>
      <c r="D2834" s="242">
        <v>48.2</v>
      </c>
      <c r="E2834" s="845">
        <f t="shared" si="90"/>
        <v>9.0000000000000018</v>
      </c>
    </row>
    <row r="2835" spans="2:5">
      <c r="B2835" s="1115">
        <v>45040</v>
      </c>
      <c r="C2835" s="242">
        <f t="shared" si="89"/>
        <v>4</v>
      </c>
      <c r="D2835" s="242">
        <v>47.7</v>
      </c>
      <c r="E2835" s="845">
        <f t="shared" si="90"/>
        <v>8.7222222222222232</v>
      </c>
    </row>
    <row r="2836" spans="2:5">
      <c r="B2836" s="1115">
        <v>45040</v>
      </c>
      <c r="C2836" s="242">
        <f t="shared" si="89"/>
        <v>4</v>
      </c>
      <c r="D2836" s="242">
        <v>46.9</v>
      </c>
      <c r="E2836" s="845">
        <f t="shared" si="90"/>
        <v>8.2777777777777768</v>
      </c>
    </row>
    <row r="2837" spans="2:5">
      <c r="B2837" s="1115">
        <v>45040</v>
      </c>
      <c r="C2837" s="242">
        <f t="shared" si="89"/>
        <v>4</v>
      </c>
      <c r="D2837" s="242">
        <v>46.9</v>
      </c>
      <c r="E2837" s="845">
        <f t="shared" si="90"/>
        <v>8.2777777777777768</v>
      </c>
    </row>
    <row r="2838" spans="2:5">
      <c r="B2838" s="1115">
        <v>45040</v>
      </c>
      <c r="C2838" s="242">
        <f t="shared" si="89"/>
        <v>4</v>
      </c>
      <c r="D2838" s="242">
        <v>46.9</v>
      </c>
      <c r="E2838" s="845">
        <f t="shared" si="90"/>
        <v>8.2777777777777768</v>
      </c>
    </row>
    <row r="2839" spans="2:5">
      <c r="B2839" s="1115">
        <v>45040</v>
      </c>
      <c r="C2839" s="242">
        <f t="shared" si="89"/>
        <v>4</v>
      </c>
      <c r="D2839" s="242">
        <v>47.3</v>
      </c>
      <c r="E2839" s="845">
        <f t="shared" si="90"/>
        <v>8.4999999999999982</v>
      </c>
    </row>
    <row r="2840" spans="2:5">
      <c r="B2840" s="1115">
        <v>45040</v>
      </c>
      <c r="C2840" s="242">
        <f t="shared" si="89"/>
        <v>4</v>
      </c>
      <c r="D2840" s="242">
        <v>47.5</v>
      </c>
      <c r="E2840" s="845">
        <f t="shared" si="90"/>
        <v>8.6111111111111107</v>
      </c>
    </row>
    <row r="2841" spans="2:5">
      <c r="B2841" s="1115">
        <v>45041</v>
      </c>
      <c r="C2841" s="242">
        <f t="shared" si="89"/>
        <v>4</v>
      </c>
      <c r="D2841" s="242">
        <v>47.8</v>
      </c>
      <c r="E2841" s="845">
        <f t="shared" si="90"/>
        <v>8.7777777777777768</v>
      </c>
    </row>
    <row r="2842" spans="2:5">
      <c r="B2842" s="1115">
        <v>45041</v>
      </c>
      <c r="C2842" s="242">
        <f t="shared" si="89"/>
        <v>4</v>
      </c>
      <c r="D2842" s="242">
        <v>48.4</v>
      </c>
      <c r="E2842" s="845">
        <f t="shared" si="90"/>
        <v>9.1111111111111107</v>
      </c>
    </row>
    <row r="2843" spans="2:5">
      <c r="B2843" s="1115">
        <v>45041</v>
      </c>
      <c r="C2843" s="242">
        <f t="shared" si="89"/>
        <v>4</v>
      </c>
      <c r="D2843" s="242">
        <v>48.9</v>
      </c>
      <c r="E2843" s="845">
        <f t="shared" si="90"/>
        <v>9.3888888888888875</v>
      </c>
    </row>
    <row r="2844" spans="2:5">
      <c r="B2844" s="1115">
        <v>45041</v>
      </c>
      <c r="C2844" s="242">
        <f t="shared" si="89"/>
        <v>4</v>
      </c>
      <c r="D2844" s="242">
        <v>49.1</v>
      </c>
      <c r="E2844" s="845">
        <f t="shared" si="90"/>
        <v>9.5</v>
      </c>
    </row>
    <row r="2845" spans="2:5">
      <c r="B2845" s="1115">
        <v>45041</v>
      </c>
      <c r="C2845" s="242">
        <f t="shared" si="89"/>
        <v>4</v>
      </c>
      <c r="D2845" s="242">
        <v>49.1</v>
      </c>
      <c r="E2845" s="845">
        <f t="shared" si="90"/>
        <v>9.5</v>
      </c>
    </row>
    <row r="2846" spans="2:5">
      <c r="B2846" s="1115">
        <v>45041</v>
      </c>
      <c r="C2846" s="242">
        <f t="shared" si="89"/>
        <v>4</v>
      </c>
      <c r="D2846" s="242">
        <v>48.4</v>
      </c>
      <c r="E2846" s="845">
        <f t="shared" si="90"/>
        <v>9.1111111111111107</v>
      </c>
    </row>
    <row r="2847" spans="2:5">
      <c r="B2847" s="1115">
        <v>45041</v>
      </c>
      <c r="C2847" s="242">
        <f t="shared" si="89"/>
        <v>4</v>
      </c>
      <c r="D2847" s="242">
        <v>47.8</v>
      </c>
      <c r="E2847" s="845">
        <f t="shared" si="90"/>
        <v>8.7777777777777768</v>
      </c>
    </row>
    <row r="2848" spans="2:5">
      <c r="B2848" s="1115">
        <v>45041</v>
      </c>
      <c r="C2848" s="242">
        <f t="shared" si="89"/>
        <v>4</v>
      </c>
      <c r="D2848" s="242">
        <v>47.5</v>
      </c>
      <c r="E2848" s="845">
        <f t="shared" si="90"/>
        <v>8.6111111111111107</v>
      </c>
    </row>
    <row r="2849" spans="2:5">
      <c r="B2849" s="1115">
        <v>45041</v>
      </c>
      <c r="C2849" s="242">
        <f t="shared" si="89"/>
        <v>4</v>
      </c>
      <c r="D2849" s="242">
        <v>47.1</v>
      </c>
      <c r="E2849" s="845">
        <f t="shared" si="90"/>
        <v>8.3888888888888893</v>
      </c>
    </row>
    <row r="2850" spans="2:5">
      <c r="B2850" s="1115">
        <v>45041</v>
      </c>
      <c r="C2850" s="242">
        <f t="shared" si="89"/>
        <v>4</v>
      </c>
      <c r="D2850" s="242">
        <v>47.1</v>
      </c>
      <c r="E2850" s="845">
        <f t="shared" si="90"/>
        <v>8.3888888888888893</v>
      </c>
    </row>
    <row r="2851" spans="2:5">
      <c r="B2851" s="1115">
        <v>45041</v>
      </c>
      <c r="C2851" s="242">
        <f t="shared" si="89"/>
        <v>4</v>
      </c>
      <c r="D2851" s="242">
        <v>47.3</v>
      </c>
      <c r="E2851" s="845">
        <f t="shared" si="90"/>
        <v>8.4999999999999982</v>
      </c>
    </row>
    <row r="2852" spans="2:5">
      <c r="B2852" s="1115">
        <v>45041</v>
      </c>
      <c r="C2852" s="242">
        <f t="shared" si="89"/>
        <v>4</v>
      </c>
      <c r="D2852" s="242">
        <v>47.3</v>
      </c>
      <c r="E2852" s="845">
        <f t="shared" si="90"/>
        <v>8.4999999999999982</v>
      </c>
    </row>
    <row r="2853" spans="2:5">
      <c r="B2853" s="1115">
        <v>45041</v>
      </c>
      <c r="C2853" s="242">
        <f t="shared" si="89"/>
        <v>4</v>
      </c>
      <c r="D2853" s="242">
        <v>47.7</v>
      </c>
      <c r="E2853" s="845">
        <f t="shared" si="90"/>
        <v>8.7222222222222232</v>
      </c>
    </row>
    <row r="2854" spans="2:5">
      <c r="B2854" s="1115">
        <v>45041</v>
      </c>
      <c r="C2854" s="242">
        <f t="shared" si="89"/>
        <v>4</v>
      </c>
      <c r="D2854" s="242">
        <v>48.4</v>
      </c>
      <c r="E2854" s="845">
        <f t="shared" si="90"/>
        <v>9.1111111111111107</v>
      </c>
    </row>
    <row r="2855" spans="2:5">
      <c r="B2855" s="1115">
        <v>45041</v>
      </c>
      <c r="C2855" s="242">
        <f t="shared" si="89"/>
        <v>4</v>
      </c>
      <c r="D2855" s="242">
        <v>48.9</v>
      </c>
      <c r="E2855" s="845">
        <f t="shared" si="90"/>
        <v>9.3888888888888875</v>
      </c>
    </row>
    <row r="2856" spans="2:5">
      <c r="B2856" s="1115">
        <v>45041</v>
      </c>
      <c r="C2856" s="242">
        <f t="shared" si="89"/>
        <v>4</v>
      </c>
      <c r="D2856" s="242">
        <v>49.3</v>
      </c>
      <c r="E2856" s="845">
        <f t="shared" si="90"/>
        <v>9.6111111111111089</v>
      </c>
    </row>
    <row r="2857" spans="2:5">
      <c r="B2857" s="1115">
        <v>45041</v>
      </c>
      <c r="C2857" s="242">
        <f t="shared" si="89"/>
        <v>4</v>
      </c>
      <c r="D2857" s="242">
        <v>49.6</v>
      </c>
      <c r="E2857" s="845">
        <f t="shared" si="90"/>
        <v>9.7777777777777786</v>
      </c>
    </row>
    <row r="2858" spans="2:5">
      <c r="B2858" s="1115">
        <v>45041</v>
      </c>
      <c r="C2858" s="242">
        <f t="shared" si="89"/>
        <v>4</v>
      </c>
      <c r="D2858" s="242">
        <v>49.6</v>
      </c>
      <c r="E2858" s="845">
        <f t="shared" si="90"/>
        <v>9.7777777777777786</v>
      </c>
    </row>
    <row r="2859" spans="2:5">
      <c r="B2859" s="1115">
        <v>45041</v>
      </c>
      <c r="C2859" s="242">
        <f t="shared" si="89"/>
        <v>4</v>
      </c>
      <c r="D2859" s="242">
        <v>48.9</v>
      </c>
      <c r="E2859" s="845">
        <f t="shared" si="90"/>
        <v>9.3888888888888875</v>
      </c>
    </row>
    <row r="2860" spans="2:5">
      <c r="B2860" s="1115">
        <v>45041</v>
      </c>
      <c r="C2860" s="242">
        <f t="shared" si="89"/>
        <v>4</v>
      </c>
      <c r="D2860" s="242">
        <v>48.6</v>
      </c>
      <c r="E2860" s="845">
        <f t="shared" si="90"/>
        <v>9.2222222222222232</v>
      </c>
    </row>
    <row r="2861" spans="2:5">
      <c r="B2861" s="1115">
        <v>45041</v>
      </c>
      <c r="C2861" s="242">
        <f t="shared" si="89"/>
        <v>4</v>
      </c>
      <c r="D2861" s="242">
        <v>48.2</v>
      </c>
      <c r="E2861" s="845">
        <f t="shared" si="90"/>
        <v>9.0000000000000018</v>
      </c>
    </row>
    <row r="2862" spans="2:5">
      <c r="B2862" s="1115">
        <v>45041</v>
      </c>
      <c r="C2862" s="242">
        <f t="shared" si="89"/>
        <v>4</v>
      </c>
      <c r="D2862" s="242">
        <v>47.8</v>
      </c>
      <c r="E2862" s="845">
        <f t="shared" si="90"/>
        <v>8.7777777777777768</v>
      </c>
    </row>
    <row r="2863" spans="2:5">
      <c r="B2863" s="1115">
        <v>45041</v>
      </c>
      <c r="C2863" s="242">
        <f t="shared" si="89"/>
        <v>4</v>
      </c>
      <c r="D2863" s="242">
        <v>47.7</v>
      </c>
      <c r="E2863" s="845">
        <f t="shared" si="90"/>
        <v>8.7222222222222232</v>
      </c>
    </row>
    <row r="2864" spans="2:5">
      <c r="B2864" s="1115">
        <v>45041</v>
      </c>
      <c r="C2864" s="242">
        <f t="shared" si="89"/>
        <v>4</v>
      </c>
      <c r="D2864" s="242" t="s">
        <v>1843</v>
      </c>
      <c r="E2864" s="845">
        <f t="shared" si="90"/>
        <v>8.8888888888888893</v>
      </c>
    </row>
    <row r="2865" spans="2:5">
      <c r="B2865" s="1115">
        <v>45042</v>
      </c>
      <c r="C2865" s="242">
        <f t="shared" si="89"/>
        <v>4</v>
      </c>
      <c r="D2865" s="242">
        <v>48.2</v>
      </c>
      <c r="E2865" s="845">
        <f t="shared" si="90"/>
        <v>9.0000000000000018</v>
      </c>
    </row>
    <row r="2866" spans="2:5">
      <c r="B2866" s="1115">
        <v>45042</v>
      </c>
      <c r="C2866" s="242">
        <f t="shared" si="89"/>
        <v>4</v>
      </c>
      <c r="D2866" s="242">
        <v>48.7</v>
      </c>
      <c r="E2866" s="845">
        <f t="shared" si="90"/>
        <v>9.2777777777777786</v>
      </c>
    </row>
    <row r="2867" spans="2:5">
      <c r="B2867" s="1115">
        <v>45042</v>
      </c>
      <c r="C2867" s="242">
        <f t="shared" si="89"/>
        <v>4</v>
      </c>
      <c r="D2867" s="242">
        <v>49.5</v>
      </c>
      <c r="E2867" s="845">
        <f t="shared" si="90"/>
        <v>9.7222222222222214</v>
      </c>
    </row>
    <row r="2868" spans="2:5">
      <c r="B2868" s="1115">
        <v>45042</v>
      </c>
      <c r="C2868" s="242">
        <f t="shared" si="89"/>
        <v>4</v>
      </c>
      <c r="D2868" s="242">
        <v>49.8</v>
      </c>
      <c r="E2868" s="845">
        <f t="shared" si="90"/>
        <v>9.8888888888888875</v>
      </c>
    </row>
    <row r="2869" spans="2:5">
      <c r="B2869" s="1115">
        <v>45042</v>
      </c>
      <c r="C2869" s="242">
        <f t="shared" si="89"/>
        <v>4</v>
      </c>
      <c r="D2869" s="242" t="s">
        <v>1844</v>
      </c>
      <c r="E2869" s="845">
        <f t="shared" si="90"/>
        <v>10</v>
      </c>
    </row>
    <row r="2870" spans="2:5">
      <c r="B2870" s="1115">
        <v>45042</v>
      </c>
      <c r="C2870" s="242">
        <f t="shared" si="89"/>
        <v>4</v>
      </c>
      <c r="D2870" s="242">
        <v>49.6</v>
      </c>
      <c r="E2870" s="845">
        <f t="shared" si="90"/>
        <v>9.7777777777777786</v>
      </c>
    </row>
    <row r="2871" spans="2:5">
      <c r="B2871" s="1115">
        <v>45042</v>
      </c>
      <c r="C2871" s="242">
        <f t="shared" si="89"/>
        <v>4</v>
      </c>
      <c r="D2871" s="242">
        <v>49.1</v>
      </c>
      <c r="E2871" s="845">
        <f t="shared" si="90"/>
        <v>9.5</v>
      </c>
    </row>
    <row r="2872" spans="2:5">
      <c r="B2872" s="1115">
        <v>45042</v>
      </c>
      <c r="C2872" s="242">
        <f t="shared" si="89"/>
        <v>4</v>
      </c>
      <c r="D2872" s="242">
        <v>48.7</v>
      </c>
      <c r="E2872" s="845">
        <f t="shared" si="90"/>
        <v>9.2777777777777786</v>
      </c>
    </row>
    <row r="2873" spans="2:5">
      <c r="B2873" s="1115">
        <v>45042</v>
      </c>
      <c r="C2873" s="242">
        <f t="shared" si="89"/>
        <v>4</v>
      </c>
      <c r="D2873" s="242">
        <v>48.2</v>
      </c>
      <c r="E2873" s="845">
        <f t="shared" si="90"/>
        <v>9.0000000000000018</v>
      </c>
    </row>
    <row r="2874" spans="2:5">
      <c r="B2874" s="1115">
        <v>45042</v>
      </c>
      <c r="C2874" s="242">
        <f t="shared" si="89"/>
        <v>4</v>
      </c>
      <c r="D2874" s="242">
        <v>47.7</v>
      </c>
      <c r="E2874" s="845">
        <f t="shared" si="90"/>
        <v>8.7222222222222232</v>
      </c>
    </row>
    <row r="2875" spans="2:5">
      <c r="B2875" s="1115">
        <v>45042</v>
      </c>
      <c r="C2875" s="242">
        <f t="shared" si="89"/>
        <v>4</v>
      </c>
      <c r="D2875" s="242">
        <v>47.5</v>
      </c>
      <c r="E2875" s="845">
        <f t="shared" si="90"/>
        <v>8.6111111111111107</v>
      </c>
    </row>
    <row r="2876" spans="2:5">
      <c r="B2876" s="1115">
        <v>45042</v>
      </c>
      <c r="C2876" s="242">
        <f t="shared" si="89"/>
        <v>4</v>
      </c>
      <c r="D2876" s="242">
        <v>47.7</v>
      </c>
      <c r="E2876" s="845">
        <f t="shared" si="90"/>
        <v>8.7222222222222232</v>
      </c>
    </row>
    <row r="2877" spans="2:5">
      <c r="B2877" s="1115">
        <v>45042</v>
      </c>
      <c r="C2877" s="242">
        <f t="shared" si="89"/>
        <v>4</v>
      </c>
      <c r="D2877" s="242" t="s">
        <v>1843</v>
      </c>
      <c r="E2877" s="845">
        <f t="shared" si="90"/>
        <v>8.8888888888888893</v>
      </c>
    </row>
    <row r="2878" spans="2:5">
      <c r="B2878" s="1115">
        <v>45042</v>
      </c>
      <c r="C2878" s="242">
        <f t="shared" si="89"/>
        <v>4</v>
      </c>
      <c r="D2878" s="242">
        <v>48.6</v>
      </c>
      <c r="E2878" s="845">
        <f t="shared" si="90"/>
        <v>9.2222222222222232</v>
      </c>
    </row>
    <row r="2879" spans="2:5">
      <c r="B2879" s="1115">
        <v>45042</v>
      </c>
      <c r="C2879" s="242">
        <f t="shared" si="89"/>
        <v>4</v>
      </c>
      <c r="D2879" s="242">
        <v>49.3</v>
      </c>
      <c r="E2879" s="845">
        <f t="shared" si="90"/>
        <v>9.6111111111111089</v>
      </c>
    </row>
    <row r="2880" spans="2:5">
      <c r="B2880" s="1115">
        <v>45042</v>
      </c>
      <c r="C2880" s="242">
        <f t="shared" si="89"/>
        <v>4</v>
      </c>
      <c r="D2880" s="242">
        <v>49.6</v>
      </c>
      <c r="E2880" s="845">
        <f t="shared" si="90"/>
        <v>9.7777777777777786</v>
      </c>
    </row>
    <row r="2881" spans="2:5">
      <c r="B2881" s="1115">
        <v>45042</v>
      </c>
      <c r="C2881" s="242">
        <f t="shared" si="89"/>
        <v>4</v>
      </c>
      <c r="D2881" s="242" t="s">
        <v>1844</v>
      </c>
      <c r="E2881" s="845">
        <f t="shared" si="90"/>
        <v>10</v>
      </c>
    </row>
    <row r="2882" spans="2:5">
      <c r="B2882" s="1115">
        <v>45042</v>
      </c>
      <c r="C2882" s="242">
        <f t="shared" si="89"/>
        <v>4</v>
      </c>
      <c r="D2882" s="242">
        <v>50.2</v>
      </c>
      <c r="E2882" s="845">
        <f t="shared" si="90"/>
        <v>10.111111111111112</v>
      </c>
    </row>
    <row r="2883" spans="2:5">
      <c r="B2883" s="1115">
        <v>45042</v>
      </c>
      <c r="C2883" s="242">
        <f t="shared" si="89"/>
        <v>4</v>
      </c>
      <c r="D2883" s="242" t="s">
        <v>1844</v>
      </c>
      <c r="E2883" s="845">
        <f t="shared" si="90"/>
        <v>10</v>
      </c>
    </row>
    <row r="2884" spans="2:5">
      <c r="B2884" s="1115">
        <v>45042</v>
      </c>
      <c r="C2884" s="242">
        <f t="shared" si="89"/>
        <v>4</v>
      </c>
      <c r="D2884" s="242">
        <v>49.3</v>
      </c>
      <c r="E2884" s="845">
        <f t="shared" si="90"/>
        <v>9.6111111111111089</v>
      </c>
    </row>
    <row r="2885" spans="2:5">
      <c r="B2885" s="1115">
        <v>45042</v>
      </c>
      <c r="C2885" s="242">
        <f t="shared" si="89"/>
        <v>4</v>
      </c>
      <c r="D2885" s="242">
        <v>49.1</v>
      </c>
      <c r="E2885" s="845">
        <f t="shared" si="90"/>
        <v>9.5</v>
      </c>
    </row>
    <row r="2886" spans="2:5">
      <c r="B2886" s="1115">
        <v>45042</v>
      </c>
      <c r="C2886" s="242">
        <f t="shared" si="89"/>
        <v>4</v>
      </c>
      <c r="D2886" s="242">
        <v>48.6</v>
      </c>
      <c r="E2886" s="845">
        <f t="shared" si="90"/>
        <v>9.2222222222222232</v>
      </c>
    </row>
    <row r="2887" spans="2:5">
      <c r="B2887" s="1115">
        <v>45042</v>
      </c>
      <c r="C2887" s="242">
        <f t="shared" si="89"/>
        <v>4</v>
      </c>
      <c r="D2887" s="242">
        <v>48.2</v>
      </c>
      <c r="E2887" s="845">
        <f t="shared" si="90"/>
        <v>9.0000000000000018</v>
      </c>
    </row>
    <row r="2888" spans="2:5">
      <c r="B2888" s="1115">
        <v>45042</v>
      </c>
      <c r="C2888" s="242">
        <f t="shared" si="89"/>
        <v>4</v>
      </c>
      <c r="D2888" s="242">
        <v>47.8</v>
      </c>
      <c r="E2888" s="845">
        <f t="shared" si="90"/>
        <v>8.7777777777777768</v>
      </c>
    </row>
    <row r="2889" spans="2:5">
      <c r="B2889" s="1115">
        <v>45043</v>
      </c>
      <c r="C2889" s="242">
        <f t="shared" si="89"/>
        <v>4</v>
      </c>
      <c r="D2889" s="242">
        <v>48.4</v>
      </c>
      <c r="E2889" s="845">
        <f t="shared" si="90"/>
        <v>9.1111111111111107</v>
      </c>
    </row>
    <row r="2890" spans="2:5">
      <c r="B2890" s="1115">
        <v>45043</v>
      </c>
      <c r="C2890" s="242">
        <f t="shared" ref="C2890:C2953" si="91">MONTH(B2890)</f>
        <v>4</v>
      </c>
      <c r="D2890" s="242">
        <v>48.7</v>
      </c>
      <c r="E2890" s="845">
        <f t="shared" ref="E2890:E2953" si="92">CONVERT(D2890,"F","C")</f>
        <v>9.2777777777777786</v>
      </c>
    </row>
    <row r="2891" spans="2:5">
      <c r="B2891" s="1115">
        <v>45043</v>
      </c>
      <c r="C2891" s="242">
        <f t="shared" si="91"/>
        <v>4</v>
      </c>
      <c r="D2891" s="242">
        <v>49.1</v>
      </c>
      <c r="E2891" s="845">
        <f t="shared" si="92"/>
        <v>9.5</v>
      </c>
    </row>
    <row r="2892" spans="2:5">
      <c r="B2892" s="1115">
        <v>45043</v>
      </c>
      <c r="C2892" s="242">
        <f t="shared" si="91"/>
        <v>4</v>
      </c>
      <c r="D2892" s="242">
        <v>49.6</v>
      </c>
      <c r="E2892" s="845">
        <f t="shared" si="92"/>
        <v>9.7777777777777786</v>
      </c>
    </row>
    <row r="2893" spans="2:5">
      <c r="B2893" s="1115">
        <v>45043</v>
      </c>
      <c r="C2893" s="242">
        <f t="shared" si="91"/>
        <v>4</v>
      </c>
      <c r="D2893" s="242" t="s">
        <v>1844</v>
      </c>
      <c r="E2893" s="845">
        <f t="shared" si="92"/>
        <v>10</v>
      </c>
    </row>
    <row r="2894" spans="2:5">
      <c r="B2894" s="1115">
        <v>45043</v>
      </c>
      <c r="C2894" s="242">
        <f t="shared" si="91"/>
        <v>4</v>
      </c>
      <c r="D2894" s="242">
        <v>50.2</v>
      </c>
      <c r="E2894" s="845">
        <f t="shared" si="92"/>
        <v>10.111111111111112</v>
      </c>
    </row>
    <row r="2895" spans="2:5">
      <c r="B2895" s="1115">
        <v>45043</v>
      </c>
      <c r="C2895" s="242">
        <f t="shared" si="91"/>
        <v>4</v>
      </c>
      <c r="D2895" s="242">
        <v>49.8</v>
      </c>
      <c r="E2895" s="845">
        <f t="shared" si="92"/>
        <v>9.8888888888888875</v>
      </c>
    </row>
    <row r="2896" spans="2:5">
      <c r="B2896" s="1115">
        <v>45043</v>
      </c>
      <c r="C2896" s="242">
        <f t="shared" si="91"/>
        <v>4</v>
      </c>
      <c r="D2896" s="242">
        <v>49.3</v>
      </c>
      <c r="E2896" s="845">
        <f t="shared" si="92"/>
        <v>9.6111111111111089</v>
      </c>
    </row>
    <row r="2897" spans="2:5">
      <c r="B2897" s="1115">
        <v>45043</v>
      </c>
      <c r="C2897" s="242">
        <f t="shared" si="91"/>
        <v>4</v>
      </c>
      <c r="D2897" s="242">
        <v>48.7</v>
      </c>
      <c r="E2897" s="845">
        <f t="shared" si="92"/>
        <v>9.2777777777777786</v>
      </c>
    </row>
    <row r="2898" spans="2:5">
      <c r="B2898" s="1115">
        <v>45043</v>
      </c>
      <c r="C2898" s="242">
        <f t="shared" si="91"/>
        <v>4</v>
      </c>
      <c r="D2898" s="242">
        <v>48.4</v>
      </c>
      <c r="E2898" s="845">
        <f t="shared" si="92"/>
        <v>9.1111111111111107</v>
      </c>
    </row>
    <row r="2899" spans="2:5">
      <c r="B2899" s="1115">
        <v>45043</v>
      </c>
      <c r="C2899" s="242">
        <f t="shared" si="91"/>
        <v>4</v>
      </c>
      <c r="D2899" s="242">
        <v>47.8</v>
      </c>
      <c r="E2899" s="845">
        <f t="shared" si="92"/>
        <v>8.7777777777777768</v>
      </c>
    </row>
    <row r="2900" spans="2:5">
      <c r="B2900" s="1115">
        <v>45043</v>
      </c>
      <c r="C2900" s="242">
        <f t="shared" si="91"/>
        <v>4</v>
      </c>
      <c r="D2900" s="242">
        <v>47.7</v>
      </c>
      <c r="E2900" s="845">
        <f t="shared" si="92"/>
        <v>8.7222222222222232</v>
      </c>
    </row>
    <row r="2901" spans="2:5">
      <c r="B2901" s="1115">
        <v>45043</v>
      </c>
      <c r="C2901" s="242">
        <f t="shared" si="91"/>
        <v>4</v>
      </c>
      <c r="D2901" s="242">
        <v>47.8</v>
      </c>
      <c r="E2901" s="845">
        <f t="shared" si="92"/>
        <v>8.7777777777777768</v>
      </c>
    </row>
    <row r="2902" spans="2:5">
      <c r="B2902" s="1115">
        <v>45043</v>
      </c>
      <c r="C2902" s="242">
        <f t="shared" si="91"/>
        <v>4</v>
      </c>
      <c r="D2902" s="242">
        <v>48.2</v>
      </c>
      <c r="E2902" s="845">
        <f t="shared" si="92"/>
        <v>9.0000000000000018</v>
      </c>
    </row>
    <row r="2903" spans="2:5">
      <c r="B2903" s="1115">
        <v>45043</v>
      </c>
      <c r="C2903" s="242">
        <f t="shared" si="91"/>
        <v>4</v>
      </c>
      <c r="D2903" s="242">
        <v>48.7</v>
      </c>
      <c r="E2903" s="845">
        <f t="shared" si="92"/>
        <v>9.2777777777777786</v>
      </c>
    </row>
    <row r="2904" spans="2:5">
      <c r="B2904" s="1115">
        <v>45043</v>
      </c>
      <c r="C2904" s="242">
        <f t="shared" si="91"/>
        <v>4</v>
      </c>
      <c r="D2904" s="242">
        <v>49.5</v>
      </c>
      <c r="E2904" s="845">
        <f t="shared" si="92"/>
        <v>9.7222222222222214</v>
      </c>
    </row>
    <row r="2905" spans="2:5">
      <c r="B2905" s="1115">
        <v>45043</v>
      </c>
      <c r="C2905" s="242">
        <f t="shared" si="91"/>
        <v>4</v>
      </c>
      <c r="D2905" s="242" t="s">
        <v>1844</v>
      </c>
      <c r="E2905" s="845">
        <f t="shared" si="92"/>
        <v>10</v>
      </c>
    </row>
    <row r="2906" spans="2:5">
      <c r="B2906" s="1115">
        <v>45043</v>
      </c>
      <c r="C2906" s="242">
        <f t="shared" si="91"/>
        <v>4</v>
      </c>
      <c r="D2906" s="242">
        <v>50.4</v>
      </c>
      <c r="E2906" s="845">
        <f t="shared" si="92"/>
        <v>10.222222222222221</v>
      </c>
    </row>
    <row r="2907" spans="2:5">
      <c r="B2907" s="1115">
        <v>45043</v>
      </c>
      <c r="C2907" s="242">
        <f t="shared" si="91"/>
        <v>4</v>
      </c>
      <c r="D2907" s="242">
        <v>50.5</v>
      </c>
      <c r="E2907" s="845">
        <f t="shared" si="92"/>
        <v>10.277777777777777</v>
      </c>
    </row>
    <row r="2908" spans="2:5">
      <c r="B2908" s="1115">
        <v>45043</v>
      </c>
      <c r="C2908" s="242">
        <f t="shared" si="91"/>
        <v>4</v>
      </c>
      <c r="D2908" s="242">
        <v>50.4</v>
      </c>
      <c r="E2908" s="845">
        <f t="shared" si="92"/>
        <v>10.222222222222221</v>
      </c>
    </row>
    <row r="2909" spans="2:5">
      <c r="B2909" s="1115">
        <v>45043</v>
      </c>
      <c r="C2909" s="242">
        <f t="shared" si="91"/>
        <v>4</v>
      </c>
      <c r="D2909" s="242">
        <v>49.3</v>
      </c>
      <c r="E2909" s="845">
        <f t="shared" si="92"/>
        <v>9.6111111111111089</v>
      </c>
    </row>
    <row r="2910" spans="2:5">
      <c r="B2910" s="1115">
        <v>45043</v>
      </c>
      <c r="C2910" s="242">
        <f t="shared" si="91"/>
        <v>4</v>
      </c>
      <c r="D2910" s="242">
        <v>48.7</v>
      </c>
      <c r="E2910" s="845">
        <f t="shared" si="92"/>
        <v>9.2777777777777786</v>
      </c>
    </row>
    <row r="2911" spans="2:5">
      <c r="B2911" s="1115">
        <v>45043</v>
      </c>
      <c r="C2911" s="242">
        <f t="shared" si="91"/>
        <v>4</v>
      </c>
      <c r="D2911" s="242">
        <v>47.8</v>
      </c>
      <c r="E2911" s="845">
        <f t="shared" si="92"/>
        <v>8.7777777777777768</v>
      </c>
    </row>
    <row r="2912" spans="2:5">
      <c r="B2912" s="1115">
        <v>45043</v>
      </c>
      <c r="C2912" s="242">
        <f t="shared" si="91"/>
        <v>4</v>
      </c>
      <c r="D2912" s="242">
        <v>47.8</v>
      </c>
      <c r="E2912" s="845">
        <f t="shared" si="92"/>
        <v>8.7777777777777768</v>
      </c>
    </row>
    <row r="2913" spans="2:5">
      <c r="B2913" s="1115">
        <v>45044</v>
      </c>
      <c r="C2913" s="242">
        <f t="shared" si="91"/>
        <v>4</v>
      </c>
      <c r="D2913" s="242">
        <v>47.5</v>
      </c>
      <c r="E2913" s="845">
        <f t="shared" si="92"/>
        <v>8.6111111111111107</v>
      </c>
    </row>
    <row r="2914" spans="2:5">
      <c r="B2914" s="1115">
        <v>45044</v>
      </c>
      <c r="C2914" s="242">
        <f t="shared" si="91"/>
        <v>4</v>
      </c>
      <c r="D2914" s="242">
        <v>48.2</v>
      </c>
      <c r="E2914" s="845">
        <f t="shared" si="92"/>
        <v>9.0000000000000018</v>
      </c>
    </row>
    <row r="2915" spans="2:5">
      <c r="B2915" s="1115">
        <v>45044</v>
      </c>
      <c r="C2915" s="242">
        <f t="shared" si="91"/>
        <v>4</v>
      </c>
      <c r="D2915" s="242">
        <v>48.4</v>
      </c>
      <c r="E2915" s="845">
        <f t="shared" si="92"/>
        <v>9.1111111111111107</v>
      </c>
    </row>
    <row r="2916" spans="2:5">
      <c r="B2916" s="1115">
        <v>45044</v>
      </c>
      <c r="C2916" s="242">
        <f t="shared" si="91"/>
        <v>4</v>
      </c>
      <c r="D2916" s="242">
        <v>49.1</v>
      </c>
      <c r="E2916" s="845">
        <f t="shared" si="92"/>
        <v>9.5</v>
      </c>
    </row>
    <row r="2917" spans="2:5">
      <c r="B2917" s="1115">
        <v>45044</v>
      </c>
      <c r="C2917" s="242">
        <f t="shared" si="91"/>
        <v>4</v>
      </c>
      <c r="D2917" s="242">
        <v>49.8</v>
      </c>
      <c r="E2917" s="845">
        <f t="shared" si="92"/>
        <v>9.8888888888888875</v>
      </c>
    </row>
    <row r="2918" spans="2:5">
      <c r="B2918" s="1115">
        <v>45044</v>
      </c>
      <c r="C2918" s="242">
        <f t="shared" si="91"/>
        <v>4</v>
      </c>
      <c r="D2918" s="242">
        <v>50.4</v>
      </c>
      <c r="E2918" s="845">
        <f t="shared" si="92"/>
        <v>10.222222222222221</v>
      </c>
    </row>
    <row r="2919" spans="2:5">
      <c r="B2919" s="1115">
        <v>45044</v>
      </c>
      <c r="C2919" s="242">
        <f t="shared" si="91"/>
        <v>4</v>
      </c>
      <c r="D2919" s="242">
        <v>50.4</v>
      </c>
      <c r="E2919" s="845">
        <f t="shared" si="92"/>
        <v>10.222222222222221</v>
      </c>
    </row>
    <row r="2920" spans="2:5">
      <c r="B2920" s="1115">
        <v>45044</v>
      </c>
      <c r="C2920" s="242">
        <f t="shared" si="91"/>
        <v>4</v>
      </c>
      <c r="D2920" s="242" t="s">
        <v>1844</v>
      </c>
      <c r="E2920" s="845">
        <f t="shared" si="92"/>
        <v>10</v>
      </c>
    </row>
    <row r="2921" spans="2:5">
      <c r="B2921" s="1115">
        <v>45044</v>
      </c>
      <c r="C2921" s="242">
        <f t="shared" si="91"/>
        <v>4</v>
      </c>
      <c r="D2921" s="242">
        <v>48.9</v>
      </c>
      <c r="E2921" s="845">
        <f t="shared" si="92"/>
        <v>9.3888888888888875</v>
      </c>
    </row>
    <row r="2922" spans="2:5">
      <c r="B2922" s="1115">
        <v>45044</v>
      </c>
      <c r="C2922" s="242">
        <f t="shared" si="91"/>
        <v>4</v>
      </c>
      <c r="D2922" s="242">
        <v>48.4</v>
      </c>
      <c r="E2922" s="845">
        <f t="shared" si="92"/>
        <v>9.1111111111111107</v>
      </c>
    </row>
    <row r="2923" spans="2:5">
      <c r="B2923" s="1115">
        <v>45044</v>
      </c>
      <c r="C2923" s="242">
        <f t="shared" si="91"/>
        <v>4</v>
      </c>
      <c r="D2923" s="242">
        <v>47.7</v>
      </c>
      <c r="E2923" s="845">
        <f t="shared" si="92"/>
        <v>8.7222222222222232</v>
      </c>
    </row>
    <row r="2924" spans="2:5">
      <c r="B2924" s="1115">
        <v>45044</v>
      </c>
      <c r="C2924" s="242">
        <f t="shared" si="91"/>
        <v>4</v>
      </c>
      <c r="D2924" s="242">
        <v>47.3</v>
      </c>
      <c r="E2924" s="845">
        <f t="shared" si="92"/>
        <v>8.4999999999999982</v>
      </c>
    </row>
    <row r="2925" spans="2:5">
      <c r="B2925" s="1115">
        <v>45044</v>
      </c>
      <c r="C2925" s="242">
        <f t="shared" si="91"/>
        <v>4</v>
      </c>
      <c r="D2925" s="242">
        <v>46.6</v>
      </c>
      <c r="E2925" s="845">
        <f t="shared" si="92"/>
        <v>8.1111111111111125</v>
      </c>
    </row>
    <row r="2926" spans="2:5">
      <c r="B2926" s="1115">
        <v>45044</v>
      </c>
      <c r="C2926" s="242">
        <f t="shared" si="91"/>
        <v>4</v>
      </c>
      <c r="D2926" s="242">
        <v>47.3</v>
      </c>
      <c r="E2926" s="845">
        <f t="shared" si="92"/>
        <v>8.4999999999999982</v>
      </c>
    </row>
    <row r="2927" spans="2:5">
      <c r="B2927" s="1115">
        <v>45044</v>
      </c>
      <c r="C2927" s="242">
        <f t="shared" si="91"/>
        <v>4</v>
      </c>
      <c r="D2927" s="242">
        <v>47.7</v>
      </c>
      <c r="E2927" s="845">
        <f t="shared" si="92"/>
        <v>8.7222222222222232</v>
      </c>
    </row>
    <row r="2928" spans="2:5">
      <c r="B2928" s="1115">
        <v>45044</v>
      </c>
      <c r="C2928" s="242">
        <f t="shared" si="91"/>
        <v>4</v>
      </c>
      <c r="D2928" s="242">
        <v>48.6</v>
      </c>
      <c r="E2928" s="845">
        <f t="shared" si="92"/>
        <v>9.2222222222222232</v>
      </c>
    </row>
    <row r="2929" spans="2:5">
      <c r="B2929" s="1115">
        <v>45044</v>
      </c>
      <c r="C2929" s="242">
        <f t="shared" si="91"/>
        <v>4</v>
      </c>
      <c r="D2929" s="242">
        <v>49.6</v>
      </c>
      <c r="E2929" s="845">
        <f t="shared" si="92"/>
        <v>9.7777777777777786</v>
      </c>
    </row>
    <row r="2930" spans="2:5">
      <c r="B2930" s="1115">
        <v>45044</v>
      </c>
      <c r="C2930" s="242">
        <f t="shared" si="91"/>
        <v>4</v>
      </c>
      <c r="D2930" s="242">
        <v>50.5</v>
      </c>
      <c r="E2930" s="845">
        <f t="shared" si="92"/>
        <v>10.277777777777777</v>
      </c>
    </row>
    <row r="2931" spans="2:5">
      <c r="B2931" s="1115">
        <v>45044</v>
      </c>
      <c r="C2931" s="242">
        <f t="shared" si="91"/>
        <v>4</v>
      </c>
      <c r="D2931" s="242">
        <v>51.1</v>
      </c>
      <c r="E2931" s="845">
        <f t="shared" si="92"/>
        <v>10.611111111111112</v>
      </c>
    </row>
    <row r="2932" spans="2:5">
      <c r="B2932" s="1115">
        <v>45044</v>
      </c>
      <c r="C2932" s="242">
        <f t="shared" si="91"/>
        <v>4</v>
      </c>
      <c r="D2932" s="242">
        <v>51.4</v>
      </c>
      <c r="E2932" s="845">
        <f t="shared" si="92"/>
        <v>10.777777777777777</v>
      </c>
    </row>
    <row r="2933" spans="2:5">
      <c r="B2933" s="1115">
        <v>45044</v>
      </c>
      <c r="C2933" s="242">
        <f t="shared" si="91"/>
        <v>4</v>
      </c>
      <c r="D2933" s="242">
        <v>50.9</v>
      </c>
      <c r="E2933" s="845">
        <f t="shared" si="92"/>
        <v>10.499999999999998</v>
      </c>
    </row>
    <row r="2934" spans="2:5">
      <c r="B2934" s="1115">
        <v>45044</v>
      </c>
      <c r="C2934" s="242">
        <f t="shared" si="91"/>
        <v>4</v>
      </c>
      <c r="D2934" s="242">
        <v>49.6</v>
      </c>
      <c r="E2934" s="845">
        <f t="shared" si="92"/>
        <v>9.7777777777777786</v>
      </c>
    </row>
    <row r="2935" spans="2:5">
      <c r="B2935" s="1115">
        <v>45044</v>
      </c>
      <c r="C2935" s="242">
        <f t="shared" si="91"/>
        <v>4</v>
      </c>
      <c r="D2935" s="242">
        <v>48.9</v>
      </c>
      <c r="E2935" s="845">
        <f t="shared" si="92"/>
        <v>9.3888888888888875</v>
      </c>
    </row>
    <row r="2936" spans="2:5">
      <c r="B2936" s="1115">
        <v>45044</v>
      </c>
      <c r="C2936" s="242">
        <f t="shared" si="91"/>
        <v>4</v>
      </c>
      <c r="D2936" s="242">
        <v>48.6</v>
      </c>
      <c r="E2936" s="845">
        <f t="shared" si="92"/>
        <v>9.2222222222222232</v>
      </c>
    </row>
    <row r="2937" spans="2:5">
      <c r="B2937" s="1115">
        <v>45045</v>
      </c>
      <c r="C2937" s="242">
        <f t="shared" si="91"/>
        <v>4</v>
      </c>
      <c r="D2937" s="242">
        <v>48.2</v>
      </c>
      <c r="E2937" s="845">
        <f t="shared" si="92"/>
        <v>9.0000000000000018</v>
      </c>
    </row>
    <row r="2938" spans="2:5">
      <c r="B2938" s="1115">
        <v>45045</v>
      </c>
      <c r="C2938" s="242">
        <f t="shared" si="91"/>
        <v>4</v>
      </c>
      <c r="D2938" s="242">
        <v>48.2</v>
      </c>
      <c r="E2938" s="845">
        <f t="shared" si="92"/>
        <v>9.0000000000000018</v>
      </c>
    </row>
    <row r="2939" spans="2:5">
      <c r="B2939" s="1115">
        <v>45045</v>
      </c>
      <c r="C2939" s="242">
        <f t="shared" si="91"/>
        <v>4</v>
      </c>
      <c r="D2939" s="242">
        <v>48.6</v>
      </c>
      <c r="E2939" s="845">
        <f t="shared" si="92"/>
        <v>9.2222222222222232</v>
      </c>
    </row>
    <row r="2940" spans="2:5">
      <c r="B2940" s="1115">
        <v>45045</v>
      </c>
      <c r="C2940" s="242">
        <f t="shared" si="91"/>
        <v>4</v>
      </c>
      <c r="D2940" s="242">
        <v>48.9</v>
      </c>
      <c r="E2940" s="845">
        <f t="shared" si="92"/>
        <v>9.3888888888888875</v>
      </c>
    </row>
    <row r="2941" spans="2:5">
      <c r="B2941" s="1115">
        <v>45045</v>
      </c>
      <c r="C2941" s="242">
        <f t="shared" si="91"/>
        <v>4</v>
      </c>
      <c r="D2941" s="242">
        <v>49.5</v>
      </c>
      <c r="E2941" s="845">
        <f t="shared" si="92"/>
        <v>9.7222222222222214</v>
      </c>
    </row>
    <row r="2942" spans="2:5">
      <c r="B2942" s="1115">
        <v>45045</v>
      </c>
      <c r="C2942" s="242">
        <f t="shared" si="91"/>
        <v>4</v>
      </c>
      <c r="D2942" s="242">
        <v>50.2</v>
      </c>
      <c r="E2942" s="845">
        <f t="shared" si="92"/>
        <v>10.111111111111112</v>
      </c>
    </row>
    <row r="2943" spans="2:5">
      <c r="B2943" s="1115">
        <v>45045</v>
      </c>
      <c r="C2943" s="242">
        <f t="shared" si="91"/>
        <v>4</v>
      </c>
      <c r="D2943" s="242">
        <v>50.7</v>
      </c>
      <c r="E2943" s="845">
        <f t="shared" si="92"/>
        <v>10.388888888888891</v>
      </c>
    </row>
    <row r="2944" spans="2:5">
      <c r="B2944" s="1115">
        <v>45045</v>
      </c>
      <c r="C2944" s="242">
        <f t="shared" si="91"/>
        <v>4</v>
      </c>
      <c r="D2944" s="242">
        <v>50.9</v>
      </c>
      <c r="E2944" s="845">
        <f t="shared" si="92"/>
        <v>10.499999999999998</v>
      </c>
    </row>
    <row r="2945" spans="2:5">
      <c r="B2945" s="1115">
        <v>45045</v>
      </c>
      <c r="C2945" s="242">
        <f t="shared" si="91"/>
        <v>4</v>
      </c>
      <c r="D2945" s="242">
        <v>50.4</v>
      </c>
      <c r="E2945" s="845">
        <f t="shared" si="92"/>
        <v>10.222222222222221</v>
      </c>
    </row>
    <row r="2946" spans="2:5">
      <c r="B2946" s="1115">
        <v>45045</v>
      </c>
      <c r="C2946" s="242">
        <f t="shared" si="91"/>
        <v>4</v>
      </c>
      <c r="D2946" s="242">
        <v>49.3</v>
      </c>
      <c r="E2946" s="845">
        <f t="shared" si="92"/>
        <v>9.6111111111111089</v>
      </c>
    </row>
    <row r="2947" spans="2:5">
      <c r="B2947" s="1115">
        <v>45045</v>
      </c>
      <c r="C2947" s="242">
        <f t="shared" si="91"/>
        <v>4</v>
      </c>
      <c r="D2947" s="242">
        <v>48.6</v>
      </c>
      <c r="E2947" s="845">
        <f t="shared" si="92"/>
        <v>9.2222222222222232</v>
      </c>
    </row>
    <row r="2948" spans="2:5">
      <c r="B2948" s="1115">
        <v>45045</v>
      </c>
      <c r="C2948" s="242">
        <f t="shared" si="91"/>
        <v>4</v>
      </c>
      <c r="D2948" s="242">
        <v>47.8</v>
      </c>
      <c r="E2948" s="845">
        <f t="shared" si="92"/>
        <v>8.7777777777777768</v>
      </c>
    </row>
    <row r="2949" spans="2:5">
      <c r="B2949" s="1115">
        <v>45045</v>
      </c>
      <c r="C2949" s="242">
        <f t="shared" si="91"/>
        <v>4</v>
      </c>
      <c r="D2949" s="242">
        <v>47.5</v>
      </c>
      <c r="E2949" s="845">
        <f t="shared" si="92"/>
        <v>8.6111111111111107</v>
      </c>
    </row>
    <row r="2950" spans="2:5">
      <c r="B2950" s="1115">
        <v>45045</v>
      </c>
      <c r="C2950" s="242">
        <f t="shared" si="91"/>
        <v>4</v>
      </c>
      <c r="D2950" s="242">
        <v>47.5</v>
      </c>
      <c r="E2950" s="845">
        <f t="shared" si="92"/>
        <v>8.6111111111111107</v>
      </c>
    </row>
    <row r="2951" spans="2:5">
      <c r="B2951" s="1115">
        <v>45045</v>
      </c>
      <c r="C2951" s="242">
        <f t="shared" si="91"/>
        <v>4</v>
      </c>
      <c r="D2951" s="242">
        <v>47.8</v>
      </c>
      <c r="E2951" s="845">
        <f t="shared" si="92"/>
        <v>8.7777777777777768</v>
      </c>
    </row>
    <row r="2952" spans="2:5">
      <c r="B2952" s="1115">
        <v>45045</v>
      </c>
      <c r="C2952" s="242">
        <f t="shared" si="91"/>
        <v>4</v>
      </c>
      <c r="D2952" s="242">
        <v>48.2</v>
      </c>
      <c r="E2952" s="845">
        <f t="shared" si="92"/>
        <v>9.0000000000000018</v>
      </c>
    </row>
    <row r="2953" spans="2:5">
      <c r="B2953" s="1115">
        <v>45045</v>
      </c>
      <c r="C2953" s="242">
        <f t="shared" si="91"/>
        <v>4</v>
      </c>
      <c r="D2953" s="242">
        <v>49.1</v>
      </c>
      <c r="E2953" s="845">
        <f t="shared" si="92"/>
        <v>9.5</v>
      </c>
    </row>
    <row r="2954" spans="2:5">
      <c r="B2954" s="1115">
        <v>45045</v>
      </c>
      <c r="C2954" s="242">
        <f t="shared" ref="C2954:C3017" si="93">MONTH(B2954)</f>
        <v>4</v>
      </c>
      <c r="D2954" s="242">
        <v>50.2</v>
      </c>
      <c r="E2954" s="845">
        <f t="shared" ref="E2954:E3017" si="94">CONVERT(D2954,"F","C")</f>
        <v>10.111111111111112</v>
      </c>
    </row>
    <row r="2955" spans="2:5">
      <c r="B2955" s="1115">
        <v>45045</v>
      </c>
      <c r="C2955" s="242">
        <f t="shared" si="93"/>
        <v>4</v>
      </c>
      <c r="D2955" s="242">
        <v>51.1</v>
      </c>
      <c r="E2955" s="845">
        <f t="shared" si="94"/>
        <v>10.611111111111112</v>
      </c>
    </row>
    <row r="2956" spans="2:5">
      <c r="B2956" s="1115">
        <v>45045</v>
      </c>
      <c r="C2956" s="242">
        <f t="shared" si="93"/>
        <v>4</v>
      </c>
      <c r="D2956" s="242">
        <v>51.4</v>
      </c>
      <c r="E2956" s="845">
        <f t="shared" si="94"/>
        <v>10.777777777777777</v>
      </c>
    </row>
    <row r="2957" spans="2:5">
      <c r="B2957" s="1115">
        <v>45045</v>
      </c>
      <c r="C2957" s="242">
        <f t="shared" si="93"/>
        <v>4</v>
      </c>
      <c r="D2957" s="242">
        <v>51.4</v>
      </c>
      <c r="E2957" s="845">
        <f t="shared" si="94"/>
        <v>10.777777777777777</v>
      </c>
    </row>
    <row r="2958" spans="2:5">
      <c r="B2958" s="1115">
        <v>45045</v>
      </c>
      <c r="C2958" s="242">
        <f t="shared" si="93"/>
        <v>4</v>
      </c>
      <c r="D2958" s="242">
        <v>51.1</v>
      </c>
      <c r="E2958" s="845">
        <f t="shared" si="94"/>
        <v>10.611111111111112</v>
      </c>
    </row>
    <row r="2959" spans="2:5">
      <c r="B2959" s="1115">
        <v>45045</v>
      </c>
      <c r="C2959" s="242">
        <f t="shared" si="93"/>
        <v>4</v>
      </c>
      <c r="D2959" s="242">
        <v>49.6</v>
      </c>
      <c r="E2959" s="845">
        <f t="shared" si="94"/>
        <v>9.7777777777777786</v>
      </c>
    </row>
    <row r="2960" spans="2:5">
      <c r="B2960" s="1115">
        <v>45045</v>
      </c>
      <c r="C2960" s="242">
        <f t="shared" si="93"/>
        <v>4</v>
      </c>
      <c r="D2960" s="242">
        <v>49.3</v>
      </c>
      <c r="E2960" s="845">
        <f t="shared" si="94"/>
        <v>9.6111111111111089</v>
      </c>
    </row>
    <row r="2961" spans="2:5">
      <c r="B2961" s="1115">
        <v>45046</v>
      </c>
      <c r="C2961" s="242">
        <f t="shared" si="93"/>
        <v>4</v>
      </c>
      <c r="D2961" s="242">
        <v>49.1</v>
      </c>
      <c r="E2961" s="845">
        <f t="shared" si="94"/>
        <v>9.5</v>
      </c>
    </row>
    <row r="2962" spans="2:5">
      <c r="B2962" s="1115">
        <v>45046</v>
      </c>
      <c r="C2962" s="242">
        <f t="shared" si="93"/>
        <v>4</v>
      </c>
      <c r="D2962" s="242">
        <v>48.7</v>
      </c>
      <c r="E2962" s="845">
        <f t="shared" si="94"/>
        <v>9.2777777777777786</v>
      </c>
    </row>
    <row r="2963" spans="2:5">
      <c r="B2963" s="1115">
        <v>45046</v>
      </c>
      <c r="C2963" s="242">
        <f t="shared" si="93"/>
        <v>4</v>
      </c>
      <c r="D2963" s="242">
        <v>48.6</v>
      </c>
      <c r="E2963" s="845">
        <f t="shared" si="94"/>
        <v>9.2222222222222232</v>
      </c>
    </row>
    <row r="2964" spans="2:5">
      <c r="B2964" s="1115">
        <v>45046</v>
      </c>
      <c r="C2964" s="242">
        <f t="shared" si="93"/>
        <v>4</v>
      </c>
      <c r="D2964" s="242">
        <v>48.7</v>
      </c>
      <c r="E2964" s="845">
        <f t="shared" si="94"/>
        <v>9.2777777777777786</v>
      </c>
    </row>
    <row r="2965" spans="2:5">
      <c r="B2965" s="1115">
        <v>45046</v>
      </c>
      <c r="C2965" s="242">
        <f t="shared" si="93"/>
        <v>4</v>
      </c>
      <c r="D2965" s="242">
        <v>49.1</v>
      </c>
      <c r="E2965" s="845">
        <f t="shared" si="94"/>
        <v>9.5</v>
      </c>
    </row>
    <row r="2966" spans="2:5">
      <c r="B2966" s="1115">
        <v>45046</v>
      </c>
      <c r="C2966" s="242">
        <f t="shared" si="93"/>
        <v>4</v>
      </c>
      <c r="D2966" s="242">
        <v>49.6</v>
      </c>
      <c r="E2966" s="845">
        <f t="shared" si="94"/>
        <v>9.7777777777777786</v>
      </c>
    </row>
    <row r="2967" spans="2:5">
      <c r="B2967" s="1115">
        <v>45046</v>
      </c>
      <c r="C2967" s="242">
        <f t="shared" si="93"/>
        <v>4</v>
      </c>
      <c r="D2967" s="242">
        <v>50.4</v>
      </c>
      <c r="E2967" s="845">
        <f t="shared" si="94"/>
        <v>10.222222222222221</v>
      </c>
    </row>
    <row r="2968" spans="2:5">
      <c r="B2968" s="1115">
        <v>45046</v>
      </c>
      <c r="C2968" s="242">
        <f t="shared" si="93"/>
        <v>4</v>
      </c>
      <c r="D2968" s="242">
        <v>50.9</v>
      </c>
      <c r="E2968" s="845">
        <f t="shared" si="94"/>
        <v>10.499999999999998</v>
      </c>
    </row>
    <row r="2969" spans="2:5">
      <c r="B2969" s="1115">
        <v>45046</v>
      </c>
      <c r="C2969" s="242">
        <f t="shared" si="93"/>
        <v>4</v>
      </c>
      <c r="D2969" s="242">
        <v>50.9</v>
      </c>
      <c r="E2969" s="845">
        <f t="shared" si="94"/>
        <v>10.499999999999998</v>
      </c>
    </row>
    <row r="2970" spans="2:5">
      <c r="B2970" s="1115">
        <v>45046</v>
      </c>
      <c r="C2970" s="242">
        <f t="shared" si="93"/>
        <v>4</v>
      </c>
      <c r="D2970" s="242">
        <v>50.5</v>
      </c>
      <c r="E2970" s="845">
        <f t="shared" si="94"/>
        <v>10.277777777777777</v>
      </c>
    </row>
    <row r="2971" spans="2:5">
      <c r="B2971" s="1115">
        <v>45046</v>
      </c>
      <c r="C2971" s="242">
        <f t="shared" si="93"/>
        <v>4</v>
      </c>
      <c r="D2971" s="242">
        <v>49.5</v>
      </c>
      <c r="E2971" s="845">
        <f t="shared" si="94"/>
        <v>9.7222222222222214</v>
      </c>
    </row>
    <row r="2972" spans="2:5">
      <c r="B2972" s="1115">
        <v>45046</v>
      </c>
      <c r="C2972" s="242">
        <f t="shared" si="93"/>
        <v>4</v>
      </c>
      <c r="D2972" s="242">
        <v>48.9</v>
      </c>
      <c r="E2972" s="845">
        <f t="shared" si="94"/>
        <v>9.3888888888888875</v>
      </c>
    </row>
    <row r="2973" spans="2:5">
      <c r="B2973" s="1115">
        <v>45046</v>
      </c>
      <c r="C2973" s="242">
        <f t="shared" si="93"/>
        <v>4</v>
      </c>
      <c r="D2973" s="242">
        <v>48.9</v>
      </c>
      <c r="E2973" s="845">
        <f t="shared" si="94"/>
        <v>9.3888888888888875</v>
      </c>
    </row>
    <row r="2974" spans="2:5">
      <c r="B2974" s="1115">
        <v>45046</v>
      </c>
      <c r="C2974" s="242">
        <f t="shared" si="93"/>
        <v>4</v>
      </c>
      <c r="D2974" s="242">
        <v>48.7</v>
      </c>
      <c r="E2974" s="845">
        <f t="shared" si="94"/>
        <v>9.2777777777777786</v>
      </c>
    </row>
    <row r="2975" spans="2:5">
      <c r="B2975" s="1115">
        <v>45046</v>
      </c>
      <c r="C2975" s="242">
        <f t="shared" si="93"/>
        <v>4</v>
      </c>
      <c r="D2975" s="242">
        <v>48.6</v>
      </c>
      <c r="E2975" s="845">
        <f t="shared" si="94"/>
        <v>9.2222222222222232</v>
      </c>
    </row>
    <row r="2976" spans="2:5">
      <c r="B2976" s="1115">
        <v>45046</v>
      </c>
      <c r="C2976" s="242">
        <f t="shared" si="93"/>
        <v>4</v>
      </c>
      <c r="D2976" s="242">
        <v>48.7</v>
      </c>
      <c r="E2976" s="845">
        <f t="shared" si="94"/>
        <v>9.2777777777777786</v>
      </c>
    </row>
    <row r="2977" spans="2:5">
      <c r="B2977" s="1115">
        <v>45046</v>
      </c>
      <c r="C2977" s="242">
        <f t="shared" si="93"/>
        <v>4</v>
      </c>
      <c r="D2977" s="242">
        <v>48.9</v>
      </c>
      <c r="E2977" s="845">
        <f t="shared" si="94"/>
        <v>9.3888888888888875</v>
      </c>
    </row>
    <row r="2978" spans="2:5">
      <c r="B2978" s="1115">
        <v>45046</v>
      </c>
      <c r="C2978" s="242">
        <f t="shared" si="93"/>
        <v>4</v>
      </c>
      <c r="D2978" s="242">
        <v>49.5</v>
      </c>
      <c r="E2978" s="845">
        <f t="shared" si="94"/>
        <v>9.7222222222222214</v>
      </c>
    </row>
    <row r="2979" spans="2:5">
      <c r="B2979" s="1115">
        <v>45046</v>
      </c>
      <c r="C2979" s="242">
        <f t="shared" si="93"/>
        <v>4</v>
      </c>
      <c r="D2979" s="242">
        <v>50.4</v>
      </c>
      <c r="E2979" s="845">
        <f t="shared" si="94"/>
        <v>10.222222222222221</v>
      </c>
    </row>
    <row r="2980" spans="2:5">
      <c r="B2980" s="1115">
        <v>45046</v>
      </c>
      <c r="C2980" s="242">
        <f t="shared" si="93"/>
        <v>4</v>
      </c>
      <c r="D2980" s="242">
        <v>50.9</v>
      </c>
      <c r="E2980" s="845">
        <f t="shared" si="94"/>
        <v>10.499999999999998</v>
      </c>
    </row>
    <row r="2981" spans="2:5">
      <c r="B2981" s="1115">
        <v>45046</v>
      </c>
      <c r="C2981" s="242">
        <f t="shared" si="93"/>
        <v>4</v>
      </c>
      <c r="D2981" s="242">
        <v>51.1</v>
      </c>
      <c r="E2981" s="845">
        <f t="shared" si="94"/>
        <v>10.611111111111112</v>
      </c>
    </row>
    <row r="2982" spans="2:5">
      <c r="B2982" s="1115">
        <v>45046</v>
      </c>
      <c r="C2982" s="242">
        <f t="shared" si="93"/>
        <v>4</v>
      </c>
      <c r="D2982" s="242">
        <v>51.1</v>
      </c>
      <c r="E2982" s="845">
        <f t="shared" si="94"/>
        <v>10.611111111111112</v>
      </c>
    </row>
    <row r="2983" spans="2:5">
      <c r="B2983" s="1115">
        <v>45046</v>
      </c>
      <c r="C2983" s="242">
        <f t="shared" si="93"/>
        <v>4</v>
      </c>
      <c r="D2983" s="242">
        <v>50.2</v>
      </c>
      <c r="E2983" s="845">
        <f t="shared" si="94"/>
        <v>10.111111111111112</v>
      </c>
    </row>
    <row r="2984" spans="2:5">
      <c r="B2984" s="1115">
        <v>45046</v>
      </c>
      <c r="C2984" s="242">
        <f t="shared" si="93"/>
        <v>4</v>
      </c>
      <c r="D2984" s="242">
        <v>49.6</v>
      </c>
      <c r="E2984" s="845">
        <f t="shared" si="94"/>
        <v>9.7777777777777786</v>
      </c>
    </row>
    <row r="2985" spans="2:5">
      <c r="B2985" s="1115">
        <v>45047</v>
      </c>
      <c r="C2985" s="242">
        <f t="shared" si="93"/>
        <v>5</v>
      </c>
      <c r="D2985" s="242">
        <v>49.5</v>
      </c>
      <c r="E2985" s="845">
        <f t="shared" si="94"/>
        <v>9.7222222222222214</v>
      </c>
    </row>
    <row r="2986" spans="2:5">
      <c r="B2986" s="1115">
        <v>45047</v>
      </c>
      <c r="C2986" s="242">
        <f t="shared" si="93"/>
        <v>5</v>
      </c>
      <c r="D2986" s="242">
        <v>49.3</v>
      </c>
      <c r="E2986" s="845">
        <f t="shared" si="94"/>
        <v>9.6111111111111089</v>
      </c>
    </row>
    <row r="2987" spans="2:5">
      <c r="B2987" s="1115">
        <v>45047</v>
      </c>
      <c r="C2987" s="242">
        <f t="shared" si="93"/>
        <v>5</v>
      </c>
      <c r="D2987" s="242">
        <v>49.3</v>
      </c>
      <c r="E2987" s="845">
        <f t="shared" si="94"/>
        <v>9.6111111111111089</v>
      </c>
    </row>
    <row r="2988" spans="2:5">
      <c r="B2988" s="1115">
        <v>45047</v>
      </c>
      <c r="C2988" s="242">
        <f t="shared" si="93"/>
        <v>5</v>
      </c>
      <c r="D2988" s="242">
        <v>49.1</v>
      </c>
      <c r="E2988" s="845">
        <f t="shared" si="94"/>
        <v>9.5</v>
      </c>
    </row>
    <row r="2989" spans="2:5">
      <c r="B2989" s="1115">
        <v>45047</v>
      </c>
      <c r="C2989" s="242">
        <f t="shared" si="93"/>
        <v>5</v>
      </c>
      <c r="D2989" s="242">
        <v>49.3</v>
      </c>
      <c r="E2989" s="845">
        <f t="shared" si="94"/>
        <v>9.6111111111111089</v>
      </c>
    </row>
    <row r="2990" spans="2:5">
      <c r="B2990" s="1115">
        <v>45047</v>
      </c>
      <c r="C2990" s="242">
        <f t="shared" si="93"/>
        <v>5</v>
      </c>
      <c r="D2990" s="242">
        <v>49.5</v>
      </c>
      <c r="E2990" s="845">
        <f t="shared" si="94"/>
        <v>9.7222222222222214</v>
      </c>
    </row>
    <row r="2991" spans="2:5">
      <c r="B2991" s="1115">
        <v>45047</v>
      </c>
      <c r="C2991" s="242">
        <f t="shared" si="93"/>
        <v>5</v>
      </c>
      <c r="D2991" s="242">
        <v>49.8</v>
      </c>
      <c r="E2991" s="845">
        <f t="shared" si="94"/>
        <v>9.8888888888888875</v>
      </c>
    </row>
    <row r="2992" spans="2:5">
      <c r="B2992" s="1115">
        <v>45047</v>
      </c>
      <c r="C2992" s="242">
        <f t="shared" si="93"/>
        <v>5</v>
      </c>
      <c r="D2992" s="242">
        <v>50.2</v>
      </c>
      <c r="E2992" s="845">
        <f t="shared" si="94"/>
        <v>10.111111111111112</v>
      </c>
    </row>
    <row r="2993" spans="2:5">
      <c r="B2993" s="1115">
        <v>45047</v>
      </c>
      <c r="C2993" s="242">
        <f t="shared" si="93"/>
        <v>5</v>
      </c>
      <c r="D2993" s="242">
        <v>50.7</v>
      </c>
      <c r="E2993" s="845">
        <f t="shared" si="94"/>
        <v>10.388888888888891</v>
      </c>
    </row>
    <row r="2994" spans="2:5">
      <c r="B2994" s="1115">
        <v>45047</v>
      </c>
      <c r="C2994" s="242">
        <f t="shared" si="93"/>
        <v>5</v>
      </c>
      <c r="D2994" s="242">
        <v>50.7</v>
      </c>
      <c r="E2994" s="845">
        <f t="shared" si="94"/>
        <v>10.388888888888891</v>
      </c>
    </row>
    <row r="2995" spans="2:5">
      <c r="B2995" s="1115">
        <v>45047</v>
      </c>
      <c r="C2995" s="242">
        <f t="shared" si="93"/>
        <v>5</v>
      </c>
      <c r="D2995" s="242">
        <v>50.4</v>
      </c>
      <c r="E2995" s="845">
        <f t="shared" si="94"/>
        <v>10.222222222222221</v>
      </c>
    </row>
    <row r="2996" spans="2:5">
      <c r="B2996" s="1115">
        <v>45047</v>
      </c>
      <c r="C2996" s="242">
        <f t="shared" si="93"/>
        <v>5</v>
      </c>
      <c r="D2996" s="242">
        <v>49.8</v>
      </c>
      <c r="E2996" s="845">
        <f t="shared" si="94"/>
        <v>9.8888888888888875</v>
      </c>
    </row>
    <row r="2997" spans="2:5">
      <c r="B2997" s="1115">
        <v>45047</v>
      </c>
      <c r="C2997" s="242">
        <f t="shared" si="93"/>
        <v>5</v>
      </c>
      <c r="D2997" s="242">
        <v>49.6</v>
      </c>
      <c r="E2997" s="845">
        <f t="shared" si="94"/>
        <v>9.7777777777777786</v>
      </c>
    </row>
    <row r="2998" spans="2:5">
      <c r="B2998" s="1115">
        <v>45047</v>
      </c>
      <c r="C2998" s="242">
        <f t="shared" si="93"/>
        <v>5</v>
      </c>
      <c r="D2998" s="242">
        <v>49.3</v>
      </c>
      <c r="E2998" s="845">
        <f t="shared" si="94"/>
        <v>9.6111111111111089</v>
      </c>
    </row>
    <row r="2999" spans="2:5">
      <c r="B2999" s="1115">
        <v>45047</v>
      </c>
      <c r="C2999" s="242">
        <f t="shared" si="93"/>
        <v>5</v>
      </c>
      <c r="D2999" s="242">
        <v>48.9</v>
      </c>
      <c r="E2999" s="845">
        <f t="shared" si="94"/>
        <v>9.3888888888888875</v>
      </c>
    </row>
    <row r="3000" spans="2:5">
      <c r="B3000" s="1115">
        <v>45047</v>
      </c>
      <c r="C3000" s="242">
        <f t="shared" si="93"/>
        <v>5</v>
      </c>
      <c r="D3000" s="242">
        <v>49.6</v>
      </c>
      <c r="E3000" s="845">
        <f t="shared" si="94"/>
        <v>9.7777777777777786</v>
      </c>
    </row>
    <row r="3001" spans="2:5">
      <c r="B3001" s="1115">
        <v>45047</v>
      </c>
      <c r="C3001" s="242">
        <f t="shared" si="93"/>
        <v>5</v>
      </c>
      <c r="D3001" s="242">
        <v>49.5</v>
      </c>
      <c r="E3001" s="845">
        <f t="shared" si="94"/>
        <v>9.7222222222222214</v>
      </c>
    </row>
    <row r="3002" spans="2:5">
      <c r="B3002" s="1115">
        <v>45047</v>
      </c>
      <c r="C3002" s="242">
        <f t="shared" si="93"/>
        <v>5</v>
      </c>
      <c r="D3002" s="242">
        <v>50.2</v>
      </c>
      <c r="E3002" s="845">
        <f t="shared" si="94"/>
        <v>10.111111111111112</v>
      </c>
    </row>
    <row r="3003" spans="2:5">
      <c r="B3003" s="1115">
        <v>45047</v>
      </c>
      <c r="C3003" s="242">
        <f t="shared" si="93"/>
        <v>5</v>
      </c>
      <c r="D3003" s="242">
        <v>51.1</v>
      </c>
      <c r="E3003" s="845">
        <f t="shared" si="94"/>
        <v>10.611111111111112</v>
      </c>
    </row>
    <row r="3004" spans="2:5">
      <c r="B3004" s="1115">
        <v>45047</v>
      </c>
      <c r="C3004" s="242">
        <f t="shared" si="93"/>
        <v>5</v>
      </c>
      <c r="D3004" s="242">
        <v>51.8</v>
      </c>
      <c r="E3004" s="845">
        <f t="shared" si="94"/>
        <v>10.999999999999998</v>
      </c>
    </row>
    <row r="3005" spans="2:5">
      <c r="B3005" s="1115">
        <v>45047</v>
      </c>
      <c r="C3005" s="242">
        <f t="shared" si="93"/>
        <v>5</v>
      </c>
      <c r="D3005" s="242">
        <v>52.2</v>
      </c>
      <c r="E3005" s="845">
        <f t="shared" si="94"/>
        <v>11.222222222222223</v>
      </c>
    </row>
    <row r="3006" spans="2:5">
      <c r="B3006" s="1115">
        <v>45047</v>
      </c>
      <c r="C3006" s="242">
        <f t="shared" si="93"/>
        <v>5</v>
      </c>
      <c r="D3006" s="242">
        <v>52.3</v>
      </c>
      <c r="E3006" s="845">
        <f t="shared" si="94"/>
        <v>11.277777777777777</v>
      </c>
    </row>
    <row r="3007" spans="2:5">
      <c r="B3007" s="1115">
        <v>45047</v>
      </c>
      <c r="C3007" s="242">
        <f t="shared" si="93"/>
        <v>5</v>
      </c>
      <c r="D3007" s="242">
        <v>52.3</v>
      </c>
      <c r="E3007" s="845">
        <f t="shared" si="94"/>
        <v>11.277777777777777</v>
      </c>
    </row>
    <row r="3008" spans="2:5">
      <c r="B3008" s="1115">
        <v>45047</v>
      </c>
      <c r="C3008" s="242">
        <f t="shared" si="93"/>
        <v>5</v>
      </c>
      <c r="D3008" s="242">
        <v>50.9</v>
      </c>
      <c r="E3008" s="845">
        <f t="shared" si="94"/>
        <v>10.499999999999998</v>
      </c>
    </row>
    <row r="3009" spans="2:5">
      <c r="B3009" s="1115">
        <v>45048</v>
      </c>
      <c r="C3009" s="242">
        <f t="shared" si="93"/>
        <v>5</v>
      </c>
      <c r="D3009" s="242">
        <v>49.3</v>
      </c>
      <c r="E3009" s="845">
        <f t="shared" si="94"/>
        <v>9.6111111111111089</v>
      </c>
    </row>
    <row r="3010" spans="2:5">
      <c r="B3010" s="1115">
        <v>45048</v>
      </c>
      <c r="C3010" s="242">
        <f t="shared" si="93"/>
        <v>5</v>
      </c>
      <c r="D3010" s="242">
        <v>47.8</v>
      </c>
      <c r="E3010" s="845">
        <f t="shared" si="94"/>
        <v>8.7777777777777768</v>
      </c>
    </row>
    <row r="3011" spans="2:5">
      <c r="B3011" s="1115">
        <v>45048</v>
      </c>
      <c r="C3011" s="242">
        <f t="shared" si="93"/>
        <v>5</v>
      </c>
      <c r="D3011" s="242">
        <v>48.2</v>
      </c>
      <c r="E3011" s="845">
        <f t="shared" si="94"/>
        <v>9.0000000000000018</v>
      </c>
    </row>
    <row r="3012" spans="2:5">
      <c r="B3012" s="1115">
        <v>45048</v>
      </c>
      <c r="C3012" s="242">
        <f t="shared" si="93"/>
        <v>5</v>
      </c>
      <c r="D3012" s="242">
        <v>47.1</v>
      </c>
      <c r="E3012" s="845">
        <f t="shared" si="94"/>
        <v>8.3888888888888893</v>
      </c>
    </row>
    <row r="3013" spans="2:5">
      <c r="B3013" s="1115">
        <v>45048</v>
      </c>
      <c r="C3013" s="242">
        <f t="shared" si="93"/>
        <v>5</v>
      </c>
      <c r="D3013" s="242">
        <v>47.5</v>
      </c>
      <c r="E3013" s="845">
        <f t="shared" si="94"/>
        <v>8.6111111111111107</v>
      </c>
    </row>
    <row r="3014" spans="2:5">
      <c r="B3014" s="1115">
        <v>45048</v>
      </c>
      <c r="C3014" s="242">
        <f t="shared" si="93"/>
        <v>5</v>
      </c>
      <c r="D3014" s="242">
        <v>48.4</v>
      </c>
      <c r="E3014" s="845">
        <f t="shared" si="94"/>
        <v>9.1111111111111107</v>
      </c>
    </row>
    <row r="3015" spans="2:5">
      <c r="B3015" s="1115">
        <v>45048</v>
      </c>
      <c r="C3015" s="242">
        <f t="shared" si="93"/>
        <v>5</v>
      </c>
      <c r="D3015" s="242">
        <v>50.2</v>
      </c>
      <c r="E3015" s="845">
        <f t="shared" si="94"/>
        <v>10.111111111111112</v>
      </c>
    </row>
    <row r="3016" spans="2:5">
      <c r="B3016" s="1115">
        <v>45048</v>
      </c>
      <c r="C3016" s="242">
        <f t="shared" si="93"/>
        <v>5</v>
      </c>
      <c r="D3016" s="242">
        <v>51.3</v>
      </c>
      <c r="E3016" s="845">
        <f t="shared" si="94"/>
        <v>10.72222222222222</v>
      </c>
    </row>
    <row r="3017" spans="2:5">
      <c r="B3017" s="1115">
        <v>45048</v>
      </c>
      <c r="C3017" s="242">
        <f t="shared" si="93"/>
        <v>5</v>
      </c>
      <c r="D3017" s="242" t="s">
        <v>1845</v>
      </c>
      <c r="E3017" s="845">
        <f t="shared" si="94"/>
        <v>11.111111111111111</v>
      </c>
    </row>
    <row r="3018" spans="2:5">
      <c r="B3018" s="1115">
        <v>45048</v>
      </c>
      <c r="C3018" s="242">
        <f t="shared" ref="C3018:C3081" si="95">MONTH(B3018)</f>
        <v>5</v>
      </c>
      <c r="D3018" s="242">
        <v>52.2</v>
      </c>
      <c r="E3018" s="845">
        <f t="shared" ref="E3018:E3081" si="96">CONVERT(D3018,"F","C")</f>
        <v>11.222222222222223</v>
      </c>
    </row>
    <row r="3019" spans="2:5">
      <c r="B3019" s="1115">
        <v>45048</v>
      </c>
      <c r="C3019" s="242">
        <f t="shared" si="95"/>
        <v>5</v>
      </c>
      <c r="D3019" s="242">
        <v>52.3</v>
      </c>
      <c r="E3019" s="845">
        <f t="shared" si="96"/>
        <v>11.277777777777777</v>
      </c>
    </row>
    <row r="3020" spans="2:5">
      <c r="B3020" s="1115">
        <v>45048</v>
      </c>
      <c r="C3020" s="242">
        <f t="shared" si="95"/>
        <v>5</v>
      </c>
      <c r="D3020" s="242" t="s">
        <v>1845</v>
      </c>
      <c r="E3020" s="845">
        <f t="shared" si="96"/>
        <v>11.111111111111111</v>
      </c>
    </row>
    <row r="3021" spans="2:5">
      <c r="B3021" s="1115">
        <v>45048</v>
      </c>
      <c r="C3021" s="242">
        <f t="shared" si="95"/>
        <v>5</v>
      </c>
      <c r="D3021" s="242">
        <v>49.3</v>
      </c>
      <c r="E3021" s="845">
        <f t="shared" si="96"/>
        <v>9.6111111111111089</v>
      </c>
    </row>
    <row r="3022" spans="2:5">
      <c r="B3022" s="1115">
        <v>45048</v>
      </c>
      <c r="C3022" s="242">
        <f t="shared" si="95"/>
        <v>5</v>
      </c>
      <c r="D3022" s="242">
        <v>47.5</v>
      </c>
      <c r="E3022" s="845">
        <f t="shared" si="96"/>
        <v>8.6111111111111107</v>
      </c>
    </row>
    <row r="3023" spans="2:5">
      <c r="B3023" s="1115">
        <v>45048</v>
      </c>
      <c r="C3023" s="242">
        <f t="shared" si="95"/>
        <v>5</v>
      </c>
      <c r="D3023" s="242">
        <v>47.8</v>
      </c>
      <c r="E3023" s="845">
        <f t="shared" si="96"/>
        <v>8.7777777777777768</v>
      </c>
    </row>
    <row r="3024" spans="2:5">
      <c r="B3024" s="1115">
        <v>45048</v>
      </c>
      <c r="C3024" s="242">
        <f t="shared" si="95"/>
        <v>5</v>
      </c>
      <c r="D3024" s="242">
        <v>47.1</v>
      </c>
      <c r="E3024" s="845">
        <f t="shared" si="96"/>
        <v>8.3888888888888893</v>
      </c>
    </row>
    <row r="3025" spans="2:5">
      <c r="B3025" s="1115">
        <v>45048</v>
      </c>
      <c r="C3025" s="242">
        <f t="shared" si="95"/>
        <v>5</v>
      </c>
      <c r="D3025" s="242">
        <v>49.1</v>
      </c>
      <c r="E3025" s="845">
        <f t="shared" si="96"/>
        <v>9.5</v>
      </c>
    </row>
    <row r="3026" spans="2:5">
      <c r="B3026" s="1115">
        <v>45048</v>
      </c>
      <c r="C3026" s="242">
        <f t="shared" si="95"/>
        <v>5</v>
      </c>
      <c r="D3026" s="242" t="s">
        <v>1843</v>
      </c>
      <c r="E3026" s="845">
        <f t="shared" si="96"/>
        <v>8.8888888888888893</v>
      </c>
    </row>
    <row r="3027" spans="2:5">
      <c r="B3027" s="1115">
        <v>45048</v>
      </c>
      <c r="C3027" s="242">
        <f t="shared" si="95"/>
        <v>5</v>
      </c>
      <c r="D3027" s="242">
        <v>49.3</v>
      </c>
      <c r="E3027" s="845">
        <f t="shared" si="96"/>
        <v>9.6111111111111089</v>
      </c>
    </row>
    <row r="3028" spans="2:5">
      <c r="B3028" s="1115">
        <v>45048</v>
      </c>
      <c r="C3028" s="242">
        <f t="shared" si="95"/>
        <v>5</v>
      </c>
      <c r="D3028" s="242">
        <v>50.7</v>
      </c>
      <c r="E3028" s="845">
        <f t="shared" si="96"/>
        <v>10.388888888888891</v>
      </c>
    </row>
    <row r="3029" spans="2:5">
      <c r="B3029" s="1115">
        <v>45048</v>
      </c>
      <c r="C3029" s="242">
        <f t="shared" si="95"/>
        <v>5</v>
      </c>
      <c r="D3029" s="242">
        <v>51.6</v>
      </c>
      <c r="E3029" s="845">
        <f t="shared" si="96"/>
        <v>10.888888888888889</v>
      </c>
    </row>
    <row r="3030" spans="2:5">
      <c r="B3030" s="1115">
        <v>45048</v>
      </c>
      <c r="C3030" s="242">
        <f t="shared" si="95"/>
        <v>5</v>
      </c>
      <c r="D3030" s="242">
        <v>52.2</v>
      </c>
      <c r="E3030" s="845">
        <f t="shared" si="96"/>
        <v>11.222222222222223</v>
      </c>
    </row>
    <row r="3031" spans="2:5">
      <c r="B3031" s="1115">
        <v>45048</v>
      </c>
      <c r="C3031" s="242">
        <f t="shared" si="95"/>
        <v>5</v>
      </c>
      <c r="D3031" s="242">
        <v>52.3</v>
      </c>
      <c r="E3031" s="845">
        <f t="shared" si="96"/>
        <v>11.277777777777777</v>
      </c>
    </row>
    <row r="3032" spans="2:5">
      <c r="B3032" s="1115">
        <v>45048</v>
      </c>
      <c r="C3032" s="242">
        <f t="shared" si="95"/>
        <v>5</v>
      </c>
      <c r="D3032" s="242">
        <v>51.8</v>
      </c>
      <c r="E3032" s="845">
        <f t="shared" si="96"/>
        <v>10.999999999999998</v>
      </c>
    </row>
    <row r="3033" spans="2:5">
      <c r="B3033" s="1115">
        <v>45049</v>
      </c>
      <c r="C3033" s="242">
        <f t="shared" si="95"/>
        <v>5</v>
      </c>
      <c r="D3033" s="242">
        <v>49.6</v>
      </c>
      <c r="E3033" s="845">
        <f t="shared" si="96"/>
        <v>9.7777777777777786</v>
      </c>
    </row>
    <row r="3034" spans="2:5">
      <c r="B3034" s="1115">
        <v>45049</v>
      </c>
      <c r="C3034" s="242">
        <f t="shared" si="95"/>
        <v>5</v>
      </c>
      <c r="D3034" s="242">
        <v>47.5</v>
      </c>
      <c r="E3034" s="845">
        <f t="shared" si="96"/>
        <v>8.6111111111111107</v>
      </c>
    </row>
    <row r="3035" spans="2:5">
      <c r="B3035" s="1115">
        <v>45049</v>
      </c>
      <c r="C3035" s="242">
        <f t="shared" si="95"/>
        <v>5</v>
      </c>
      <c r="D3035" s="242">
        <v>46.9</v>
      </c>
      <c r="E3035" s="845">
        <f t="shared" si="96"/>
        <v>8.2777777777777768</v>
      </c>
    </row>
    <row r="3036" spans="2:5">
      <c r="B3036" s="1115">
        <v>45049</v>
      </c>
      <c r="C3036" s="242">
        <f t="shared" si="95"/>
        <v>5</v>
      </c>
      <c r="D3036" s="242">
        <v>46.9</v>
      </c>
      <c r="E3036" s="845">
        <f t="shared" si="96"/>
        <v>8.2777777777777768</v>
      </c>
    </row>
    <row r="3037" spans="2:5">
      <c r="B3037" s="1115">
        <v>45049</v>
      </c>
      <c r="C3037" s="242">
        <f t="shared" si="95"/>
        <v>5</v>
      </c>
      <c r="D3037" s="242">
        <v>48.2</v>
      </c>
      <c r="E3037" s="845">
        <f t="shared" si="96"/>
        <v>9.0000000000000018</v>
      </c>
    </row>
    <row r="3038" spans="2:5">
      <c r="B3038" s="1115">
        <v>45049</v>
      </c>
      <c r="C3038" s="242">
        <f t="shared" si="95"/>
        <v>5</v>
      </c>
      <c r="D3038" s="242">
        <v>48.2</v>
      </c>
      <c r="E3038" s="845">
        <f t="shared" si="96"/>
        <v>9.0000000000000018</v>
      </c>
    </row>
    <row r="3039" spans="2:5">
      <c r="B3039" s="1115">
        <v>45049</v>
      </c>
      <c r="C3039" s="242">
        <f t="shared" si="95"/>
        <v>5</v>
      </c>
      <c r="D3039" s="242">
        <v>48.2</v>
      </c>
      <c r="E3039" s="845">
        <f t="shared" si="96"/>
        <v>9.0000000000000018</v>
      </c>
    </row>
    <row r="3040" spans="2:5">
      <c r="B3040" s="1115">
        <v>45049</v>
      </c>
      <c r="C3040" s="242">
        <f t="shared" si="95"/>
        <v>5</v>
      </c>
      <c r="D3040" s="242">
        <v>49.8</v>
      </c>
      <c r="E3040" s="845">
        <f t="shared" si="96"/>
        <v>9.8888888888888875</v>
      </c>
    </row>
    <row r="3041" spans="2:5">
      <c r="B3041" s="1115">
        <v>45049</v>
      </c>
      <c r="C3041" s="242">
        <f t="shared" si="95"/>
        <v>5</v>
      </c>
      <c r="D3041" s="242">
        <v>50.9</v>
      </c>
      <c r="E3041" s="845">
        <f t="shared" si="96"/>
        <v>10.499999999999998</v>
      </c>
    </row>
    <row r="3042" spans="2:5">
      <c r="B3042" s="1115">
        <v>45049</v>
      </c>
      <c r="C3042" s="242">
        <f t="shared" si="95"/>
        <v>5</v>
      </c>
      <c r="D3042" s="242">
        <v>51.6</v>
      </c>
      <c r="E3042" s="845">
        <f t="shared" si="96"/>
        <v>10.888888888888889</v>
      </c>
    </row>
    <row r="3043" spans="2:5">
      <c r="B3043" s="1115">
        <v>45049</v>
      </c>
      <c r="C3043" s="242">
        <f t="shared" si="95"/>
        <v>5</v>
      </c>
      <c r="D3043" s="242">
        <v>51.8</v>
      </c>
      <c r="E3043" s="845">
        <f t="shared" si="96"/>
        <v>10.999999999999998</v>
      </c>
    </row>
    <row r="3044" spans="2:5">
      <c r="B3044" s="1115">
        <v>45049</v>
      </c>
      <c r="C3044" s="242">
        <f t="shared" si="95"/>
        <v>5</v>
      </c>
      <c r="D3044" s="242" t="s">
        <v>1845</v>
      </c>
      <c r="E3044" s="845">
        <f t="shared" si="96"/>
        <v>11.111111111111111</v>
      </c>
    </row>
    <row r="3045" spans="2:5">
      <c r="B3045" s="1115">
        <v>45049</v>
      </c>
      <c r="C3045" s="242">
        <f t="shared" si="95"/>
        <v>5</v>
      </c>
      <c r="D3045" s="242">
        <v>51.3</v>
      </c>
      <c r="E3045" s="845">
        <f t="shared" si="96"/>
        <v>10.72222222222222</v>
      </c>
    </row>
    <row r="3046" spans="2:5">
      <c r="B3046" s="1115">
        <v>45049</v>
      </c>
      <c r="C3046" s="242">
        <f t="shared" si="95"/>
        <v>5</v>
      </c>
      <c r="D3046" s="242">
        <v>47.3</v>
      </c>
      <c r="E3046" s="845">
        <f t="shared" si="96"/>
        <v>8.4999999999999982</v>
      </c>
    </row>
    <row r="3047" spans="2:5">
      <c r="B3047" s="1115">
        <v>45049</v>
      </c>
      <c r="C3047" s="242">
        <f t="shared" si="95"/>
        <v>5</v>
      </c>
      <c r="D3047" s="242">
        <v>46.6</v>
      </c>
      <c r="E3047" s="845">
        <f t="shared" si="96"/>
        <v>8.1111111111111125</v>
      </c>
    </row>
    <row r="3048" spans="2:5">
      <c r="B3048" s="1115">
        <v>45049</v>
      </c>
      <c r="C3048" s="242">
        <f t="shared" si="95"/>
        <v>5</v>
      </c>
      <c r="D3048" s="242">
        <v>46.6</v>
      </c>
      <c r="E3048" s="845">
        <f t="shared" si="96"/>
        <v>8.1111111111111125</v>
      </c>
    </row>
    <row r="3049" spans="2:5">
      <c r="B3049" s="1115">
        <v>45049</v>
      </c>
      <c r="C3049" s="242">
        <f t="shared" si="95"/>
        <v>5</v>
      </c>
      <c r="D3049" s="242">
        <v>46.9</v>
      </c>
      <c r="E3049" s="845">
        <f t="shared" si="96"/>
        <v>8.2777777777777768</v>
      </c>
    </row>
    <row r="3050" spans="2:5">
      <c r="B3050" s="1115">
        <v>45049</v>
      </c>
      <c r="C3050" s="242">
        <f t="shared" si="95"/>
        <v>5</v>
      </c>
      <c r="D3050" s="242">
        <v>47.1</v>
      </c>
      <c r="E3050" s="845">
        <f t="shared" si="96"/>
        <v>8.3888888888888893</v>
      </c>
    </row>
    <row r="3051" spans="2:5">
      <c r="B3051" s="1115">
        <v>45049</v>
      </c>
      <c r="C3051" s="242">
        <f t="shared" si="95"/>
        <v>5</v>
      </c>
      <c r="D3051" s="242">
        <v>47.3</v>
      </c>
      <c r="E3051" s="845">
        <f t="shared" si="96"/>
        <v>8.4999999999999982</v>
      </c>
    </row>
    <row r="3052" spans="2:5">
      <c r="B3052" s="1115">
        <v>45049</v>
      </c>
      <c r="C3052" s="242">
        <f t="shared" si="95"/>
        <v>5</v>
      </c>
      <c r="D3052" s="242">
        <v>48.7</v>
      </c>
      <c r="E3052" s="845">
        <f t="shared" si="96"/>
        <v>9.2777777777777786</v>
      </c>
    </row>
    <row r="3053" spans="2:5">
      <c r="B3053" s="1115">
        <v>45049</v>
      </c>
      <c r="C3053" s="242">
        <f t="shared" si="95"/>
        <v>5</v>
      </c>
      <c r="D3053" s="242">
        <v>50.2</v>
      </c>
      <c r="E3053" s="845">
        <f t="shared" si="96"/>
        <v>10.111111111111112</v>
      </c>
    </row>
    <row r="3054" spans="2:5">
      <c r="B3054" s="1115">
        <v>45049</v>
      </c>
      <c r="C3054" s="242">
        <f t="shared" si="95"/>
        <v>5</v>
      </c>
      <c r="D3054" s="242">
        <v>51.3</v>
      </c>
      <c r="E3054" s="845">
        <f t="shared" si="96"/>
        <v>10.72222222222222</v>
      </c>
    </row>
    <row r="3055" spans="2:5">
      <c r="B3055" s="1115">
        <v>45049</v>
      </c>
      <c r="C3055" s="242">
        <f t="shared" si="95"/>
        <v>5</v>
      </c>
      <c r="D3055" s="242">
        <v>51.8</v>
      </c>
      <c r="E3055" s="845">
        <f t="shared" si="96"/>
        <v>10.999999999999998</v>
      </c>
    </row>
    <row r="3056" spans="2:5">
      <c r="B3056" s="1115">
        <v>45049</v>
      </c>
      <c r="C3056" s="242">
        <f t="shared" si="95"/>
        <v>5</v>
      </c>
      <c r="D3056" s="242">
        <v>51.8</v>
      </c>
      <c r="E3056" s="845">
        <f t="shared" si="96"/>
        <v>10.999999999999998</v>
      </c>
    </row>
    <row r="3057" spans="2:5">
      <c r="B3057" s="1115">
        <v>45050</v>
      </c>
      <c r="C3057" s="242">
        <f t="shared" si="95"/>
        <v>5</v>
      </c>
      <c r="D3057" s="242">
        <v>51.3</v>
      </c>
      <c r="E3057" s="845">
        <f t="shared" si="96"/>
        <v>10.72222222222222</v>
      </c>
    </row>
    <row r="3058" spans="2:5">
      <c r="B3058" s="1115">
        <v>45050</v>
      </c>
      <c r="C3058" s="242">
        <f t="shared" si="95"/>
        <v>5</v>
      </c>
      <c r="D3058" s="242">
        <v>48.6</v>
      </c>
      <c r="E3058" s="845">
        <f t="shared" si="96"/>
        <v>9.2222222222222232</v>
      </c>
    </row>
    <row r="3059" spans="2:5">
      <c r="B3059" s="1115">
        <v>45050</v>
      </c>
      <c r="C3059" s="242">
        <f t="shared" si="95"/>
        <v>5</v>
      </c>
      <c r="D3059" s="242" t="s">
        <v>1843</v>
      </c>
      <c r="E3059" s="845">
        <f t="shared" si="96"/>
        <v>8.8888888888888893</v>
      </c>
    </row>
    <row r="3060" spans="2:5">
      <c r="B3060" s="1115">
        <v>45050</v>
      </c>
      <c r="C3060" s="242">
        <f t="shared" si="95"/>
        <v>5</v>
      </c>
      <c r="D3060" s="242">
        <v>47.7</v>
      </c>
      <c r="E3060" s="845">
        <f t="shared" si="96"/>
        <v>8.7222222222222232</v>
      </c>
    </row>
    <row r="3061" spans="2:5">
      <c r="B3061" s="1115">
        <v>45050</v>
      </c>
      <c r="C3061" s="242">
        <f t="shared" si="95"/>
        <v>5</v>
      </c>
      <c r="D3061" s="242">
        <v>47.5</v>
      </c>
      <c r="E3061" s="845">
        <f t="shared" si="96"/>
        <v>8.6111111111111107</v>
      </c>
    </row>
    <row r="3062" spans="2:5">
      <c r="B3062" s="1115">
        <v>45050</v>
      </c>
      <c r="C3062" s="242">
        <f t="shared" si="95"/>
        <v>5</v>
      </c>
      <c r="D3062" s="242">
        <v>48.2</v>
      </c>
      <c r="E3062" s="845">
        <f t="shared" si="96"/>
        <v>9.0000000000000018</v>
      </c>
    </row>
    <row r="3063" spans="2:5">
      <c r="B3063" s="1115">
        <v>45050</v>
      </c>
      <c r="C3063" s="242">
        <f t="shared" si="95"/>
        <v>5</v>
      </c>
      <c r="D3063" s="242">
        <v>47.8</v>
      </c>
      <c r="E3063" s="845">
        <f t="shared" si="96"/>
        <v>8.7777777777777768</v>
      </c>
    </row>
    <row r="3064" spans="2:5">
      <c r="B3064" s="1115">
        <v>45050</v>
      </c>
      <c r="C3064" s="242">
        <f t="shared" si="95"/>
        <v>5</v>
      </c>
      <c r="D3064" s="242">
        <v>48.7</v>
      </c>
      <c r="E3064" s="845">
        <f t="shared" si="96"/>
        <v>9.2777777777777786</v>
      </c>
    </row>
    <row r="3065" spans="2:5">
      <c r="B3065" s="1115">
        <v>45050</v>
      </c>
      <c r="C3065" s="242">
        <f t="shared" si="95"/>
        <v>5</v>
      </c>
      <c r="D3065" s="242">
        <v>49.6</v>
      </c>
      <c r="E3065" s="845">
        <f t="shared" si="96"/>
        <v>9.7777777777777786</v>
      </c>
    </row>
    <row r="3066" spans="2:5">
      <c r="B3066" s="1115">
        <v>45050</v>
      </c>
      <c r="C3066" s="242">
        <f t="shared" si="95"/>
        <v>5</v>
      </c>
      <c r="D3066" s="242">
        <v>50.5</v>
      </c>
      <c r="E3066" s="845">
        <f t="shared" si="96"/>
        <v>10.277777777777777</v>
      </c>
    </row>
    <row r="3067" spans="2:5">
      <c r="B3067" s="1115">
        <v>45050</v>
      </c>
      <c r="C3067" s="242">
        <f t="shared" si="95"/>
        <v>5</v>
      </c>
      <c r="D3067" s="242">
        <v>51.1</v>
      </c>
      <c r="E3067" s="845">
        <f t="shared" si="96"/>
        <v>10.611111111111112</v>
      </c>
    </row>
    <row r="3068" spans="2:5">
      <c r="B3068" s="1115">
        <v>45050</v>
      </c>
      <c r="C3068" s="242">
        <f t="shared" si="95"/>
        <v>5</v>
      </c>
      <c r="D3068" s="242">
        <v>51.4</v>
      </c>
      <c r="E3068" s="845">
        <f t="shared" si="96"/>
        <v>10.777777777777777</v>
      </c>
    </row>
    <row r="3069" spans="2:5">
      <c r="B3069" s="1115">
        <v>45050</v>
      </c>
      <c r="C3069" s="242">
        <f t="shared" si="95"/>
        <v>5</v>
      </c>
      <c r="D3069" s="242">
        <v>51.3</v>
      </c>
      <c r="E3069" s="845">
        <f t="shared" si="96"/>
        <v>10.72222222222222</v>
      </c>
    </row>
    <row r="3070" spans="2:5">
      <c r="B3070" s="1115">
        <v>45050</v>
      </c>
      <c r="C3070" s="242">
        <f t="shared" si="95"/>
        <v>5</v>
      </c>
      <c r="D3070" s="242">
        <v>49.3</v>
      </c>
      <c r="E3070" s="845">
        <f t="shared" si="96"/>
        <v>9.6111111111111089</v>
      </c>
    </row>
    <row r="3071" spans="2:5">
      <c r="B3071" s="1115">
        <v>45050</v>
      </c>
      <c r="C3071" s="242">
        <f t="shared" si="95"/>
        <v>5</v>
      </c>
      <c r="D3071" s="242" t="s">
        <v>1843</v>
      </c>
      <c r="E3071" s="845">
        <f t="shared" si="96"/>
        <v>8.8888888888888893</v>
      </c>
    </row>
    <row r="3072" spans="2:5">
      <c r="B3072" s="1115">
        <v>45050</v>
      </c>
      <c r="C3072" s="242">
        <f t="shared" si="95"/>
        <v>5</v>
      </c>
      <c r="D3072" s="242">
        <v>47.7</v>
      </c>
      <c r="E3072" s="845">
        <f t="shared" si="96"/>
        <v>8.7222222222222232</v>
      </c>
    </row>
    <row r="3073" spans="2:5">
      <c r="B3073" s="1115">
        <v>45050</v>
      </c>
      <c r="C3073" s="242">
        <f t="shared" si="95"/>
        <v>5</v>
      </c>
      <c r="D3073" s="242">
        <v>47.5</v>
      </c>
      <c r="E3073" s="845">
        <f t="shared" si="96"/>
        <v>8.6111111111111107</v>
      </c>
    </row>
    <row r="3074" spans="2:5">
      <c r="B3074" s="1115">
        <v>45050</v>
      </c>
      <c r="C3074" s="242">
        <f t="shared" si="95"/>
        <v>5</v>
      </c>
      <c r="D3074" s="242">
        <v>47.3</v>
      </c>
      <c r="E3074" s="845">
        <f t="shared" si="96"/>
        <v>8.4999999999999982</v>
      </c>
    </row>
    <row r="3075" spans="2:5">
      <c r="B3075" s="1115">
        <v>45050</v>
      </c>
      <c r="C3075" s="242">
        <f t="shared" si="95"/>
        <v>5</v>
      </c>
      <c r="D3075" s="242" t="s">
        <v>1843</v>
      </c>
      <c r="E3075" s="845">
        <f t="shared" si="96"/>
        <v>8.8888888888888893</v>
      </c>
    </row>
    <row r="3076" spans="2:5">
      <c r="B3076" s="1115">
        <v>45050</v>
      </c>
      <c r="C3076" s="242">
        <f t="shared" si="95"/>
        <v>5</v>
      </c>
      <c r="D3076" s="242">
        <v>48.2</v>
      </c>
      <c r="E3076" s="845">
        <f t="shared" si="96"/>
        <v>9.0000000000000018</v>
      </c>
    </row>
    <row r="3077" spans="2:5">
      <c r="B3077" s="1115">
        <v>45050</v>
      </c>
      <c r="C3077" s="242">
        <f t="shared" si="95"/>
        <v>5</v>
      </c>
      <c r="D3077" s="242">
        <v>49.3</v>
      </c>
      <c r="E3077" s="845">
        <f t="shared" si="96"/>
        <v>9.6111111111111089</v>
      </c>
    </row>
    <row r="3078" spans="2:5">
      <c r="B3078" s="1115">
        <v>45050</v>
      </c>
      <c r="C3078" s="242">
        <f t="shared" si="95"/>
        <v>5</v>
      </c>
      <c r="D3078" s="242">
        <v>50.4</v>
      </c>
      <c r="E3078" s="845">
        <f t="shared" si="96"/>
        <v>10.222222222222221</v>
      </c>
    </row>
    <row r="3079" spans="2:5">
      <c r="B3079" s="1115">
        <v>45050</v>
      </c>
      <c r="C3079" s="242">
        <f t="shared" si="95"/>
        <v>5</v>
      </c>
      <c r="D3079" s="242">
        <v>50.9</v>
      </c>
      <c r="E3079" s="845">
        <f t="shared" si="96"/>
        <v>10.499999999999998</v>
      </c>
    </row>
    <row r="3080" spans="2:5">
      <c r="B3080" s="1115">
        <v>45050</v>
      </c>
      <c r="C3080" s="242">
        <f t="shared" si="95"/>
        <v>5</v>
      </c>
      <c r="D3080" s="242">
        <v>51.3</v>
      </c>
      <c r="E3080" s="845">
        <f t="shared" si="96"/>
        <v>10.72222222222222</v>
      </c>
    </row>
    <row r="3081" spans="2:5">
      <c r="B3081" s="1115">
        <v>45051</v>
      </c>
      <c r="C3081" s="242">
        <f t="shared" si="95"/>
        <v>5</v>
      </c>
      <c r="D3081" s="242">
        <v>51.1</v>
      </c>
      <c r="E3081" s="845">
        <f t="shared" si="96"/>
        <v>10.611111111111112</v>
      </c>
    </row>
    <row r="3082" spans="2:5">
      <c r="B3082" s="1115">
        <v>45051</v>
      </c>
      <c r="C3082" s="242">
        <f t="shared" ref="C3082:C3145" si="97">MONTH(B3082)</f>
        <v>5</v>
      </c>
      <c r="D3082" s="242">
        <v>48.4</v>
      </c>
      <c r="E3082" s="845">
        <f t="shared" ref="E3082:E3145" si="98">CONVERT(D3082,"F","C")</f>
        <v>9.1111111111111107</v>
      </c>
    </row>
    <row r="3083" spans="2:5">
      <c r="B3083" s="1115">
        <v>45051</v>
      </c>
      <c r="C3083" s="242">
        <f t="shared" si="97"/>
        <v>5</v>
      </c>
      <c r="D3083" s="242" t="s">
        <v>1843</v>
      </c>
      <c r="E3083" s="845">
        <f t="shared" si="98"/>
        <v>8.8888888888888893</v>
      </c>
    </row>
    <row r="3084" spans="2:5">
      <c r="B3084" s="1115">
        <v>45051</v>
      </c>
      <c r="C3084" s="242">
        <f t="shared" si="97"/>
        <v>5</v>
      </c>
      <c r="D3084" s="242">
        <v>47.8</v>
      </c>
      <c r="E3084" s="845">
        <f t="shared" si="98"/>
        <v>8.7777777777777768</v>
      </c>
    </row>
    <row r="3085" spans="2:5">
      <c r="B3085" s="1115">
        <v>45051</v>
      </c>
      <c r="C3085" s="242">
        <f t="shared" si="97"/>
        <v>5</v>
      </c>
      <c r="D3085" s="242">
        <v>47.7</v>
      </c>
      <c r="E3085" s="845">
        <f t="shared" si="98"/>
        <v>8.7222222222222232</v>
      </c>
    </row>
    <row r="3086" spans="2:5">
      <c r="B3086" s="1115">
        <v>45051</v>
      </c>
      <c r="C3086" s="242">
        <f t="shared" si="97"/>
        <v>5</v>
      </c>
      <c r="D3086" s="242">
        <v>47.1</v>
      </c>
      <c r="E3086" s="845">
        <f t="shared" si="98"/>
        <v>8.3888888888888893</v>
      </c>
    </row>
    <row r="3087" spans="2:5">
      <c r="B3087" s="1115">
        <v>45051</v>
      </c>
      <c r="C3087" s="242">
        <f t="shared" si="97"/>
        <v>5</v>
      </c>
      <c r="D3087" s="242">
        <v>47.7</v>
      </c>
      <c r="E3087" s="845">
        <f t="shared" si="98"/>
        <v>8.7222222222222232</v>
      </c>
    </row>
    <row r="3088" spans="2:5">
      <c r="B3088" s="1115">
        <v>45051</v>
      </c>
      <c r="C3088" s="242">
        <f t="shared" si="97"/>
        <v>5</v>
      </c>
      <c r="D3088" s="242">
        <v>47.7</v>
      </c>
      <c r="E3088" s="845">
        <f t="shared" si="98"/>
        <v>8.7222222222222232</v>
      </c>
    </row>
    <row r="3089" spans="2:5">
      <c r="B3089" s="1115">
        <v>45051</v>
      </c>
      <c r="C3089" s="242">
        <f t="shared" si="97"/>
        <v>5</v>
      </c>
      <c r="D3089" s="242">
        <v>48.7</v>
      </c>
      <c r="E3089" s="845">
        <f t="shared" si="98"/>
        <v>9.2777777777777786</v>
      </c>
    </row>
    <row r="3090" spans="2:5">
      <c r="B3090" s="1115">
        <v>45051</v>
      </c>
      <c r="C3090" s="242">
        <f t="shared" si="97"/>
        <v>5</v>
      </c>
      <c r="D3090" s="242">
        <v>49.8</v>
      </c>
      <c r="E3090" s="845">
        <f t="shared" si="98"/>
        <v>9.8888888888888875</v>
      </c>
    </row>
    <row r="3091" spans="2:5">
      <c r="B3091" s="1115">
        <v>45051</v>
      </c>
      <c r="C3091" s="242">
        <f t="shared" si="97"/>
        <v>5</v>
      </c>
      <c r="D3091" s="242" t="s">
        <v>603</v>
      </c>
      <c r="E3091" s="845"/>
    </row>
    <row r="3092" spans="2:5">
      <c r="B3092" s="1115">
        <v>45051</v>
      </c>
      <c r="C3092" s="242">
        <f t="shared" si="97"/>
        <v>5</v>
      </c>
      <c r="D3092" s="242">
        <v>50.9</v>
      </c>
      <c r="E3092" s="845">
        <f t="shared" si="98"/>
        <v>10.499999999999998</v>
      </c>
    </row>
    <row r="3093" spans="2:5">
      <c r="B3093" s="1115">
        <v>45051</v>
      </c>
      <c r="C3093" s="242">
        <f t="shared" si="97"/>
        <v>5</v>
      </c>
      <c r="D3093" s="242">
        <v>51.1</v>
      </c>
      <c r="E3093" s="845">
        <f t="shared" si="98"/>
        <v>10.611111111111112</v>
      </c>
    </row>
    <row r="3094" spans="2:5">
      <c r="B3094" s="1115">
        <v>45051</v>
      </c>
      <c r="C3094" s="242">
        <f t="shared" si="97"/>
        <v>5</v>
      </c>
      <c r="D3094" s="242">
        <v>50.5</v>
      </c>
      <c r="E3094" s="845">
        <f t="shared" si="98"/>
        <v>10.277777777777777</v>
      </c>
    </row>
    <row r="3095" spans="2:5">
      <c r="B3095" s="1115">
        <v>45051</v>
      </c>
      <c r="C3095" s="242">
        <f t="shared" si="97"/>
        <v>5</v>
      </c>
      <c r="D3095" s="242">
        <v>48.2</v>
      </c>
      <c r="E3095" s="845">
        <f t="shared" si="98"/>
        <v>9.0000000000000018</v>
      </c>
    </row>
    <row r="3096" spans="2:5">
      <c r="B3096" s="1115">
        <v>45051</v>
      </c>
      <c r="C3096" s="242">
        <f t="shared" si="97"/>
        <v>5</v>
      </c>
      <c r="D3096" s="242" t="s">
        <v>1843</v>
      </c>
      <c r="E3096" s="845">
        <f t="shared" si="98"/>
        <v>8.8888888888888893</v>
      </c>
    </row>
    <row r="3097" spans="2:5">
      <c r="B3097" s="1115">
        <v>45051</v>
      </c>
      <c r="C3097" s="242">
        <f t="shared" si="97"/>
        <v>5</v>
      </c>
      <c r="D3097" s="242">
        <v>47.8</v>
      </c>
      <c r="E3097" s="845">
        <f t="shared" si="98"/>
        <v>8.7777777777777768</v>
      </c>
    </row>
    <row r="3098" spans="2:5">
      <c r="B3098" s="1115">
        <v>45051</v>
      </c>
      <c r="C3098" s="242">
        <f t="shared" si="97"/>
        <v>5</v>
      </c>
      <c r="D3098" s="242">
        <v>47.7</v>
      </c>
      <c r="E3098" s="845">
        <f t="shared" si="98"/>
        <v>8.7222222222222232</v>
      </c>
    </row>
    <row r="3099" spans="2:5">
      <c r="B3099" s="1115">
        <v>45051</v>
      </c>
      <c r="C3099" s="242">
        <f t="shared" si="97"/>
        <v>5</v>
      </c>
      <c r="D3099" s="242">
        <v>48.7</v>
      </c>
      <c r="E3099" s="845">
        <f t="shared" si="98"/>
        <v>9.2777777777777786</v>
      </c>
    </row>
    <row r="3100" spans="2:5">
      <c r="B3100" s="1115">
        <v>45051</v>
      </c>
      <c r="C3100" s="242">
        <f t="shared" si="97"/>
        <v>5</v>
      </c>
      <c r="D3100" s="242">
        <v>48.6</v>
      </c>
      <c r="E3100" s="845">
        <f t="shared" si="98"/>
        <v>9.2222222222222232</v>
      </c>
    </row>
    <row r="3101" spans="2:5">
      <c r="B3101" s="1115">
        <v>45051</v>
      </c>
      <c r="C3101" s="242">
        <f t="shared" si="97"/>
        <v>5</v>
      </c>
      <c r="D3101" s="242">
        <v>48.7</v>
      </c>
      <c r="E3101" s="845">
        <f t="shared" si="98"/>
        <v>9.2777777777777786</v>
      </c>
    </row>
    <row r="3102" spans="2:5">
      <c r="B3102" s="1115">
        <v>45051</v>
      </c>
      <c r="C3102" s="242">
        <f t="shared" si="97"/>
        <v>5</v>
      </c>
      <c r="D3102" s="242" t="s">
        <v>1844</v>
      </c>
      <c r="E3102" s="845">
        <f t="shared" si="98"/>
        <v>10</v>
      </c>
    </row>
    <row r="3103" spans="2:5">
      <c r="B3103" s="1115">
        <v>45051</v>
      </c>
      <c r="C3103" s="242">
        <f t="shared" si="97"/>
        <v>5</v>
      </c>
      <c r="D3103" s="242">
        <v>51.1</v>
      </c>
      <c r="E3103" s="845">
        <f t="shared" si="98"/>
        <v>10.611111111111112</v>
      </c>
    </row>
    <row r="3104" spans="2:5">
      <c r="B3104" s="1115">
        <v>45051</v>
      </c>
      <c r="C3104" s="242">
        <f t="shared" si="97"/>
        <v>5</v>
      </c>
      <c r="D3104" s="242">
        <v>51.6</v>
      </c>
      <c r="E3104" s="845">
        <f t="shared" si="98"/>
        <v>10.888888888888889</v>
      </c>
    </row>
    <row r="3105" spans="2:5">
      <c r="B3105" s="1115">
        <v>45052</v>
      </c>
      <c r="C3105" s="242">
        <f t="shared" si="97"/>
        <v>5</v>
      </c>
      <c r="D3105" s="242">
        <v>51.8</v>
      </c>
      <c r="E3105" s="845">
        <f t="shared" si="98"/>
        <v>10.999999999999998</v>
      </c>
    </row>
    <row r="3106" spans="2:5">
      <c r="B3106" s="1115">
        <v>45052</v>
      </c>
      <c r="C3106" s="242">
        <f t="shared" si="97"/>
        <v>5</v>
      </c>
      <c r="D3106" s="242">
        <v>51.1</v>
      </c>
      <c r="E3106" s="845">
        <f t="shared" si="98"/>
        <v>10.611111111111112</v>
      </c>
    </row>
    <row r="3107" spans="2:5">
      <c r="B3107" s="1115">
        <v>45052</v>
      </c>
      <c r="C3107" s="242">
        <f t="shared" si="97"/>
        <v>5</v>
      </c>
      <c r="D3107" s="242">
        <v>48.9</v>
      </c>
      <c r="E3107" s="845">
        <f t="shared" si="98"/>
        <v>9.3888888888888875</v>
      </c>
    </row>
    <row r="3108" spans="2:5">
      <c r="B3108" s="1115">
        <v>45052</v>
      </c>
      <c r="C3108" s="242">
        <f t="shared" si="97"/>
        <v>5</v>
      </c>
      <c r="D3108" s="242">
        <v>48.9</v>
      </c>
      <c r="E3108" s="845">
        <f t="shared" si="98"/>
        <v>9.3888888888888875</v>
      </c>
    </row>
    <row r="3109" spans="2:5">
      <c r="B3109" s="1115">
        <v>45052</v>
      </c>
      <c r="C3109" s="242">
        <f t="shared" si="97"/>
        <v>5</v>
      </c>
      <c r="D3109" s="242">
        <v>48.7</v>
      </c>
      <c r="E3109" s="845">
        <f t="shared" si="98"/>
        <v>9.2777777777777786</v>
      </c>
    </row>
    <row r="3110" spans="2:5">
      <c r="B3110" s="1115">
        <v>45052</v>
      </c>
      <c r="C3110" s="242">
        <f t="shared" si="97"/>
        <v>5</v>
      </c>
      <c r="D3110" s="242">
        <v>48.4</v>
      </c>
      <c r="E3110" s="845">
        <f t="shared" si="98"/>
        <v>9.1111111111111107</v>
      </c>
    </row>
    <row r="3111" spans="2:5">
      <c r="B3111" s="1115">
        <v>45052</v>
      </c>
      <c r="C3111" s="242">
        <f t="shared" si="97"/>
        <v>5</v>
      </c>
      <c r="D3111" s="242">
        <v>48.2</v>
      </c>
      <c r="E3111" s="845">
        <f t="shared" si="98"/>
        <v>9.0000000000000018</v>
      </c>
    </row>
    <row r="3112" spans="2:5">
      <c r="B3112" s="1115">
        <v>45052</v>
      </c>
      <c r="C3112" s="242">
        <f t="shared" si="97"/>
        <v>5</v>
      </c>
      <c r="D3112" s="242">
        <v>48.2</v>
      </c>
      <c r="E3112" s="845">
        <f t="shared" si="98"/>
        <v>9.0000000000000018</v>
      </c>
    </row>
    <row r="3113" spans="2:5">
      <c r="B3113" s="1115">
        <v>45052</v>
      </c>
      <c r="C3113" s="242">
        <f t="shared" si="97"/>
        <v>5</v>
      </c>
      <c r="D3113" s="242">
        <v>48.6</v>
      </c>
      <c r="E3113" s="845">
        <f t="shared" si="98"/>
        <v>9.2222222222222232</v>
      </c>
    </row>
    <row r="3114" spans="2:5">
      <c r="B3114" s="1115">
        <v>45052</v>
      </c>
      <c r="C3114" s="242">
        <f t="shared" si="97"/>
        <v>5</v>
      </c>
      <c r="D3114" s="242">
        <v>49.6</v>
      </c>
      <c r="E3114" s="845">
        <f t="shared" si="98"/>
        <v>9.7777777777777786</v>
      </c>
    </row>
    <row r="3115" spans="2:5">
      <c r="B3115" s="1115">
        <v>45052</v>
      </c>
      <c r="C3115" s="242">
        <f t="shared" si="97"/>
        <v>5</v>
      </c>
      <c r="D3115" s="242">
        <v>50.5</v>
      </c>
      <c r="E3115" s="845">
        <f t="shared" si="98"/>
        <v>10.277777777777777</v>
      </c>
    </row>
    <row r="3116" spans="2:5">
      <c r="B3116" s="1115">
        <v>45052</v>
      </c>
      <c r="C3116" s="242">
        <f t="shared" si="97"/>
        <v>5</v>
      </c>
      <c r="D3116" s="242">
        <v>51.3</v>
      </c>
      <c r="E3116" s="845">
        <f t="shared" si="98"/>
        <v>10.72222222222222</v>
      </c>
    </row>
    <row r="3117" spans="2:5">
      <c r="B3117" s="1115">
        <v>45052</v>
      </c>
      <c r="C3117" s="242">
        <f t="shared" si="97"/>
        <v>5</v>
      </c>
      <c r="D3117" s="242">
        <v>51.6</v>
      </c>
      <c r="E3117" s="845">
        <f t="shared" si="98"/>
        <v>10.888888888888889</v>
      </c>
    </row>
    <row r="3118" spans="2:5">
      <c r="B3118" s="1115">
        <v>45052</v>
      </c>
      <c r="C3118" s="242">
        <f t="shared" si="97"/>
        <v>5</v>
      </c>
      <c r="D3118" s="242" t="s">
        <v>1845</v>
      </c>
      <c r="E3118" s="845">
        <f t="shared" si="98"/>
        <v>11.111111111111111</v>
      </c>
    </row>
    <row r="3119" spans="2:5">
      <c r="B3119" s="1115">
        <v>45052</v>
      </c>
      <c r="C3119" s="242">
        <f t="shared" si="97"/>
        <v>5</v>
      </c>
      <c r="D3119" s="242">
        <v>50.4</v>
      </c>
      <c r="E3119" s="845">
        <f t="shared" si="98"/>
        <v>10.222222222222221</v>
      </c>
    </row>
    <row r="3120" spans="2:5">
      <c r="B3120" s="1115">
        <v>45052</v>
      </c>
      <c r="C3120" s="242">
        <f t="shared" si="97"/>
        <v>5</v>
      </c>
      <c r="D3120" s="242">
        <v>48.6</v>
      </c>
      <c r="E3120" s="845">
        <f t="shared" si="98"/>
        <v>9.2222222222222232</v>
      </c>
    </row>
    <row r="3121" spans="2:5">
      <c r="B3121" s="1115">
        <v>45052</v>
      </c>
      <c r="C3121" s="242">
        <f t="shared" si="97"/>
        <v>5</v>
      </c>
      <c r="D3121" s="242">
        <v>48.4</v>
      </c>
      <c r="E3121" s="845">
        <f t="shared" si="98"/>
        <v>9.1111111111111107</v>
      </c>
    </row>
    <row r="3122" spans="2:5">
      <c r="B3122" s="1115">
        <v>45052</v>
      </c>
      <c r="C3122" s="242">
        <f t="shared" si="97"/>
        <v>5</v>
      </c>
      <c r="D3122" s="242">
        <v>47.8</v>
      </c>
      <c r="E3122" s="845">
        <f t="shared" si="98"/>
        <v>8.7777777777777768</v>
      </c>
    </row>
    <row r="3123" spans="2:5">
      <c r="B3123" s="1115">
        <v>45052</v>
      </c>
      <c r="C3123" s="242">
        <f t="shared" si="97"/>
        <v>5</v>
      </c>
      <c r="D3123" s="242" t="s">
        <v>1843</v>
      </c>
      <c r="E3123" s="845">
        <f t="shared" si="98"/>
        <v>8.8888888888888893</v>
      </c>
    </row>
    <row r="3124" spans="2:5">
      <c r="B3124" s="1115">
        <v>45052</v>
      </c>
      <c r="C3124" s="242">
        <f t="shared" si="97"/>
        <v>5</v>
      </c>
      <c r="D3124" s="242">
        <v>49.8</v>
      </c>
      <c r="E3124" s="845">
        <f t="shared" si="98"/>
        <v>9.8888888888888875</v>
      </c>
    </row>
    <row r="3125" spans="2:5">
      <c r="B3125" s="1115">
        <v>45052</v>
      </c>
      <c r="C3125" s="242">
        <f t="shared" si="97"/>
        <v>5</v>
      </c>
      <c r="D3125" s="242">
        <v>48.6</v>
      </c>
      <c r="E3125" s="845">
        <f t="shared" si="98"/>
        <v>9.2222222222222232</v>
      </c>
    </row>
    <row r="3126" spans="2:5">
      <c r="B3126" s="1115">
        <v>45052</v>
      </c>
      <c r="C3126" s="242">
        <f t="shared" si="97"/>
        <v>5</v>
      </c>
      <c r="D3126" s="242">
        <v>49.5</v>
      </c>
      <c r="E3126" s="845">
        <f t="shared" si="98"/>
        <v>9.7222222222222214</v>
      </c>
    </row>
    <row r="3127" spans="2:5">
      <c r="B3127" s="1115">
        <v>45052</v>
      </c>
      <c r="C3127" s="242">
        <f t="shared" si="97"/>
        <v>5</v>
      </c>
      <c r="D3127" s="242">
        <v>51.1</v>
      </c>
      <c r="E3127" s="845">
        <f t="shared" si="98"/>
        <v>10.611111111111112</v>
      </c>
    </row>
    <row r="3128" spans="2:5">
      <c r="B3128" s="1115">
        <v>45052</v>
      </c>
      <c r="C3128" s="242">
        <f t="shared" si="97"/>
        <v>5</v>
      </c>
      <c r="D3128" s="242" t="s">
        <v>1845</v>
      </c>
      <c r="E3128" s="845">
        <f t="shared" si="98"/>
        <v>11.111111111111111</v>
      </c>
    </row>
    <row r="3129" spans="2:5">
      <c r="B3129" s="1115">
        <v>45053</v>
      </c>
      <c r="C3129" s="242">
        <f t="shared" si="97"/>
        <v>5</v>
      </c>
      <c r="D3129" s="242">
        <v>52.5</v>
      </c>
      <c r="E3129" s="845">
        <f t="shared" si="98"/>
        <v>11.388888888888889</v>
      </c>
    </row>
    <row r="3130" spans="2:5">
      <c r="B3130" s="1115">
        <v>45053</v>
      </c>
      <c r="C3130" s="242">
        <f t="shared" si="97"/>
        <v>5</v>
      </c>
      <c r="D3130" s="242">
        <v>52.5</v>
      </c>
      <c r="E3130" s="845">
        <f t="shared" si="98"/>
        <v>11.388888888888889</v>
      </c>
    </row>
    <row r="3131" spans="2:5">
      <c r="B3131" s="1115">
        <v>45053</v>
      </c>
      <c r="C3131" s="242">
        <f t="shared" si="97"/>
        <v>5</v>
      </c>
      <c r="D3131" s="242">
        <v>51.1</v>
      </c>
      <c r="E3131" s="845">
        <f t="shared" si="98"/>
        <v>10.611111111111112</v>
      </c>
    </row>
    <row r="3132" spans="2:5">
      <c r="B3132" s="1115">
        <v>45053</v>
      </c>
      <c r="C3132" s="242">
        <f t="shared" si="97"/>
        <v>5</v>
      </c>
      <c r="D3132" s="242">
        <v>49.6</v>
      </c>
      <c r="E3132" s="845">
        <f t="shared" si="98"/>
        <v>9.7777777777777786</v>
      </c>
    </row>
    <row r="3133" spans="2:5">
      <c r="B3133" s="1115">
        <v>45053</v>
      </c>
      <c r="C3133" s="242">
        <f t="shared" si="97"/>
        <v>5</v>
      </c>
      <c r="D3133" s="242">
        <v>48.9</v>
      </c>
      <c r="E3133" s="845">
        <f t="shared" si="98"/>
        <v>9.3888888888888875</v>
      </c>
    </row>
    <row r="3134" spans="2:5">
      <c r="B3134" s="1115">
        <v>45053</v>
      </c>
      <c r="C3134" s="242">
        <f t="shared" si="97"/>
        <v>5</v>
      </c>
      <c r="D3134" s="242">
        <v>48.6</v>
      </c>
      <c r="E3134" s="845">
        <f t="shared" si="98"/>
        <v>9.2222222222222232</v>
      </c>
    </row>
    <row r="3135" spans="2:5">
      <c r="B3135" s="1115">
        <v>45053</v>
      </c>
      <c r="C3135" s="242">
        <f t="shared" si="97"/>
        <v>5</v>
      </c>
      <c r="D3135" s="242">
        <v>48.6</v>
      </c>
      <c r="E3135" s="845">
        <f t="shared" si="98"/>
        <v>9.2222222222222232</v>
      </c>
    </row>
    <row r="3136" spans="2:5">
      <c r="B3136" s="1115">
        <v>45053</v>
      </c>
      <c r="C3136" s="242">
        <f t="shared" si="97"/>
        <v>5</v>
      </c>
      <c r="D3136" s="242">
        <v>49.1</v>
      </c>
      <c r="E3136" s="845">
        <f t="shared" si="98"/>
        <v>9.5</v>
      </c>
    </row>
    <row r="3137" spans="2:5">
      <c r="B3137" s="1115">
        <v>45053</v>
      </c>
      <c r="C3137" s="242">
        <f t="shared" si="97"/>
        <v>5</v>
      </c>
      <c r="D3137" s="242" t="s">
        <v>603</v>
      </c>
      <c r="E3137" s="845"/>
    </row>
    <row r="3138" spans="2:5">
      <c r="B3138" s="1115">
        <v>45053</v>
      </c>
      <c r="C3138" s="242">
        <f t="shared" si="97"/>
        <v>5</v>
      </c>
      <c r="D3138" s="242">
        <v>49.1</v>
      </c>
      <c r="E3138" s="845">
        <f t="shared" si="98"/>
        <v>9.5</v>
      </c>
    </row>
    <row r="3139" spans="2:5">
      <c r="B3139" s="1115">
        <v>45053</v>
      </c>
      <c r="C3139" s="242">
        <f t="shared" si="97"/>
        <v>5</v>
      </c>
      <c r="D3139" s="242">
        <v>50.2</v>
      </c>
      <c r="E3139" s="845">
        <f t="shared" si="98"/>
        <v>10.111111111111112</v>
      </c>
    </row>
    <row r="3140" spans="2:5">
      <c r="B3140" s="1115">
        <v>45053</v>
      </c>
      <c r="C3140" s="242">
        <f t="shared" si="97"/>
        <v>5</v>
      </c>
      <c r="D3140" s="242">
        <v>51.3</v>
      </c>
      <c r="E3140" s="845">
        <f t="shared" si="98"/>
        <v>10.72222222222222</v>
      </c>
    </row>
    <row r="3141" spans="2:5">
      <c r="B3141" s="1115">
        <v>45053</v>
      </c>
      <c r="C3141" s="242">
        <f t="shared" si="97"/>
        <v>5</v>
      </c>
      <c r="D3141" s="242" t="s">
        <v>1845</v>
      </c>
      <c r="E3141" s="845">
        <f t="shared" si="98"/>
        <v>11.111111111111111</v>
      </c>
    </row>
    <row r="3142" spans="2:5">
      <c r="B3142" s="1115">
        <v>45053</v>
      </c>
      <c r="C3142" s="242">
        <f t="shared" si="97"/>
        <v>5</v>
      </c>
      <c r="D3142" s="242">
        <v>52.7</v>
      </c>
      <c r="E3142" s="845">
        <f t="shared" si="98"/>
        <v>11.500000000000002</v>
      </c>
    </row>
    <row r="3143" spans="2:5">
      <c r="B3143" s="1115">
        <v>45053</v>
      </c>
      <c r="C3143" s="242">
        <f t="shared" si="97"/>
        <v>5</v>
      </c>
      <c r="D3143" s="242">
        <v>52.3</v>
      </c>
      <c r="E3143" s="845">
        <f t="shared" si="98"/>
        <v>11.277777777777777</v>
      </c>
    </row>
    <row r="3144" spans="2:5">
      <c r="B3144" s="1115">
        <v>45053</v>
      </c>
      <c r="C3144" s="242">
        <f t="shared" si="97"/>
        <v>5</v>
      </c>
      <c r="D3144" s="242" t="s">
        <v>1844</v>
      </c>
      <c r="E3144" s="845">
        <f t="shared" si="98"/>
        <v>10</v>
      </c>
    </row>
    <row r="3145" spans="2:5">
      <c r="B3145" s="1115">
        <v>45053</v>
      </c>
      <c r="C3145" s="242">
        <f t="shared" si="97"/>
        <v>5</v>
      </c>
      <c r="D3145" s="242">
        <v>48.7</v>
      </c>
      <c r="E3145" s="845">
        <f t="shared" si="98"/>
        <v>9.2777777777777786</v>
      </c>
    </row>
    <row r="3146" spans="2:5">
      <c r="B3146" s="1115">
        <v>45053</v>
      </c>
      <c r="C3146" s="242">
        <f t="shared" ref="C3146:C3209" si="99">MONTH(B3146)</f>
        <v>5</v>
      </c>
      <c r="D3146" s="242">
        <v>48.9</v>
      </c>
      <c r="E3146" s="845">
        <f t="shared" ref="E3146:E3209" si="100">CONVERT(D3146,"F","C")</f>
        <v>9.3888888888888875</v>
      </c>
    </row>
    <row r="3147" spans="2:5">
      <c r="B3147" s="1115">
        <v>45053</v>
      </c>
      <c r="C3147" s="242">
        <f t="shared" si="99"/>
        <v>5</v>
      </c>
      <c r="D3147" s="242">
        <v>48.2</v>
      </c>
      <c r="E3147" s="845">
        <f t="shared" si="100"/>
        <v>9.0000000000000018</v>
      </c>
    </row>
    <row r="3148" spans="2:5">
      <c r="B3148" s="1115">
        <v>45053</v>
      </c>
      <c r="C3148" s="242">
        <f t="shared" si="99"/>
        <v>5</v>
      </c>
      <c r="D3148" s="242">
        <v>47.8</v>
      </c>
      <c r="E3148" s="845">
        <f t="shared" si="100"/>
        <v>8.7777777777777768</v>
      </c>
    </row>
    <row r="3149" spans="2:5">
      <c r="B3149" s="1115">
        <v>45053</v>
      </c>
      <c r="C3149" s="242">
        <f t="shared" si="99"/>
        <v>5</v>
      </c>
      <c r="D3149" s="242">
        <v>48.9</v>
      </c>
      <c r="E3149" s="845">
        <f t="shared" si="100"/>
        <v>9.3888888888888875</v>
      </c>
    </row>
    <row r="3150" spans="2:5">
      <c r="B3150" s="1115">
        <v>45053</v>
      </c>
      <c r="C3150" s="242">
        <f t="shared" si="99"/>
        <v>5</v>
      </c>
      <c r="D3150" s="242">
        <v>48.7</v>
      </c>
      <c r="E3150" s="845">
        <f t="shared" si="100"/>
        <v>9.2777777777777786</v>
      </c>
    </row>
    <row r="3151" spans="2:5">
      <c r="B3151" s="1115">
        <v>45053</v>
      </c>
      <c r="C3151" s="242">
        <f t="shared" si="99"/>
        <v>5</v>
      </c>
      <c r="D3151" s="242">
        <v>50.2</v>
      </c>
      <c r="E3151" s="845">
        <f t="shared" si="100"/>
        <v>10.111111111111112</v>
      </c>
    </row>
    <row r="3152" spans="2:5">
      <c r="B3152" s="1115">
        <v>45053</v>
      </c>
      <c r="C3152" s="242">
        <f t="shared" si="99"/>
        <v>5</v>
      </c>
      <c r="D3152" s="242">
        <v>51.8</v>
      </c>
      <c r="E3152" s="845">
        <f t="shared" si="100"/>
        <v>10.999999999999998</v>
      </c>
    </row>
    <row r="3153" spans="2:5">
      <c r="B3153" s="1115">
        <v>45054</v>
      </c>
      <c r="C3153" s="242">
        <f t="shared" si="99"/>
        <v>5</v>
      </c>
      <c r="D3153" s="242">
        <v>52.9</v>
      </c>
      <c r="E3153" s="845">
        <f t="shared" si="100"/>
        <v>11.611111111111111</v>
      </c>
    </row>
    <row r="3154" spans="2:5">
      <c r="B3154" s="1115">
        <v>45054</v>
      </c>
      <c r="C3154" s="242">
        <f t="shared" si="99"/>
        <v>5</v>
      </c>
      <c r="D3154" s="242">
        <v>53.4</v>
      </c>
      <c r="E3154" s="845">
        <f t="shared" si="100"/>
        <v>11.888888888888888</v>
      </c>
    </row>
    <row r="3155" spans="2:5">
      <c r="B3155" s="1115">
        <v>45054</v>
      </c>
      <c r="C3155" s="242">
        <f t="shared" si="99"/>
        <v>5</v>
      </c>
      <c r="D3155" s="242">
        <v>52.7</v>
      </c>
      <c r="E3155" s="845">
        <f t="shared" si="100"/>
        <v>11.500000000000002</v>
      </c>
    </row>
    <row r="3156" spans="2:5">
      <c r="B3156" s="1115">
        <v>45054</v>
      </c>
      <c r="C3156" s="242">
        <f t="shared" si="99"/>
        <v>5</v>
      </c>
      <c r="D3156" s="242">
        <v>50.5</v>
      </c>
      <c r="E3156" s="845">
        <f t="shared" si="100"/>
        <v>10.277777777777777</v>
      </c>
    </row>
    <row r="3157" spans="2:5">
      <c r="B3157" s="1115">
        <v>45054</v>
      </c>
      <c r="C3157" s="242">
        <f t="shared" si="99"/>
        <v>5</v>
      </c>
      <c r="D3157" s="242">
        <v>49.5</v>
      </c>
      <c r="E3157" s="845">
        <f t="shared" si="100"/>
        <v>9.7222222222222214</v>
      </c>
    </row>
    <row r="3158" spans="2:5">
      <c r="B3158" s="1115">
        <v>45054</v>
      </c>
      <c r="C3158" s="242">
        <f t="shared" si="99"/>
        <v>5</v>
      </c>
      <c r="D3158" s="242">
        <v>48.2</v>
      </c>
      <c r="E3158" s="845">
        <f t="shared" si="100"/>
        <v>9.0000000000000018</v>
      </c>
    </row>
    <row r="3159" spans="2:5">
      <c r="B3159" s="1115">
        <v>45054</v>
      </c>
      <c r="C3159" s="242">
        <f t="shared" si="99"/>
        <v>5</v>
      </c>
      <c r="D3159" s="242">
        <v>47.8</v>
      </c>
      <c r="E3159" s="845">
        <f t="shared" si="100"/>
        <v>8.7777777777777768</v>
      </c>
    </row>
    <row r="3160" spans="2:5">
      <c r="B3160" s="1115">
        <v>45054</v>
      </c>
      <c r="C3160" s="242">
        <f t="shared" si="99"/>
        <v>5</v>
      </c>
      <c r="D3160" s="242" t="s">
        <v>603</v>
      </c>
      <c r="E3160" s="845"/>
    </row>
    <row r="3161" spans="2:5">
      <c r="B3161" s="1115">
        <v>45054</v>
      </c>
      <c r="C3161" s="242">
        <f t="shared" si="99"/>
        <v>5</v>
      </c>
      <c r="D3161" s="242">
        <v>47.7</v>
      </c>
      <c r="E3161" s="845">
        <f t="shared" si="100"/>
        <v>8.7222222222222232</v>
      </c>
    </row>
    <row r="3162" spans="2:5">
      <c r="B3162" s="1115">
        <v>45054</v>
      </c>
      <c r="C3162" s="242">
        <f t="shared" si="99"/>
        <v>5</v>
      </c>
      <c r="D3162" s="242" t="s">
        <v>1843</v>
      </c>
      <c r="E3162" s="845">
        <f t="shared" si="100"/>
        <v>8.8888888888888893</v>
      </c>
    </row>
    <row r="3163" spans="2:5">
      <c r="B3163" s="1115">
        <v>45054</v>
      </c>
      <c r="C3163" s="242">
        <f t="shared" si="99"/>
        <v>5</v>
      </c>
      <c r="D3163" s="242">
        <v>48.9</v>
      </c>
      <c r="E3163" s="845">
        <f t="shared" si="100"/>
        <v>9.3888888888888875</v>
      </c>
    </row>
    <row r="3164" spans="2:5">
      <c r="B3164" s="1115">
        <v>45054</v>
      </c>
      <c r="C3164" s="242">
        <f t="shared" si="99"/>
        <v>5</v>
      </c>
      <c r="D3164" s="242">
        <v>50.7</v>
      </c>
      <c r="E3164" s="845">
        <f t="shared" si="100"/>
        <v>10.388888888888891</v>
      </c>
    </row>
    <row r="3165" spans="2:5">
      <c r="B3165" s="1115">
        <v>45054</v>
      </c>
      <c r="C3165" s="242">
        <f t="shared" si="99"/>
        <v>5</v>
      </c>
      <c r="D3165" s="242">
        <v>52.2</v>
      </c>
      <c r="E3165" s="845">
        <f t="shared" si="100"/>
        <v>11.222222222222223</v>
      </c>
    </row>
    <row r="3166" spans="2:5">
      <c r="B3166" s="1115">
        <v>45054</v>
      </c>
      <c r="C3166" s="242">
        <f t="shared" si="99"/>
        <v>5</v>
      </c>
      <c r="D3166" s="242">
        <v>53.2</v>
      </c>
      <c r="E3166" s="845">
        <f t="shared" si="100"/>
        <v>11.777777777777779</v>
      </c>
    </row>
    <row r="3167" spans="2:5">
      <c r="B3167" s="1115">
        <v>45054</v>
      </c>
      <c r="C3167" s="242">
        <f t="shared" si="99"/>
        <v>5</v>
      </c>
      <c r="D3167" s="242" t="s">
        <v>1846</v>
      </c>
      <c r="E3167" s="845">
        <f t="shared" si="100"/>
        <v>12.222222222222221</v>
      </c>
    </row>
    <row r="3168" spans="2:5">
      <c r="B3168" s="1115">
        <v>45054</v>
      </c>
      <c r="C3168" s="242">
        <f t="shared" si="99"/>
        <v>5</v>
      </c>
      <c r="D3168" s="242">
        <v>53.1</v>
      </c>
      <c r="E3168" s="845">
        <f t="shared" si="100"/>
        <v>11.722222222222223</v>
      </c>
    </row>
    <row r="3169" spans="2:5">
      <c r="B3169" s="1115">
        <v>45054</v>
      </c>
      <c r="C3169" s="242">
        <f t="shared" si="99"/>
        <v>5</v>
      </c>
      <c r="D3169" s="242">
        <v>49.3</v>
      </c>
      <c r="E3169" s="845">
        <f t="shared" si="100"/>
        <v>9.6111111111111089</v>
      </c>
    </row>
    <row r="3170" spans="2:5">
      <c r="B3170" s="1115">
        <v>45054</v>
      </c>
      <c r="C3170" s="242">
        <f t="shared" si="99"/>
        <v>5</v>
      </c>
      <c r="D3170" s="242">
        <v>48.2</v>
      </c>
      <c r="E3170" s="845">
        <f t="shared" si="100"/>
        <v>9.0000000000000018</v>
      </c>
    </row>
    <row r="3171" spans="2:5">
      <c r="B3171" s="1115">
        <v>45054</v>
      </c>
      <c r="C3171" s="242">
        <f t="shared" si="99"/>
        <v>5</v>
      </c>
      <c r="D3171" s="242">
        <v>48.4</v>
      </c>
      <c r="E3171" s="845">
        <f t="shared" si="100"/>
        <v>9.1111111111111107</v>
      </c>
    </row>
    <row r="3172" spans="2:5">
      <c r="B3172" s="1115">
        <v>45054</v>
      </c>
      <c r="C3172" s="242">
        <f t="shared" si="99"/>
        <v>5</v>
      </c>
      <c r="D3172" s="242">
        <v>47.8</v>
      </c>
      <c r="E3172" s="845">
        <f t="shared" si="100"/>
        <v>8.7777777777777768</v>
      </c>
    </row>
    <row r="3173" spans="2:5">
      <c r="B3173" s="1115">
        <v>45054</v>
      </c>
      <c r="C3173" s="242">
        <f t="shared" si="99"/>
        <v>5</v>
      </c>
      <c r="D3173" s="242">
        <v>47.3</v>
      </c>
      <c r="E3173" s="845">
        <f t="shared" si="100"/>
        <v>8.4999999999999982</v>
      </c>
    </row>
    <row r="3174" spans="2:5">
      <c r="B3174" s="1115">
        <v>45054</v>
      </c>
      <c r="C3174" s="242">
        <f t="shared" si="99"/>
        <v>5</v>
      </c>
      <c r="D3174" s="242">
        <v>47.8</v>
      </c>
      <c r="E3174" s="845">
        <f t="shared" si="100"/>
        <v>8.7777777777777768</v>
      </c>
    </row>
    <row r="3175" spans="2:5">
      <c r="B3175" s="1115">
        <v>45054</v>
      </c>
      <c r="C3175" s="242">
        <f t="shared" si="99"/>
        <v>5</v>
      </c>
      <c r="D3175" s="242">
        <v>48.2</v>
      </c>
      <c r="E3175" s="845">
        <f t="shared" si="100"/>
        <v>9.0000000000000018</v>
      </c>
    </row>
    <row r="3176" spans="2:5">
      <c r="B3176" s="1115">
        <v>45054</v>
      </c>
      <c r="C3176" s="242">
        <f t="shared" si="99"/>
        <v>5</v>
      </c>
      <c r="D3176" s="242">
        <v>50.2</v>
      </c>
      <c r="E3176" s="845">
        <f t="shared" si="100"/>
        <v>10.111111111111112</v>
      </c>
    </row>
    <row r="3177" spans="2:5">
      <c r="B3177" s="1115">
        <v>45055</v>
      </c>
      <c r="C3177" s="242">
        <f t="shared" si="99"/>
        <v>5</v>
      </c>
      <c r="D3177" s="242" t="s">
        <v>1845</v>
      </c>
      <c r="E3177" s="845">
        <f t="shared" si="100"/>
        <v>11.111111111111111</v>
      </c>
    </row>
    <row r="3178" spans="2:5">
      <c r="B3178" s="1115">
        <v>45055</v>
      </c>
      <c r="C3178" s="242">
        <f t="shared" si="99"/>
        <v>5</v>
      </c>
      <c r="D3178" s="242">
        <v>53.2</v>
      </c>
      <c r="E3178" s="845">
        <f t="shared" si="100"/>
        <v>11.777777777777779</v>
      </c>
    </row>
    <row r="3179" spans="2:5">
      <c r="B3179" s="1115">
        <v>45055</v>
      </c>
      <c r="C3179" s="242">
        <f t="shared" si="99"/>
        <v>5</v>
      </c>
      <c r="D3179" s="242">
        <v>53.4</v>
      </c>
      <c r="E3179" s="845">
        <f t="shared" si="100"/>
        <v>11.888888888888888</v>
      </c>
    </row>
    <row r="3180" spans="2:5">
      <c r="B3180" s="1115">
        <v>45055</v>
      </c>
      <c r="C3180" s="242">
        <f t="shared" si="99"/>
        <v>5</v>
      </c>
      <c r="D3180" s="242" t="s">
        <v>1845</v>
      </c>
      <c r="E3180" s="845">
        <f t="shared" si="100"/>
        <v>11.111111111111111</v>
      </c>
    </row>
    <row r="3181" spans="2:5">
      <c r="B3181" s="1115">
        <v>45055</v>
      </c>
      <c r="C3181" s="242">
        <f t="shared" si="99"/>
        <v>5</v>
      </c>
      <c r="D3181" s="242">
        <v>49.8</v>
      </c>
      <c r="E3181" s="845">
        <f t="shared" si="100"/>
        <v>9.8888888888888875</v>
      </c>
    </row>
    <row r="3182" spans="2:5">
      <c r="B3182" s="1115">
        <v>45055</v>
      </c>
      <c r="C3182" s="242">
        <f t="shared" si="99"/>
        <v>5</v>
      </c>
      <c r="D3182" s="242">
        <v>48.4</v>
      </c>
      <c r="E3182" s="845">
        <f t="shared" si="100"/>
        <v>9.1111111111111107</v>
      </c>
    </row>
    <row r="3183" spans="2:5">
      <c r="B3183" s="1115">
        <v>45055</v>
      </c>
      <c r="C3183" s="242">
        <f t="shared" si="99"/>
        <v>5</v>
      </c>
      <c r="D3183" s="242">
        <v>47.1</v>
      </c>
      <c r="E3183" s="845">
        <f t="shared" si="100"/>
        <v>8.3888888888888893</v>
      </c>
    </row>
    <row r="3184" spans="2:5">
      <c r="B3184" s="1115">
        <v>45055</v>
      </c>
      <c r="C3184" s="242">
        <f t="shared" si="99"/>
        <v>5</v>
      </c>
      <c r="D3184" s="242">
        <v>46.8</v>
      </c>
      <c r="E3184" s="845">
        <f t="shared" si="100"/>
        <v>8.2222222222222197</v>
      </c>
    </row>
    <row r="3185" spans="2:5">
      <c r="B3185" s="1115">
        <v>45055</v>
      </c>
      <c r="C3185" s="242">
        <f t="shared" si="99"/>
        <v>5</v>
      </c>
      <c r="D3185" s="242">
        <v>46.8</v>
      </c>
      <c r="E3185" s="845">
        <f t="shared" si="100"/>
        <v>8.2222222222222197</v>
      </c>
    </row>
    <row r="3186" spans="2:5">
      <c r="B3186" s="1115">
        <v>45055</v>
      </c>
      <c r="C3186" s="242">
        <f t="shared" si="99"/>
        <v>5</v>
      </c>
      <c r="D3186" s="242">
        <v>46.9</v>
      </c>
      <c r="E3186" s="845">
        <f t="shared" si="100"/>
        <v>8.2777777777777768</v>
      </c>
    </row>
    <row r="3187" spans="2:5">
      <c r="B3187" s="1115">
        <v>45055</v>
      </c>
      <c r="C3187" s="242">
        <f t="shared" si="99"/>
        <v>5</v>
      </c>
      <c r="D3187" s="242">
        <v>47.3</v>
      </c>
      <c r="E3187" s="845">
        <f t="shared" si="100"/>
        <v>8.4999999999999982</v>
      </c>
    </row>
    <row r="3188" spans="2:5">
      <c r="B3188" s="1115">
        <v>45055</v>
      </c>
      <c r="C3188" s="242">
        <f t="shared" si="99"/>
        <v>5</v>
      </c>
      <c r="D3188" s="242">
        <v>48.6</v>
      </c>
      <c r="E3188" s="845">
        <f t="shared" si="100"/>
        <v>9.2222222222222232</v>
      </c>
    </row>
    <row r="3189" spans="2:5">
      <c r="B3189" s="1115">
        <v>45055</v>
      </c>
      <c r="C3189" s="242">
        <f t="shared" si="99"/>
        <v>5</v>
      </c>
      <c r="D3189" s="242">
        <v>50.4</v>
      </c>
      <c r="E3189" s="845">
        <f t="shared" si="100"/>
        <v>10.222222222222221</v>
      </c>
    </row>
    <row r="3190" spans="2:5">
      <c r="B3190" s="1115">
        <v>45055</v>
      </c>
      <c r="C3190" s="242">
        <f t="shared" si="99"/>
        <v>5</v>
      </c>
      <c r="D3190" s="242" t="s">
        <v>1845</v>
      </c>
      <c r="E3190" s="845">
        <f t="shared" si="100"/>
        <v>11.111111111111111</v>
      </c>
    </row>
    <row r="3191" spans="2:5">
      <c r="B3191" s="1115">
        <v>45055</v>
      </c>
      <c r="C3191" s="242">
        <f t="shared" si="99"/>
        <v>5</v>
      </c>
      <c r="D3191" s="242">
        <v>53.1</v>
      </c>
      <c r="E3191" s="845">
        <f t="shared" si="100"/>
        <v>11.722222222222223</v>
      </c>
    </row>
    <row r="3192" spans="2:5">
      <c r="B3192" s="1115">
        <v>45055</v>
      </c>
      <c r="C3192" s="242">
        <f t="shared" si="99"/>
        <v>5</v>
      </c>
      <c r="D3192" s="242">
        <v>53.6</v>
      </c>
      <c r="E3192" s="845">
        <f t="shared" si="100"/>
        <v>12</v>
      </c>
    </row>
    <row r="3193" spans="2:5">
      <c r="B3193" s="1115">
        <v>45055</v>
      </c>
      <c r="C3193" s="242">
        <f t="shared" si="99"/>
        <v>5</v>
      </c>
      <c r="D3193" s="242">
        <v>52.7</v>
      </c>
      <c r="E3193" s="845">
        <f t="shared" si="100"/>
        <v>11.500000000000002</v>
      </c>
    </row>
    <row r="3194" spans="2:5">
      <c r="B3194" s="1115">
        <v>45055</v>
      </c>
      <c r="C3194" s="242">
        <f t="shared" si="99"/>
        <v>5</v>
      </c>
      <c r="D3194" s="242">
        <v>50.7</v>
      </c>
      <c r="E3194" s="845">
        <f t="shared" si="100"/>
        <v>10.388888888888891</v>
      </c>
    </row>
    <row r="3195" spans="2:5">
      <c r="B3195" s="1115">
        <v>45055</v>
      </c>
      <c r="C3195" s="242">
        <f t="shared" si="99"/>
        <v>5</v>
      </c>
      <c r="D3195" s="242">
        <v>50.5</v>
      </c>
      <c r="E3195" s="845">
        <f t="shared" si="100"/>
        <v>10.277777777777777</v>
      </c>
    </row>
    <row r="3196" spans="2:5">
      <c r="B3196" s="1115">
        <v>45055</v>
      </c>
      <c r="C3196" s="242">
        <f t="shared" si="99"/>
        <v>5</v>
      </c>
      <c r="D3196" s="242">
        <v>50.9</v>
      </c>
      <c r="E3196" s="845">
        <f t="shared" si="100"/>
        <v>10.499999999999998</v>
      </c>
    </row>
    <row r="3197" spans="2:5">
      <c r="B3197" s="1115">
        <v>45055</v>
      </c>
      <c r="C3197" s="242">
        <f t="shared" si="99"/>
        <v>5</v>
      </c>
      <c r="D3197" s="242">
        <v>51.3</v>
      </c>
      <c r="E3197" s="845">
        <f t="shared" si="100"/>
        <v>10.72222222222222</v>
      </c>
    </row>
    <row r="3198" spans="2:5">
      <c r="B3198" s="1115">
        <v>45055</v>
      </c>
      <c r="C3198" s="242">
        <f t="shared" si="99"/>
        <v>5</v>
      </c>
      <c r="D3198" s="242">
        <v>51.1</v>
      </c>
      <c r="E3198" s="845">
        <f t="shared" si="100"/>
        <v>10.611111111111112</v>
      </c>
    </row>
    <row r="3199" spans="2:5">
      <c r="B3199" s="1115">
        <v>45055</v>
      </c>
      <c r="C3199" s="242">
        <f t="shared" si="99"/>
        <v>5</v>
      </c>
      <c r="D3199" s="242">
        <v>51.4</v>
      </c>
      <c r="E3199" s="845">
        <f t="shared" si="100"/>
        <v>10.777777777777777</v>
      </c>
    </row>
    <row r="3200" spans="2:5">
      <c r="B3200" s="1115">
        <v>45055</v>
      </c>
      <c r="C3200" s="242">
        <f t="shared" si="99"/>
        <v>5</v>
      </c>
      <c r="D3200" s="242">
        <v>51.4</v>
      </c>
      <c r="E3200" s="845">
        <f t="shared" si="100"/>
        <v>10.777777777777777</v>
      </c>
    </row>
    <row r="3201" spans="2:5">
      <c r="B3201" s="1115">
        <v>45056</v>
      </c>
      <c r="C3201" s="242">
        <f t="shared" si="99"/>
        <v>5</v>
      </c>
      <c r="D3201" s="242">
        <v>51.8</v>
      </c>
      <c r="E3201" s="845">
        <f t="shared" si="100"/>
        <v>10.999999999999998</v>
      </c>
    </row>
    <row r="3202" spans="2:5">
      <c r="B3202" s="1115">
        <v>45056</v>
      </c>
      <c r="C3202" s="242">
        <f t="shared" si="99"/>
        <v>5</v>
      </c>
      <c r="D3202" s="242">
        <v>52.9</v>
      </c>
      <c r="E3202" s="845">
        <f t="shared" si="100"/>
        <v>11.611111111111111</v>
      </c>
    </row>
    <row r="3203" spans="2:5">
      <c r="B3203" s="1115">
        <v>45056</v>
      </c>
      <c r="C3203" s="242">
        <f t="shared" si="99"/>
        <v>5</v>
      </c>
      <c r="D3203" s="242">
        <v>53.6</v>
      </c>
      <c r="E3203" s="845">
        <f t="shared" si="100"/>
        <v>12</v>
      </c>
    </row>
    <row r="3204" spans="2:5">
      <c r="B3204" s="1115">
        <v>45056</v>
      </c>
      <c r="C3204" s="242">
        <f t="shared" si="99"/>
        <v>5</v>
      </c>
      <c r="D3204" s="242">
        <v>53.8</v>
      </c>
      <c r="E3204" s="845">
        <f t="shared" si="100"/>
        <v>12.111111111111109</v>
      </c>
    </row>
    <row r="3205" spans="2:5">
      <c r="B3205" s="1115">
        <v>45056</v>
      </c>
      <c r="C3205" s="242">
        <f t="shared" si="99"/>
        <v>5</v>
      </c>
      <c r="D3205" s="242">
        <v>53.2</v>
      </c>
      <c r="E3205" s="845">
        <f t="shared" si="100"/>
        <v>11.777777777777779</v>
      </c>
    </row>
    <row r="3206" spans="2:5">
      <c r="B3206" s="1115">
        <v>45056</v>
      </c>
      <c r="C3206" s="242">
        <f t="shared" si="99"/>
        <v>5</v>
      </c>
      <c r="D3206" s="242" t="s">
        <v>1845</v>
      </c>
      <c r="E3206" s="845">
        <f t="shared" si="100"/>
        <v>11.111111111111111</v>
      </c>
    </row>
    <row r="3207" spans="2:5">
      <c r="B3207" s="1115">
        <v>45056</v>
      </c>
      <c r="C3207" s="242">
        <f t="shared" si="99"/>
        <v>5</v>
      </c>
      <c r="D3207" s="242">
        <v>50.5</v>
      </c>
      <c r="E3207" s="845">
        <f t="shared" si="100"/>
        <v>10.277777777777777</v>
      </c>
    </row>
    <row r="3208" spans="2:5">
      <c r="B3208" s="1115">
        <v>45056</v>
      </c>
      <c r="C3208" s="242">
        <f t="shared" si="99"/>
        <v>5</v>
      </c>
      <c r="D3208" s="242">
        <v>49.6</v>
      </c>
      <c r="E3208" s="845">
        <f t="shared" si="100"/>
        <v>9.7777777777777786</v>
      </c>
    </row>
    <row r="3209" spans="2:5">
      <c r="B3209" s="1115">
        <v>45056</v>
      </c>
      <c r="C3209" s="242">
        <f t="shared" si="99"/>
        <v>5</v>
      </c>
      <c r="D3209" s="242">
        <v>48.9</v>
      </c>
      <c r="E3209" s="845">
        <f t="shared" si="100"/>
        <v>9.3888888888888875</v>
      </c>
    </row>
    <row r="3210" spans="2:5">
      <c r="B3210" s="1115">
        <v>45056</v>
      </c>
      <c r="C3210" s="242">
        <f t="shared" ref="C3210:C3273" si="101">MONTH(B3210)</f>
        <v>5</v>
      </c>
      <c r="D3210" s="242">
        <v>49.1</v>
      </c>
      <c r="E3210" s="845">
        <f t="shared" ref="E3210:E3273" si="102">CONVERT(D3210,"F","C")</f>
        <v>9.5</v>
      </c>
    </row>
    <row r="3211" spans="2:5">
      <c r="B3211" s="1115">
        <v>45056</v>
      </c>
      <c r="C3211" s="242">
        <f t="shared" si="101"/>
        <v>5</v>
      </c>
      <c r="D3211" s="242">
        <v>48.9</v>
      </c>
      <c r="E3211" s="845">
        <f t="shared" si="102"/>
        <v>9.3888888888888875</v>
      </c>
    </row>
    <row r="3212" spans="2:5">
      <c r="B3212" s="1115">
        <v>45056</v>
      </c>
      <c r="C3212" s="242">
        <f t="shared" si="101"/>
        <v>5</v>
      </c>
      <c r="D3212" s="242">
        <v>49.8</v>
      </c>
      <c r="E3212" s="845">
        <f t="shared" si="102"/>
        <v>9.8888888888888875</v>
      </c>
    </row>
    <row r="3213" spans="2:5">
      <c r="B3213" s="1115">
        <v>45056</v>
      </c>
      <c r="C3213" s="242">
        <f t="shared" si="101"/>
        <v>5</v>
      </c>
      <c r="D3213" s="242">
        <v>51.1</v>
      </c>
      <c r="E3213" s="845">
        <f t="shared" si="102"/>
        <v>10.611111111111112</v>
      </c>
    </row>
    <row r="3214" spans="2:5">
      <c r="B3214" s="1115">
        <v>45056</v>
      </c>
      <c r="C3214" s="242">
        <f t="shared" si="101"/>
        <v>5</v>
      </c>
      <c r="D3214" s="242">
        <v>52.3</v>
      </c>
      <c r="E3214" s="845">
        <f t="shared" si="102"/>
        <v>11.277777777777777</v>
      </c>
    </row>
    <row r="3215" spans="2:5">
      <c r="B3215" s="1115">
        <v>45056</v>
      </c>
      <c r="C3215" s="242">
        <f t="shared" si="101"/>
        <v>5</v>
      </c>
      <c r="D3215" s="242">
        <v>53.4</v>
      </c>
      <c r="E3215" s="845">
        <f t="shared" si="102"/>
        <v>11.888888888888888</v>
      </c>
    </row>
    <row r="3216" spans="2:5">
      <c r="B3216" s="1115">
        <v>45056</v>
      </c>
      <c r="C3216" s="242">
        <f t="shared" si="101"/>
        <v>5</v>
      </c>
      <c r="D3216" s="242">
        <v>54.1</v>
      </c>
      <c r="E3216" s="845">
        <f t="shared" si="102"/>
        <v>12.277777777777779</v>
      </c>
    </row>
    <row r="3217" spans="2:5">
      <c r="B3217" s="1115">
        <v>45056</v>
      </c>
      <c r="C3217" s="242">
        <f t="shared" si="101"/>
        <v>5</v>
      </c>
      <c r="D3217" s="242">
        <v>54.9</v>
      </c>
      <c r="E3217" s="845">
        <f t="shared" si="102"/>
        <v>12.722222222222221</v>
      </c>
    </row>
    <row r="3218" spans="2:5">
      <c r="B3218" s="1115">
        <v>45056</v>
      </c>
      <c r="C3218" s="242">
        <f t="shared" si="101"/>
        <v>5</v>
      </c>
      <c r="D3218" s="242" t="s">
        <v>1846</v>
      </c>
      <c r="E3218" s="845">
        <f t="shared" si="102"/>
        <v>12.222222222222221</v>
      </c>
    </row>
    <row r="3219" spans="2:5">
      <c r="B3219" s="1115">
        <v>45056</v>
      </c>
      <c r="C3219" s="242">
        <f t="shared" si="101"/>
        <v>5</v>
      </c>
      <c r="D3219" s="242">
        <v>49.1</v>
      </c>
      <c r="E3219" s="845">
        <f t="shared" si="102"/>
        <v>9.5</v>
      </c>
    </row>
    <row r="3220" spans="2:5">
      <c r="B3220" s="1115">
        <v>45056</v>
      </c>
      <c r="C3220" s="242">
        <f t="shared" si="101"/>
        <v>5</v>
      </c>
      <c r="D3220" s="242" t="s">
        <v>1843</v>
      </c>
      <c r="E3220" s="845">
        <f t="shared" si="102"/>
        <v>8.8888888888888893</v>
      </c>
    </row>
    <row r="3221" spans="2:5">
      <c r="B3221" s="1115">
        <v>45056</v>
      </c>
      <c r="C3221" s="242">
        <f t="shared" si="101"/>
        <v>5</v>
      </c>
      <c r="D3221" s="242">
        <v>48.6</v>
      </c>
      <c r="E3221" s="845">
        <f t="shared" si="102"/>
        <v>9.2222222222222232</v>
      </c>
    </row>
    <row r="3222" spans="2:5">
      <c r="B3222" s="1115">
        <v>45056</v>
      </c>
      <c r="C3222" s="242">
        <f t="shared" si="101"/>
        <v>5</v>
      </c>
      <c r="D3222" s="242">
        <v>48.4</v>
      </c>
      <c r="E3222" s="845">
        <f t="shared" si="102"/>
        <v>9.1111111111111107</v>
      </c>
    </row>
    <row r="3223" spans="2:5">
      <c r="B3223" s="1115">
        <v>45056</v>
      </c>
      <c r="C3223" s="242">
        <f t="shared" si="101"/>
        <v>5</v>
      </c>
      <c r="D3223" s="242">
        <v>48.4</v>
      </c>
      <c r="E3223" s="845">
        <f t="shared" si="102"/>
        <v>9.1111111111111107</v>
      </c>
    </row>
    <row r="3224" spans="2:5">
      <c r="B3224" s="1115">
        <v>45056</v>
      </c>
      <c r="C3224" s="242">
        <f t="shared" si="101"/>
        <v>5</v>
      </c>
      <c r="D3224" s="242">
        <v>48.6</v>
      </c>
      <c r="E3224" s="845">
        <f t="shared" si="102"/>
        <v>9.2222222222222232</v>
      </c>
    </row>
    <row r="3225" spans="2:5">
      <c r="B3225" s="1115">
        <v>45057</v>
      </c>
      <c r="C3225" s="242">
        <f t="shared" si="101"/>
        <v>5</v>
      </c>
      <c r="D3225" s="242">
        <v>48.9</v>
      </c>
      <c r="E3225" s="845">
        <f t="shared" si="102"/>
        <v>9.3888888888888875</v>
      </c>
    </row>
    <row r="3226" spans="2:5">
      <c r="B3226" s="1115">
        <v>45057</v>
      </c>
      <c r="C3226" s="242">
        <f t="shared" si="101"/>
        <v>5</v>
      </c>
      <c r="D3226" s="242">
        <v>50.7</v>
      </c>
      <c r="E3226" s="845">
        <f t="shared" si="102"/>
        <v>10.388888888888891</v>
      </c>
    </row>
    <row r="3227" spans="2:5">
      <c r="B3227" s="1115">
        <v>45057</v>
      </c>
      <c r="C3227" s="242">
        <f t="shared" si="101"/>
        <v>5</v>
      </c>
      <c r="D3227" s="242">
        <v>52.7</v>
      </c>
      <c r="E3227" s="845">
        <f t="shared" si="102"/>
        <v>11.500000000000002</v>
      </c>
    </row>
    <row r="3228" spans="2:5">
      <c r="B3228" s="1115">
        <v>45057</v>
      </c>
      <c r="C3228" s="242">
        <f t="shared" si="101"/>
        <v>5</v>
      </c>
      <c r="D3228" s="242">
        <v>53.6</v>
      </c>
      <c r="E3228" s="845">
        <f t="shared" si="102"/>
        <v>12</v>
      </c>
    </row>
    <row r="3229" spans="2:5">
      <c r="B3229" s="1115">
        <v>45057</v>
      </c>
      <c r="C3229" s="242">
        <f t="shared" si="101"/>
        <v>5</v>
      </c>
      <c r="D3229" s="242">
        <v>53.8</v>
      </c>
      <c r="E3229" s="845">
        <f t="shared" si="102"/>
        <v>12.111111111111109</v>
      </c>
    </row>
    <row r="3230" spans="2:5">
      <c r="B3230" s="1115">
        <v>45057</v>
      </c>
      <c r="C3230" s="242">
        <f t="shared" si="101"/>
        <v>5</v>
      </c>
      <c r="D3230" s="242">
        <v>52.9</v>
      </c>
      <c r="E3230" s="845">
        <f t="shared" si="102"/>
        <v>11.611111111111111</v>
      </c>
    </row>
    <row r="3231" spans="2:5">
      <c r="B3231" s="1115">
        <v>45057</v>
      </c>
      <c r="C3231" s="242">
        <f t="shared" si="101"/>
        <v>5</v>
      </c>
      <c r="D3231" s="242" t="s">
        <v>1844</v>
      </c>
      <c r="E3231" s="845">
        <f t="shared" si="102"/>
        <v>10</v>
      </c>
    </row>
    <row r="3232" spans="2:5">
      <c r="B3232" s="1115">
        <v>45057</v>
      </c>
      <c r="C3232" s="242">
        <f t="shared" si="101"/>
        <v>5</v>
      </c>
      <c r="D3232" s="242">
        <v>49.1</v>
      </c>
      <c r="E3232" s="845">
        <f t="shared" si="102"/>
        <v>9.5</v>
      </c>
    </row>
    <row r="3233" spans="2:5">
      <c r="B3233" s="1115">
        <v>45057</v>
      </c>
      <c r="C3233" s="242">
        <f t="shared" si="101"/>
        <v>5</v>
      </c>
      <c r="D3233" s="242">
        <v>47.5</v>
      </c>
      <c r="E3233" s="845">
        <f t="shared" si="102"/>
        <v>8.6111111111111107</v>
      </c>
    </row>
    <row r="3234" spans="2:5">
      <c r="B3234" s="1115">
        <v>45057</v>
      </c>
      <c r="C3234" s="242">
        <f t="shared" si="101"/>
        <v>5</v>
      </c>
      <c r="D3234" s="242">
        <v>47.1</v>
      </c>
      <c r="E3234" s="845">
        <f t="shared" si="102"/>
        <v>8.3888888888888893</v>
      </c>
    </row>
    <row r="3235" spans="2:5">
      <c r="B3235" s="1115">
        <v>45057</v>
      </c>
      <c r="C3235" s="242">
        <f t="shared" si="101"/>
        <v>5</v>
      </c>
      <c r="D3235" s="242">
        <v>47.3</v>
      </c>
      <c r="E3235" s="845">
        <f t="shared" si="102"/>
        <v>8.4999999999999982</v>
      </c>
    </row>
    <row r="3236" spans="2:5">
      <c r="B3236" s="1115">
        <v>45057</v>
      </c>
      <c r="C3236" s="242">
        <f t="shared" si="101"/>
        <v>5</v>
      </c>
      <c r="D3236" s="242">
        <v>47.3</v>
      </c>
      <c r="E3236" s="845">
        <f t="shared" si="102"/>
        <v>8.4999999999999982</v>
      </c>
    </row>
    <row r="3237" spans="2:5">
      <c r="B3237" s="1115">
        <v>45057</v>
      </c>
      <c r="C3237" s="242">
        <f t="shared" si="101"/>
        <v>5</v>
      </c>
      <c r="D3237" s="242">
        <v>47.8</v>
      </c>
      <c r="E3237" s="845">
        <f t="shared" si="102"/>
        <v>8.7777777777777768</v>
      </c>
    </row>
    <row r="3238" spans="2:5">
      <c r="B3238" s="1115">
        <v>45057</v>
      </c>
      <c r="C3238" s="242">
        <f t="shared" si="101"/>
        <v>5</v>
      </c>
      <c r="D3238" s="242">
        <v>49.6</v>
      </c>
      <c r="E3238" s="845">
        <f t="shared" si="102"/>
        <v>9.7777777777777786</v>
      </c>
    </row>
    <row r="3239" spans="2:5">
      <c r="B3239" s="1115">
        <v>45057</v>
      </c>
      <c r="C3239" s="242">
        <f t="shared" si="101"/>
        <v>5</v>
      </c>
      <c r="D3239" s="242">
        <v>51.4</v>
      </c>
      <c r="E3239" s="845">
        <f t="shared" si="102"/>
        <v>10.777777777777777</v>
      </c>
    </row>
    <row r="3240" spans="2:5">
      <c r="B3240" s="1115">
        <v>45057</v>
      </c>
      <c r="C3240" s="242">
        <f t="shared" si="101"/>
        <v>5</v>
      </c>
      <c r="D3240" s="242">
        <v>53.1</v>
      </c>
      <c r="E3240" s="845">
        <f t="shared" si="102"/>
        <v>11.722222222222223</v>
      </c>
    </row>
    <row r="3241" spans="2:5">
      <c r="B3241" s="1115">
        <v>45057</v>
      </c>
      <c r="C3241" s="242">
        <f t="shared" si="101"/>
        <v>5</v>
      </c>
      <c r="D3241" s="242">
        <v>54.1</v>
      </c>
      <c r="E3241" s="845">
        <f t="shared" si="102"/>
        <v>12.277777777777779</v>
      </c>
    </row>
    <row r="3242" spans="2:5">
      <c r="B3242" s="1115">
        <v>45057</v>
      </c>
      <c r="C3242" s="242">
        <f t="shared" si="101"/>
        <v>5</v>
      </c>
      <c r="D3242" s="242">
        <v>54.5</v>
      </c>
      <c r="E3242" s="845">
        <f t="shared" si="102"/>
        <v>12.5</v>
      </c>
    </row>
    <row r="3243" spans="2:5">
      <c r="B3243" s="1115">
        <v>45057</v>
      </c>
      <c r="C3243" s="242">
        <f t="shared" si="101"/>
        <v>5</v>
      </c>
      <c r="D3243" s="242">
        <v>53.6</v>
      </c>
      <c r="E3243" s="845">
        <f t="shared" si="102"/>
        <v>12</v>
      </c>
    </row>
    <row r="3244" spans="2:5">
      <c r="B3244" s="1115">
        <v>45057</v>
      </c>
      <c r="C3244" s="242">
        <f t="shared" si="101"/>
        <v>5</v>
      </c>
      <c r="D3244" s="242">
        <v>49.5</v>
      </c>
      <c r="E3244" s="845">
        <f t="shared" si="102"/>
        <v>9.7222222222222214</v>
      </c>
    </row>
    <row r="3245" spans="2:5">
      <c r="B3245" s="1115">
        <v>45057</v>
      </c>
      <c r="C3245" s="242">
        <f t="shared" si="101"/>
        <v>5</v>
      </c>
      <c r="D3245" s="242">
        <v>48.7</v>
      </c>
      <c r="E3245" s="845">
        <f t="shared" si="102"/>
        <v>9.2777777777777786</v>
      </c>
    </row>
    <row r="3246" spans="2:5">
      <c r="B3246" s="1115">
        <v>45057</v>
      </c>
      <c r="C3246" s="242">
        <f t="shared" si="101"/>
        <v>5</v>
      </c>
      <c r="D3246" s="242">
        <v>48.2</v>
      </c>
      <c r="E3246" s="845">
        <f t="shared" si="102"/>
        <v>9.0000000000000018</v>
      </c>
    </row>
    <row r="3247" spans="2:5">
      <c r="B3247" s="1115">
        <v>45057</v>
      </c>
      <c r="C3247" s="242">
        <f t="shared" si="101"/>
        <v>5</v>
      </c>
      <c r="D3247" s="242">
        <v>48.2</v>
      </c>
      <c r="E3247" s="845">
        <f t="shared" si="102"/>
        <v>9.0000000000000018</v>
      </c>
    </row>
    <row r="3248" spans="2:5">
      <c r="B3248" s="1115">
        <v>45057</v>
      </c>
      <c r="C3248" s="242">
        <f t="shared" si="101"/>
        <v>5</v>
      </c>
      <c r="D3248" s="242">
        <v>48.4</v>
      </c>
      <c r="E3248" s="845">
        <f t="shared" si="102"/>
        <v>9.1111111111111107</v>
      </c>
    </row>
    <row r="3249" spans="2:5">
      <c r="B3249" s="1115">
        <v>45058</v>
      </c>
      <c r="C3249" s="242">
        <f t="shared" si="101"/>
        <v>5</v>
      </c>
      <c r="D3249" s="242">
        <v>48.4</v>
      </c>
      <c r="E3249" s="845">
        <f t="shared" si="102"/>
        <v>9.1111111111111107</v>
      </c>
    </row>
    <row r="3250" spans="2:5">
      <c r="B3250" s="1115">
        <v>45058</v>
      </c>
      <c r="C3250" s="242">
        <f t="shared" si="101"/>
        <v>5</v>
      </c>
      <c r="D3250" s="242">
        <v>48.7</v>
      </c>
      <c r="E3250" s="845">
        <f t="shared" si="102"/>
        <v>9.2777777777777786</v>
      </c>
    </row>
    <row r="3251" spans="2:5">
      <c r="B3251" s="1115">
        <v>45058</v>
      </c>
      <c r="C3251" s="242">
        <f t="shared" si="101"/>
        <v>5</v>
      </c>
      <c r="D3251" s="242">
        <v>50.5</v>
      </c>
      <c r="E3251" s="845">
        <f t="shared" si="102"/>
        <v>10.277777777777777</v>
      </c>
    </row>
    <row r="3252" spans="2:5">
      <c r="B3252" s="1115">
        <v>45058</v>
      </c>
      <c r="C3252" s="242">
        <f t="shared" si="101"/>
        <v>5</v>
      </c>
      <c r="D3252" s="242">
        <v>52.5</v>
      </c>
      <c r="E3252" s="845">
        <f t="shared" si="102"/>
        <v>11.388888888888889</v>
      </c>
    </row>
    <row r="3253" spans="2:5">
      <c r="B3253" s="1115">
        <v>45058</v>
      </c>
      <c r="C3253" s="242">
        <f t="shared" si="101"/>
        <v>5</v>
      </c>
      <c r="D3253" s="242">
        <v>53.4</v>
      </c>
      <c r="E3253" s="845">
        <f t="shared" si="102"/>
        <v>11.888888888888888</v>
      </c>
    </row>
    <row r="3254" spans="2:5">
      <c r="B3254" s="1115">
        <v>45058</v>
      </c>
      <c r="C3254" s="242">
        <f t="shared" si="101"/>
        <v>5</v>
      </c>
      <c r="D3254" s="242" t="s">
        <v>1846</v>
      </c>
      <c r="E3254" s="845">
        <f t="shared" si="102"/>
        <v>12.222222222222221</v>
      </c>
    </row>
    <row r="3255" spans="2:5">
      <c r="B3255" s="1115">
        <v>45058</v>
      </c>
      <c r="C3255" s="242">
        <f t="shared" si="101"/>
        <v>5</v>
      </c>
      <c r="D3255" s="242">
        <v>53.1</v>
      </c>
      <c r="E3255" s="845">
        <f t="shared" si="102"/>
        <v>11.722222222222223</v>
      </c>
    </row>
    <row r="3256" spans="2:5">
      <c r="B3256" s="1115">
        <v>45058</v>
      </c>
      <c r="C3256" s="242">
        <f t="shared" si="101"/>
        <v>5</v>
      </c>
      <c r="D3256" s="242">
        <v>50.5</v>
      </c>
      <c r="E3256" s="845">
        <f t="shared" si="102"/>
        <v>10.277777777777777</v>
      </c>
    </row>
    <row r="3257" spans="2:5">
      <c r="B3257" s="1115">
        <v>45058</v>
      </c>
      <c r="C3257" s="242">
        <f t="shared" si="101"/>
        <v>5</v>
      </c>
      <c r="D3257" s="242">
        <v>49.1</v>
      </c>
      <c r="E3257" s="845">
        <f t="shared" si="102"/>
        <v>9.5</v>
      </c>
    </row>
    <row r="3258" spans="2:5">
      <c r="B3258" s="1115">
        <v>45058</v>
      </c>
      <c r="C3258" s="242">
        <f t="shared" si="101"/>
        <v>5</v>
      </c>
      <c r="D3258" s="242">
        <v>47.5</v>
      </c>
      <c r="E3258" s="845">
        <f t="shared" si="102"/>
        <v>8.6111111111111107</v>
      </c>
    </row>
    <row r="3259" spans="2:5">
      <c r="B3259" s="1115">
        <v>45058</v>
      </c>
      <c r="C3259" s="242">
        <f t="shared" si="101"/>
        <v>5</v>
      </c>
      <c r="D3259" s="242">
        <v>47.3</v>
      </c>
      <c r="E3259" s="845">
        <f t="shared" si="102"/>
        <v>8.4999999999999982</v>
      </c>
    </row>
    <row r="3260" spans="2:5">
      <c r="B3260" s="1115">
        <v>45058</v>
      </c>
      <c r="C3260" s="242">
        <f t="shared" si="101"/>
        <v>5</v>
      </c>
      <c r="D3260" s="242">
        <v>47.1</v>
      </c>
      <c r="E3260" s="845">
        <f t="shared" si="102"/>
        <v>8.3888888888888893</v>
      </c>
    </row>
    <row r="3261" spans="2:5">
      <c r="B3261" s="1115">
        <v>45058</v>
      </c>
      <c r="C3261" s="242">
        <f t="shared" si="101"/>
        <v>5</v>
      </c>
      <c r="D3261" s="242">
        <v>47.1</v>
      </c>
      <c r="E3261" s="845">
        <f t="shared" si="102"/>
        <v>8.3888888888888893</v>
      </c>
    </row>
    <row r="3262" spans="2:5">
      <c r="B3262" s="1115">
        <v>45058</v>
      </c>
      <c r="C3262" s="242">
        <f t="shared" si="101"/>
        <v>5</v>
      </c>
      <c r="D3262" s="242">
        <v>47.8</v>
      </c>
      <c r="E3262" s="845">
        <f t="shared" si="102"/>
        <v>8.7777777777777768</v>
      </c>
    </row>
    <row r="3263" spans="2:5">
      <c r="B3263" s="1115">
        <v>45058</v>
      </c>
      <c r="C3263" s="242">
        <f t="shared" si="101"/>
        <v>5</v>
      </c>
      <c r="D3263" s="242">
        <v>49.5</v>
      </c>
      <c r="E3263" s="845">
        <f t="shared" si="102"/>
        <v>9.7222222222222214</v>
      </c>
    </row>
    <row r="3264" spans="2:5">
      <c r="B3264" s="1115">
        <v>45058</v>
      </c>
      <c r="C3264" s="242">
        <f t="shared" si="101"/>
        <v>5</v>
      </c>
      <c r="D3264" s="242">
        <v>51.6</v>
      </c>
      <c r="E3264" s="845">
        <f t="shared" si="102"/>
        <v>10.888888888888889</v>
      </c>
    </row>
    <row r="3265" spans="2:5">
      <c r="B3265" s="1115">
        <v>45058</v>
      </c>
      <c r="C3265" s="242">
        <f t="shared" si="101"/>
        <v>5</v>
      </c>
      <c r="D3265" s="242">
        <v>53.2</v>
      </c>
      <c r="E3265" s="845">
        <f t="shared" si="102"/>
        <v>11.777777777777779</v>
      </c>
    </row>
    <row r="3266" spans="2:5">
      <c r="B3266" s="1115">
        <v>45058</v>
      </c>
      <c r="C3266" s="242">
        <f t="shared" si="101"/>
        <v>5</v>
      </c>
      <c r="D3266" s="242">
        <v>54.3</v>
      </c>
      <c r="E3266" s="845">
        <f t="shared" si="102"/>
        <v>12.388888888888888</v>
      </c>
    </row>
    <row r="3267" spans="2:5">
      <c r="B3267" s="1115">
        <v>45058</v>
      </c>
      <c r="C3267" s="242">
        <f t="shared" si="101"/>
        <v>5</v>
      </c>
      <c r="D3267" s="242">
        <v>54.9</v>
      </c>
      <c r="E3267" s="845">
        <f t="shared" si="102"/>
        <v>12.722222222222221</v>
      </c>
    </row>
    <row r="3268" spans="2:5">
      <c r="B3268" s="1115">
        <v>45058</v>
      </c>
      <c r="C3268" s="242">
        <f t="shared" si="101"/>
        <v>5</v>
      </c>
      <c r="D3268" s="242">
        <v>53.6</v>
      </c>
      <c r="E3268" s="845">
        <f t="shared" si="102"/>
        <v>12</v>
      </c>
    </row>
    <row r="3269" spans="2:5">
      <c r="B3269" s="1115">
        <v>45058</v>
      </c>
      <c r="C3269" s="242">
        <f t="shared" si="101"/>
        <v>5</v>
      </c>
      <c r="D3269" s="242">
        <v>49.8</v>
      </c>
      <c r="E3269" s="845">
        <f t="shared" si="102"/>
        <v>9.8888888888888875</v>
      </c>
    </row>
    <row r="3270" spans="2:5">
      <c r="B3270" s="1115">
        <v>45058</v>
      </c>
      <c r="C3270" s="242">
        <f t="shared" si="101"/>
        <v>5</v>
      </c>
      <c r="D3270" s="242">
        <v>49.3</v>
      </c>
      <c r="E3270" s="845">
        <f t="shared" si="102"/>
        <v>9.6111111111111089</v>
      </c>
    </row>
    <row r="3271" spans="2:5">
      <c r="B3271" s="1115">
        <v>45058</v>
      </c>
      <c r="C3271" s="242">
        <f t="shared" si="101"/>
        <v>5</v>
      </c>
      <c r="D3271" s="242">
        <v>48.6</v>
      </c>
      <c r="E3271" s="845">
        <f t="shared" si="102"/>
        <v>9.2222222222222232</v>
      </c>
    </row>
    <row r="3272" spans="2:5">
      <c r="B3272" s="1115">
        <v>45058</v>
      </c>
      <c r="C3272" s="242">
        <f t="shared" si="101"/>
        <v>5</v>
      </c>
      <c r="D3272" s="242" t="s">
        <v>1843</v>
      </c>
      <c r="E3272" s="845">
        <f t="shared" si="102"/>
        <v>8.8888888888888893</v>
      </c>
    </row>
    <row r="3273" spans="2:5">
      <c r="B3273" s="1115">
        <v>45059</v>
      </c>
      <c r="C3273" s="242">
        <f t="shared" si="101"/>
        <v>5</v>
      </c>
      <c r="D3273" s="242">
        <v>48.2</v>
      </c>
      <c r="E3273" s="845">
        <f t="shared" si="102"/>
        <v>9.0000000000000018</v>
      </c>
    </row>
    <row r="3274" spans="2:5">
      <c r="B3274" s="1115">
        <v>45059</v>
      </c>
      <c r="C3274" s="242">
        <f t="shared" ref="C3274:C3337" si="103">MONTH(B3274)</f>
        <v>5</v>
      </c>
      <c r="D3274" s="242" t="s">
        <v>1843</v>
      </c>
      <c r="E3274" s="845">
        <f t="shared" ref="E3274:E3337" si="104">CONVERT(D3274,"F","C")</f>
        <v>8.8888888888888893</v>
      </c>
    </row>
    <row r="3275" spans="2:5">
      <c r="B3275" s="1115">
        <v>45059</v>
      </c>
      <c r="C3275" s="242">
        <f t="shared" si="103"/>
        <v>5</v>
      </c>
      <c r="D3275" s="242">
        <v>48.7</v>
      </c>
      <c r="E3275" s="845">
        <f t="shared" si="104"/>
        <v>9.2777777777777786</v>
      </c>
    </row>
    <row r="3276" spans="2:5">
      <c r="B3276" s="1115">
        <v>45059</v>
      </c>
      <c r="C3276" s="242">
        <f t="shared" si="103"/>
        <v>5</v>
      </c>
      <c r="D3276" s="242">
        <v>50.4</v>
      </c>
      <c r="E3276" s="845">
        <f t="shared" si="104"/>
        <v>10.222222222222221</v>
      </c>
    </row>
    <row r="3277" spans="2:5">
      <c r="B3277" s="1115">
        <v>45059</v>
      </c>
      <c r="C3277" s="242">
        <f t="shared" si="103"/>
        <v>5</v>
      </c>
      <c r="D3277" s="242">
        <v>52.5</v>
      </c>
      <c r="E3277" s="845">
        <f t="shared" si="104"/>
        <v>11.388888888888889</v>
      </c>
    </row>
    <row r="3278" spans="2:5">
      <c r="B3278" s="1115">
        <v>45059</v>
      </c>
      <c r="C3278" s="242">
        <f t="shared" si="103"/>
        <v>5</v>
      </c>
      <c r="D3278" s="242">
        <v>53.6</v>
      </c>
      <c r="E3278" s="845">
        <f t="shared" si="104"/>
        <v>12</v>
      </c>
    </row>
    <row r="3279" spans="2:5">
      <c r="B3279" s="1115">
        <v>45059</v>
      </c>
      <c r="C3279" s="242">
        <f t="shared" si="103"/>
        <v>5</v>
      </c>
      <c r="D3279" s="242">
        <v>54.3</v>
      </c>
      <c r="E3279" s="845">
        <f t="shared" si="104"/>
        <v>12.388888888888888</v>
      </c>
    </row>
    <row r="3280" spans="2:5">
      <c r="B3280" s="1115">
        <v>45059</v>
      </c>
      <c r="C3280" s="242">
        <f t="shared" si="103"/>
        <v>5</v>
      </c>
      <c r="D3280" s="242">
        <v>52.7</v>
      </c>
      <c r="E3280" s="845">
        <f t="shared" si="104"/>
        <v>11.500000000000002</v>
      </c>
    </row>
    <row r="3281" spans="2:5">
      <c r="B3281" s="1115">
        <v>45059</v>
      </c>
      <c r="C3281" s="242">
        <f t="shared" si="103"/>
        <v>5</v>
      </c>
      <c r="D3281" s="242">
        <v>50.7</v>
      </c>
      <c r="E3281" s="845">
        <f t="shared" si="104"/>
        <v>10.388888888888891</v>
      </c>
    </row>
    <row r="3282" spans="2:5">
      <c r="B3282" s="1115">
        <v>45059</v>
      </c>
      <c r="C3282" s="242">
        <f t="shared" si="103"/>
        <v>5</v>
      </c>
      <c r="D3282" s="242">
        <v>49.1</v>
      </c>
      <c r="E3282" s="845">
        <f t="shared" si="104"/>
        <v>9.5</v>
      </c>
    </row>
    <row r="3283" spans="2:5">
      <c r="B3283" s="1115">
        <v>45059</v>
      </c>
      <c r="C3283" s="242">
        <f t="shared" si="103"/>
        <v>5</v>
      </c>
      <c r="D3283" s="242" t="s">
        <v>1843</v>
      </c>
      <c r="E3283" s="845">
        <f t="shared" si="104"/>
        <v>8.8888888888888893</v>
      </c>
    </row>
    <row r="3284" spans="2:5">
      <c r="B3284" s="1115">
        <v>45059</v>
      </c>
      <c r="C3284" s="242">
        <f t="shared" si="103"/>
        <v>5</v>
      </c>
      <c r="D3284" s="242">
        <v>47.3</v>
      </c>
      <c r="E3284" s="845">
        <f t="shared" si="104"/>
        <v>8.4999999999999982</v>
      </c>
    </row>
    <row r="3285" spans="2:5">
      <c r="B3285" s="1115">
        <v>45059</v>
      </c>
      <c r="C3285" s="242">
        <f t="shared" si="103"/>
        <v>5</v>
      </c>
      <c r="D3285" s="242">
        <v>47.3</v>
      </c>
      <c r="E3285" s="845">
        <f t="shared" si="104"/>
        <v>8.4999999999999982</v>
      </c>
    </row>
    <row r="3286" spans="2:5">
      <c r="B3286" s="1115">
        <v>45059</v>
      </c>
      <c r="C3286" s="242">
        <f t="shared" si="103"/>
        <v>5</v>
      </c>
      <c r="D3286" s="242">
        <v>47.3</v>
      </c>
      <c r="E3286" s="845">
        <f t="shared" si="104"/>
        <v>8.4999999999999982</v>
      </c>
    </row>
    <row r="3287" spans="2:5">
      <c r="B3287" s="1115">
        <v>45059</v>
      </c>
      <c r="C3287" s="242">
        <f t="shared" si="103"/>
        <v>5</v>
      </c>
      <c r="D3287" s="242" t="s">
        <v>1843</v>
      </c>
      <c r="E3287" s="845">
        <f t="shared" si="104"/>
        <v>8.8888888888888893</v>
      </c>
    </row>
    <row r="3288" spans="2:5">
      <c r="B3288" s="1115">
        <v>45059</v>
      </c>
      <c r="C3288" s="242">
        <f t="shared" si="103"/>
        <v>5</v>
      </c>
      <c r="D3288" s="242">
        <v>49.8</v>
      </c>
      <c r="E3288" s="845">
        <f t="shared" si="104"/>
        <v>9.8888888888888875</v>
      </c>
    </row>
    <row r="3289" spans="2:5">
      <c r="B3289" s="1115">
        <v>45059</v>
      </c>
      <c r="C3289" s="242">
        <f t="shared" si="103"/>
        <v>5</v>
      </c>
      <c r="D3289" s="242">
        <v>52.3</v>
      </c>
      <c r="E3289" s="845">
        <f t="shared" si="104"/>
        <v>11.277777777777777</v>
      </c>
    </row>
    <row r="3290" spans="2:5">
      <c r="B3290" s="1115">
        <v>45059</v>
      </c>
      <c r="C3290" s="242">
        <f t="shared" si="103"/>
        <v>5</v>
      </c>
      <c r="D3290" s="242" t="s">
        <v>1846</v>
      </c>
      <c r="E3290" s="845">
        <f t="shared" si="104"/>
        <v>12.222222222222221</v>
      </c>
    </row>
    <row r="3291" spans="2:5">
      <c r="B3291" s="1115">
        <v>45059</v>
      </c>
      <c r="C3291" s="242">
        <f t="shared" si="103"/>
        <v>5</v>
      </c>
      <c r="D3291" s="242">
        <v>55.2</v>
      </c>
      <c r="E3291" s="845">
        <f t="shared" si="104"/>
        <v>12.888888888888889</v>
      </c>
    </row>
    <row r="3292" spans="2:5">
      <c r="B3292" s="1115">
        <v>45059</v>
      </c>
      <c r="C3292" s="242">
        <f t="shared" si="103"/>
        <v>5</v>
      </c>
      <c r="D3292" s="242">
        <v>55.9</v>
      </c>
      <c r="E3292" s="845">
        <f t="shared" si="104"/>
        <v>13.277777777777777</v>
      </c>
    </row>
    <row r="3293" spans="2:5">
      <c r="B3293" s="1115">
        <v>45059</v>
      </c>
      <c r="C3293" s="242">
        <f t="shared" si="103"/>
        <v>5</v>
      </c>
      <c r="D3293" s="242">
        <v>54.9</v>
      </c>
      <c r="E3293" s="845">
        <f t="shared" si="104"/>
        <v>12.722222222222221</v>
      </c>
    </row>
    <row r="3294" spans="2:5">
      <c r="B3294" s="1115">
        <v>45059</v>
      </c>
      <c r="C3294" s="242">
        <f t="shared" si="103"/>
        <v>5</v>
      </c>
      <c r="D3294" s="242">
        <v>51.3</v>
      </c>
      <c r="E3294" s="845">
        <f t="shared" si="104"/>
        <v>10.72222222222222</v>
      </c>
    </row>
    <row r="3295" spans="2:5">
      <c r="B3295" s="1115">
        <v>45059</v>
      </c>
      <c r="C3295" s="242">
        <f t="shared" si="103"/>
        <v>5</v>
      </c>
      <c r="D3295" s="242">
        <v>49.8</v>
      </c>
      <c r="E3295" s="845">
        <f t="shared" si="104"/>
        <v>9.8888888888888875</v>
      </c>
    </row>
    <row r="3296" spans="2:5">
      <c r="B3296" s="1115">
        <v>45059</v>
      </c>
      <c r="C3296" s="242">
        <f t="shared" si="103"/>
        <v>5</v>
      </c>
      <c r="D3296" s="242">
        <v>48.4</v>
      </c>
      <c r="E3296" s="845">
        <f t="shared" si="104"/>
        <v>9.1111111111111107</v>
      </c>
    </row>
    <row r="3297" spans="2:5">
      <c r="B3297" s="1115">
        <v>45060</v>
      </c>
      <c r="C3297" s="242">
        <f t="shared" si="103"/>
        <v>5</v>
      </c>
      <c r="D3297" s="242">
        <v>46.9</v>
      </c>
      <c r="E3297" s="845">
        <f t="shared" si="104"/>
        <v>8.2777777777777768</v>
      </c>
    </row>
    <row r="3298" spans="2:5">
      <c r="B3298" s="1115">
        <v>45060</v>
      </c>
      <c r="C3298" s="242">
        <f t="shared" si="103"/>
        <v>5</v>
      </c>
      <c r="D3298" s="242">
        <v>46.9</v>
      </c>
      <c r="E3298" s="845">
        <f t="shared" si="104"/>
        <v>8.2777777777777768</v>
      </c>
    </row>
    <row r="3299" spans="2:5">
      <c r="B3299" s="1115">
        <v>45060</v>
      </c>
      <c r="C3299" s="242">
        <f t="shared" si="103"/>
        <v>5</v>
      </c>
      <c r="D3299" s="242">
        <v>47.3</v>
      </c>
      <c r="E3299" s="845">
        <f t="shared" si="104"/>
        <v>8.4999999999999982</v>
      </c>
    </row>
    <row r="3300" spans="2:5">
      <c r="B3300" s="1115">
        <v>45060</v>
      </c>
      <c r="C3300" s="242">
        <f t="shared" si="103"/>
        <v>5</v>
      </c>
      <c r="D3300" s="242">
        <v>48.2</v>
      </c>
      <c r="E3300" s="845">
        <f t="shared" si="104"/>
        <v>9.0000000000000018</v>
      </c>
    </row>
    <row r="3301" spans="2:5">
      <c r="B3301" s="1115">
        <v>45060</v>
      </c>
      <c r="C3301" s="242">
        <f t="shared" si="103"/>
        <v>5</v>
      </c>
      <c r="D3301" s="242" t="s">
        <v>1844</v>
      </c>
      <c r="E3301" s="845">
        <f t="shared" si="104"/>
        <v>10</v>
      </c>
    </row>
    <row r="3302" spans="2:5">
      <c r="B3302" s="1115">
        <v>45060</v>
      </c>
      <c r="C3302" s="242">
        <f t="shared" si="103"/>
        <v>5</v>
      </c>
      <c r="D3302" s="242">
        <v>52.3</v>
      </c>
      <c r="E3302" s="845">
        <f t="shared" si="104"/>
        <v>11.277777777777777</v>
      </c>
    </row>
    <row r="3303" spans="2:5">
      <c r="B3303" s="1115">
        <v>45060</v>
      </c>
      <c r="C3303" s="242">
        <f t="shared" si="103"/>
        <v>5</v>
      </c>
      <c r="D3303" s="242">
        <v>53.8</v>
      </c>
      <c r="E3303" s="845">
        <f t="shared" si="104"/>
        <v>12.111111111111109</v>
      </c>
    </row>
    <row r="3304" spans="2:5">
      <c r="B3304" s="1115">
        <v>45060</v>
      </c>
      <c r="C3304" s="242">
        <f t="shared" si="103"/>
        <v>5</v>
      </c>
      <c r="D3304" s="242">
        <v>54.5</v>
      </c>
      <c r="E3304" s="845">
        <f t="shared" si="104"/>
        <v>12.5</v>
      </c>
    </row>
    <row r="3305" spans="2:5">
      <c r="B3305" s="1115">
        <v>45060</v>
      </c>
      <c r="C3305" s="242">
        <f t="shared" si="103"/>
        <v>5</v>
      </c>
      <c r="D3305" s="242">
        <v>53.6</v>
      </c>
      <c r="E3305" s="845">
        <f t="shared" si="104"/>
        <v>12</v>
      </c>
    </row>
    <row r="3306" spans="2:5">
      <c r="B3306" s="1115">
        <v>45060</v>
      </c>
      <c r="C3306" s="242">
        <f t="shared" si="103"/>
        <v>5</v>
      </c>
      <c r="D3306" s="242">
        <v>51.3</v>
      </c>
      <c r="E3306" s="845">
        <f t="shared" si="104"/>
        <v>10.72222222222222</v>
      </c>
    </row>
    <row r="3307" spans="2:5">
      <c r="B3307" s="1115">
        <v>45060</v>
      </c>
      <c r="C3307" s="242">
        <f t="shared" si="103"/>
        <v>5</v>
      </c>
      <c r="D3307" s="242">
        <v>49.8</v>
      </c>
      <c r="E3307" s="845">
        <f t="shared" si="104"/>
        <v>9.8888888888888875</v>
      </c>
    </row>
    <row r="3308" spans="2:5">
      <c r="B3308" s="1115">
        <v>45060</v>
      </c>
      <c r="C3308" s="242">
        <f t="shared" si="103"/>
        <v>5</v>
      </c>
      <c r="D3308" s="242">
        <v>48.9</v>
      </c>
      <c r="E3308" s="845">
        <f t="shared" si="104"/>
        <v>9.3888888888888875</v>
      </c>
    </row>
    <row r="3309" spans="2:5">
      <c r="B3309" s="1115">
        <v>45060</v>
      </c>
      <c r="C3309" s="242">
        <f t="shared" si="103"/>
        <v>5</v>
      </c>
      <c r="D3309" s="242">
        <v>48.7</v>
      </c>
      <c r="E3309" s="845">
        <f t="shared" si="104"/>
        <v>9.2777777777777786</v>
      </c>
    </row>
    <row r="3310" spans="2:5">
      <c r="B3310" s="1115">
        <v>45060</v>
      </c>
      <c r="C3310" s="242">
        <f t="shared" si="103"/>
        <v>5</v>
      </c>
      <c r="D3310" s="242">
        <v>48.7</v>
      </c>
      <c r="E3310" s="845">
        <f t="shared" si="104"/>
        <v>9.2777777777777786</v>
      </c>
    </row>
    <row r="3311" spans="2:5">
      <c r="B3311" s="1115">
        <v>45060</v>
      </c>
      <c r="C3311" s="242">
        <f t="shared" si="103"/>
        <v>5</v>
      </c>
      <c r="D3311" s="242">
        <v>48.9</v>
      </c>
      <c r="E3311" s="845">
        <f t="shared" si="104"/>
        <v>9.3888888888888875</v>
      </c>
    </row>
    <row r="3312" spans="2:5">
      <c r="B3312" s="1115">
        <v>45060</v>
      </c>
      <c r="C3312" s="242">
        <f t="shared" si="103"/>
        <v>5</v>
      </c>
      <c r="D3312" s="242">
        <v>49.3</v>
      </c>
      <c r="E3312" s="845">
        <f t="shared" si="104"/>
        <v>9.6111111111111089</v>
      </c>
    </row>
    <row r="3313" spans="2:5">
      <c r="B3313" s="1115">
        <v>45060</v>
      </c>
      <c r="C3313" s="242">
        <f t="shared" si="103"/>
        <v>5</v>
      </c>
      <c r="D3313" s="242">
        <v>50.2</v>
      </c>
      <c r="E3313" s="845">
        <f t="shared" si="104"/>
        <v>10.111111111111112</v>
      </c>
    </row>
    <row r="3314" spans="2:5">
      <c r="B3314" s="1115">
        <v>45060</v>
      </c>
      <c r="C3314" s="242">
        <f t="shared" si="103"/>
        <v>5</v>
      </c>
      <c r="D3314" s="242">
        <v>52.2</v>
      </c>
      <c r="E3314" s="845">
        <f t="shared" si="104"/>
        <v>11.222222222222223</v>
      </c>
    </row>
    <row r="3315" spans="2:5">
      <c r="B3315" s="1115">
        <v>45060</v>
      </c>
      <c r="C3315" s="242">
        <f t="shared" si="103"/>
        <v>5</v>
      </c>
      <c r="D3315" s="242">
        <v>53.8</v>
      </c>
      <c r="E3315" s="845">
        <f t="shared" si="104"/>
        <v>12.111111111111109</v>
      </c>
    </row>
    <row r="3316" spans="2:5">
      <c r="B3316" s="1115">
        <v>45060</v>
      </c>
      <c r="C3316" s="242">
        <f t="shared" si="103"/>
        <v>5</v>
      </c>
      <c r="D3316" s="242" t="s">
        <v>1847</v>
      </c>
      <c r="E3316" s="845">
        <f t="shared" si="104"/>
        <v>12.777777777777777</v>
      </c>
    </row>
    <row r="3317" spans="2:5">
      <c r="B3317" s="1115">
        <v>45060</v>
      </c>
      <c r="C3317" s="242">
        <f t="shared" si="103"/>
        <v>5</v>
      </c>
      <c r="D3317" s="242">
        <v>55.6</v>
      </c>
      <c r="E3317" s="845">
        <f t="shared" si="104"/>
        <v>13.111111111111111</v>
      </c>
    </row>
    <row r="3318" spans="2:5">
      <c r="B3318" s="1115">
        <v>45060</v>
      </c>
      <c r="C3318" s="242">
        <f t="shared" si="103"/>
        <v>5</v>
      </c>
      <c r="D3318" s="242">
        <v>54.9</v>
      </c>
      <c r="E3318" s="845">
        <f t="shared" si="104"/>
        <v>12.722222222222221</v>
      </c>
    </row>
    <row r="3319" spans="2:5">
      <c r="B3319" s="1115">
        <v>45060</v>
      </c>
      <c r="C3319" s="242">
        <f t="shared" si="103"/>
        <v>5</v>
      </c>
      <c r="D3319" s="242">
        <v>52.5</v>
      </c>
      <c r="E3319" s="845">
        <f t="shared" si="104"/>
        <v>11.388888888888889</v>
      </c>
    </row>
    <row r="3320" spans="2:5">
      <c r="B3320" s="1115">
        <v>45060</v>
      </c>
      <c r="C3320" s="242">
        <f t="shared" si="103"/>
        <v>5</v>
      </c>
      <c r="D3320" s="242">
        <v>52.2</v>
      </c>
      <c r="E3320" s="845">
        <f t="shared" si="104"/>
        <v>11.222222222222223</v>
      </c>
    </row>
    <row r="3321" spans="2:5">
      <c r="B3321" s="1115">
        <v>45061</v>
      </c>
      <c r="C3321" s="242">
        <f t="shared" si="103"/>
        <v>5</v>
      </c>
      <c r="D3321" s="242">
        <v>51.1</v>
      </c>
      <c r="E3321" s="845">
        <f t="shared" si="104"/>
        <v>10.611111111111112</v>
      </c>
    </row>
    <row r="3322" spans="2:5">
      <c r="B3322" s="1115">
        <v>45061</v>
      </c>
      <c r="C3322" s="242">
        <f t="shared" si="103"/>
        <v>5</v>
      </c>
      <c r="D3322" s="242">
        <v>50.4</v>
      </c>
      <c r="E3322" s="845">
        <f t="shared" si="104"/>
        <v>10.222222222222221</v>
      </c>
    </row>
    <row r="3323" spans="2:5">
      <c r="B3323" s="1115">
        <v>45061</v>
      </c>
      <c r="C3323" s="242">
        <f t="shared" si="103"/>
        <v>5</v>
      </c>
      <c r="D3323" s="242" t="s">
        <v>1844</v>
      </c>
      <c r="E3323" s="845">
        <f t="shared" si="104"/>
        <v>10</v>
      </c>
    </row>
    <row r="3324" spans="2:5">
      <c r="B3324" s="1115">
        <v>45061</v>
      </c>
      <c r="C3324" s="242">
        <f t="shared" si="103"/>
        <v>5</v>
      </c>
      <c r="D3324" s="242">
        <v>50.2</v>
      </c>
      <c r="E3324" s="845">
        <f t="shared" si="104"/>
        <v>10.111111111111112</v>
      </c>
    </row>
    <row r="3325" spans="2:5">
      <c r="B3325" s="1115">
        <v>45061</v>
      </c>
      <c r="C3325" s="242">
        <f t="shared" si="103"/>
        <v>5</v>
      </c>
      <c r="D3325" s="242">
        <v>50.9</v>
      </c>
      <c r="E3325" s="845">
        <f t="shared" si="104"/>
        <v>10.499999999999998</v>
      </c>
    </row>
    <row r="3326" spans="2:5">
      <c r="B3326" s="1115">
        <v>45061</v>
      </c>
      <c r="C3326" s="242">
        <f t="shared" si="103"/>
        <v>5</v>
      </c>
      <c r="D3326" s="242">
        <v>52.2</v>
      </c>
      <c r="E3326" s="845">
        <f t="shared" si="104"/>
        <v>11.222222222222223</v>
      </c>
    </row>
    <row r="3327" spans="2:5">
      <c r="B3327" s="1115">
        <v>45061</v>
      </c>
      <c r="C3327" s="242">
        <f t="shared" si="103"/>
        <v>5</v>
      </c>
      <c r="D3327" s="242">
        <v>53.6</v>
      </c>
      <c r="E3327" s="845">
        <f t="shared" si="104"/>
        <v>12</v>
      </c>
    </row>
    <row r="3328" spans="2:5">
      <c r="B3328" s="1115">
        <v>45061</v>
      </c>
      <c r="C3328" s="242">
        <f t="shared" si="103"/>
        <v>5</v>
      </c>
      <c r="D3328" s="242">
        <v>54.7</v>
      </c>
      <c r="E3328" s="845">
        <f t="shared" si="104"/>
        <v>12.611111111111112</v>
      </c>
    </row>
    <row r="3329" spans="2:5">
      <c r="B3329" s="1115">
        <v>45061</v>
      </c>
      <c r="C3329" s="242">
        <f t="shared" si="103"/>
        <v>5</v>
      </c>
      <c r="D3329" s="242" t="s">
        <v>1847</v>
      </c>
      <c r="E3329" s="845">
        <f t="shared" si="104"/>
        <v>12.777777777777777</v>
      </c>
    </row>
    <row r="3330" spans="2:5">
      <c r="B3330" s="1115">
        <v>45061</v>
      </c>
      <c r="C3330" s="242">
        <f t="shared" si="103"/>
        <v>5</v>
      </c>
      <c r="D3330" s="242">
        <v>54.9</v>
      </c>
      <c r="E3330" s="845">
        <f t="shared" si="104"/>
        <v>12.722222222222221</v>
      </c>
    </row>
    <row r="3331" spans="2:5">
      <c r="B3331" s="1115">
        <v>45061</v>
      </c>
      <c r="C3331" s="242">
        <f t="shared" si="103"/>
        <v>5</v>
      </c>
      <c r="D3331" s="242">
        <v>53.2</v>
      </c>
      <c r="E3331" s="845">
        <f t="shared" si="104"/>
        <v>11.777777777777779</v>
      </c>
    </row>
    <row r="3332" spans="2:5">
      <c r="B3332" s="1115">
        <v>45061</v>
      </c>
      <c r="C3332" s="242">
        <f t="shared" si="103"/>
        <v>5</v>
      </c>
      <c r="D3332" s="242" t="s">
        <v>1845</v>
      </c>
      <c r="E3332" s="845">
        <f t="shared" si="104"/>
        <v>11.111111111111111</v>
      </c>
    </row>
    <row r="3333" spans="2:5">
      <c r="B3333" s="1115">
        <v>45061</v>
      </c>
      <c r="C3333" s="242">
        <f t="shared" si="103"/>
        <v>5</v>
      </c>
      <c r="D3333" s="242">
        <v>50.9</v>
      </c>
      <c r="E3333" s="845">
        <f t="shared" si="104"/>
        <v>10.499999999999998</v>
      </c>
    </row>
    <row r="3334" spans="2:5">
      <c r="B3334" s="1115">
        <v>45061</v>
      </c>
      <c r="C3334" s="242">
        <f t="shared" si="103"/>
        <v>5</v>
      </c>
      <c r="D3334" s="242">
        <v>50.5</v>
      </c>
      <c r="E3334" s="845">
        <f t="shared" si="104"/>
        <v>10.277777777777777</v>
      </c>
    </row>
    <row r="3335" spans="2:5">
      <c r="B3335" s="1115">
        <v>45061</v>
      </c>
      <c r="C3335" s="242">
        <f t="shared" si="103"/>
        <v>5</v>
      </c>
      <c r="D3335" s="242">
        <v>50.2</v>
      </c>
      <c r="E3335" s="845">
        <f t="shared" si="104"/>
        <v>10.111111111111112</v>
      </c>
    </row>
    <row r="3336" spans="2:5">
      <c r="B3336" s="1115">
        <v>45061</v>
      </c>
      <c r="C3336" s="242">
        <f t="shared" si="103"/>
        <v>5</v>
      </c>
      <c r="D3336" s="242">
        <v>50.5</v>
      </c>
      <c r="E3336" s="845">
        <f t="shared" si="104"/>
        <v>10.277777777777777</v>
      </c>
    </row>
    <row r="3337" spans="2:5">
      <c r="B3337" s="1115">
        <v>45061</v>
      </c>
      <c r="C3337" s="242">
        <f t="shared" si="103"/>
        <v>5</v>
      </c>
      <c r="D3337" s="242">
        <v>50.7</v>
      </c>
      <c r="E3337" s="845">
        <f t="shared" si="104"/>
        <v>10.388888888888891</v>
      </c>
    </row>
    <row r="3338" spans="2:5">
      <c r="B3338" s="1115">
        <v>45061</v>
      </c>
      <c r="C3338" s="242">
        <f t="shared" ref="C3338:C3401" si="105">MONTH(B3338)</f>
        <v>5</v>
      </c>
      <c r="D3338" s="242">
        <v>51.8</v>
      </c>
      <c r="E3338" s="845">
        <f t="shared" ref="E3338:E3401" si="106">CONVERT(D3338,"F","C")</f>
        <v>10.999999999999998</v>
      </c>
    </row>
    <row r="3339" spans="2:5">
      <c r="B3339" s="1115">
        <v>45061</v>
      </c>
      <c r="C3339" s="242">
        <f t="shared" si="105"/>
        <v>5</v>
      </c>
      <c r="D3339" s="242">
        <v>53.4</v>
      </c>
      <c r="E3339" s="845">
        <f t="shared" si="106"/>
        <v>11.888888888888888</v>
      </c>
    </row>
    <row r="3340" spans="2:5">
      <c r="B3340" s="1115">
        <v>45061</v>
      </c>
      <c r="C3340" s="242">
        <f t="shared" si="105"/>
        <v>5</v>
      </c>
      <c r="D3340" s="242">
        <v>54.7</v>
      </c>
      <c r="E3340" s="845">
        <f t="shared" si="106"/>
        <v>12.611111111111112</v>
      </c>
    </row>
    <row r="3341" spans="2:5">
      <c r="B3341" s="1115">
        <v>45061</v>
      </c>
      <c r="C3341" s="242">
        <f t="shared" si="105"/>
        <v>5</v>
      </c>
      <c r="D3341" s="242">
        <v>55.4</v>
      </c>
      <c r="E3341" s="845">
        <f t="shared" si="106"/>
        <v>12.999999999999998</v>
      </c>
    </row>
    <row r="3342" spans="2:5">
      <c r="B3342" s="1115">
        <v>45061</v>
      </c>
      <c r="C3342" s="242">
        <f t="shared" si="105"/>
        <v>5</v>
      </c>
      <c r="D3342" s="242">
        <v>55.9</v>
      </c>
      <c r="E3342" s="845">
        <f t="shared" si="106"/>
        <v>13.277777777777777</v>
      </c>
    </row>
    <row r="3343" spans="2:5">
      <c r="B3343" s="1115">
        <v>45061</v>
      </c>
      <c r="C3343" s="242">
        <f t="shared" si="105"/>
        <v>5</v>
      </c>
      <c r="D3343" s="242">
        <v>55.2</v>
      </c>
      <c r="E3343" s="845">
        <f t="shared" si="106"/>
        <v>12.888888888888889</v>
      </c>
    </row>
    <row r="3344" spans="2:5">
      <c r="B3344" s="1115">
        <v>45061</v>
      </c>
      <c r="C3344" s="242">
        <f t="shared" si="105"/>
        <v>5</v>
      </c>
      <c r="D3344" s="242">
        <v>53.4</v>
      </c>
      <c r="E3344" s="845">
        <f t="shared" si="106"/>
        <v>11.888888888888888</v>
      </c>
    </row>
    <row r="3345" spans="2:5">
      <c r="B3345" s="1115">
        <v>45062</v>
      </c>
      <c r="C3345" s="242">
        <f t="shared" si="105"/>
        <v>5</v>
      </c>
      <c r="D3345" s="242">
        <v>52.2</v>
      </c>
      <c r="E3345" s="845">
        <f t="shared" si="106"/>
        <v>11.222222222222223</v>
      </c>
    </row>
    <row r="3346" spans="2:5">
      <c r="B3346" s="1115">
        <v>45062</v>
      </c>
      <c r="C3346" s="242">
        <f t="shared" si="105"/>
        <v>5</v>
      </c>
      <c r="D3346" s="242">
        <v>51.4</v>
      </c>
      <c r="E3346" s="845">
        <f t="shared" si="106"/>
        <v>10.777777777777777</v>
      </c>
    </row>
    <row r="3347" spans="2:5">
      <c r="B3347" s="1115">
        <v>45062</v>
      </c>
      <c r="C3347" s="242">
        <f t="shared" si="105"/>
        <v>5</v>
      </c>
      <c r="D3347" s="242">
        <v>50.9</v>
      </c>
      <c r="E3347" s="845">
        <f t="shared" si="106"/>
        <v>10.499999999999998</v>
      </c>
    </row>
    <row r="3348" spans="2:5">
      <c r="B3348" s="1115">
        <v>45062</v>
      </c>
      <c r="C3348" s="242">
        <f t="shared" si="105"/>
        <v>5</v>
      </c>
      <c r="D3348" s="242">
        <v>50.7</v>
      </c>
      <c r="E3348" s="845">
        <f t="shared" si="106"/>
        <v>10.388888888888891</v>
      </c>
    </row>
    <row r="3349" spans="2:5">
      <c r="B3349" s="1115">
        <v>45062</v>
      </c>
      <c r="C3349" s="242">
        <f t="shared" si="105"/>
        <v>5</v>
      </c>
      <c r="D3349" s="242">
        <v>50.7</v>
      </c>
      <c r="E3349" s="845">
        <f t="shared" si="106"/>
        <v>10.388888888888891</v>
      </c>
    </row>
    <row r="3350" spans="2:5">
      <c r="B3350" s="1115">
        <v>45062</v>
      </c>
      <c r="C3350" s="242">
        <f t="shared" si="105"/>
        <v>5</v>
      </c>
      <c r="D3350" s="242">
        <v>51.6</v>
      </c>
      <c r="E3350" s="845">
        <f t="shared" si="106"/>
        <v>10.888888888888889</v>
      </c>
    </row>
    <row r="3351" spans="2:5">
      <c r="B3351" s="1115">
        <v>45062</v>
      </c>
      <c r="C3351" s="242">
        <f t="shared" si="105"/>
        <v>5</v>
      </c>
      <c r="D3351" s="242">
        <v>52.7</v>
      </c>
      <c r="E3351" s="845">
        <f t="shared" si="106"/>
        <v>11.500000000000002</v>
      </c>
    </row>
    <row r="3352" spans="2:5">
      <c r="B3352" s="1115">
        <v>45062</v>
      </c>
      <c r="C3352" s="242">
        <f t="shared" si="105"/>
        <v>5</v>
      </c>
      <c r="D3352" s="242" t="s">
        <v>1846</v>
      </c>
      <c r="E3352" s="845">
        <f t="shared" si="106"/>
        <v>12.222222222222221</v>
      </c>
    </row>
    <row r="3353" spans="2:5">
      <c r="B3353" s="1115">
        <v>45062</v>
      </c>
      <c r="C3353" s="242">
        <f t="shared" si="105"/>
        <v>5</v>
      </c>
      <c r="D3353" s="242">
        <v>54.9</v>
      </c>
      <c r="E3353" s="845">
        <f t="shared" si="106"/>
        <v>12.722222222222221</v>
      </c>
    </row>
    <row r="3354" spans="2:5">
      <c r="B3354" s="1115">
        <v>45062</v>
      </c>
      <c r="C3354" s="242">
        <f t="shared" si="105"/>
        <v>5</v>
      </c>
      <c r="D3354" s="242">
        <v>55.4</v>
      </c>
      <c r="E3354" s="845">
        <f t="shared" si="106"/>
        <v>12.999999999999998</v>
      </c>
    </row>
    <row r="3355" spans="2:5">
      <c r="B3355" s="1115">
        <v>45062</v>
      </c>
      <c r="C3355" s="242">
        <f t="shared" si="105"/>
        <v>5</v>
      </c>
      <c r="D3355" s="242">
        <v>55.2</v>
      </c>
      <c r="E3355" s="845">
        <f t="shared" si="106"/>
        <v>12.888888888888889</v>
      </c>
    </row>
    <row r="3356" spans="2:5">
      <c r="B3356" s="1115">
        <v>45062</v>
      </c>
      <c r="C3356" s="242">
        <f t="shared" si="105"/>
        <v>5</v>
      </c>
      <c r="D3356" s="242">
        <v>53.8</v>
      </c>
      <c r="E3356" s="845">
        <f t="shared" si="106"/>
        <v>12.111111111111109</v>
      </c>
    </row>
    <row r="3357" spans="2:5">
      <c r="B3357" s="1115">
        <v>45062</v>
      </c>
      <c r="C3357" s="242">
        <f t="shared" si="105"/>
        <v>5</v>
      </c>
      <c r="D3357" s="242">
        <v>51.1</v>
      </c>
      <c r="E3357" s="845">
        <f t="shared" si="106"/>
        <v>10.611111111111112</v>
      </c>
    </row>
    <row r="3358" spans="2:5">
      <c r="B3358" s="1115">
        <v>45062</v>
      </c>
      <c r="C3358" s="242">
        <f t="shared" si="105"/>
        <v>5</v>
      </c>
      <c r="D3358" s="242">
        <v>49.8</v>
      </c>
      <c r="E3358" s="845">
        <f t="shared" si="106"/>
        <v>9.8888888888888875</v>
      </c>
    </row>
    <row r="3359" spans="2:5">
      <c r="B3359" s="1115">
        <v>45062</v>
      </c>
      <c r="C3359" s="242">
        <f t="shared" si="105"/>
        <v>5</v>
      </c>
      <c r="D3359" s="242">
        <v>49.1</v>
      </c>
      <c r="E3359" s="845">
        <f t="shared" si="106"/>
        <v>9.5</v>
      </c>
    </row>
    <row r="3360" spans="2:5">
      <c r="B3360" s="1115">
        <v>45062</v>
      </c>
      <c r="C3360" s="242">
        <f t="shared" si="105"/>
        <v>5</v>
      </c>
      <c r="D3360" s="242">
        <v>48.6</v>
      </c>
      <c r="E3360" s="845">
        <f t="shared" si="106"/>
        <v>9.2222222222222232</v>
      </c>
    </row>
    <row r="3361" spans="2:5">
      <c r="B3361" s="1115">
        <v>45062</v>
      </c>
      <c r="C3361" s="242">
        <f t="shared" si="105"/>
        <v>5</v>
      </c>
      <c r="D3361" s="242">
        <v>49.1</v>
      </c>
      <c r="E3361" s="845">
        <f t="shared" si="106"/>
        <v>9.5</v>
      </c>
    </row>
    <row r="3362" spans="2:5">
      <c r="B3362" s="1115">
        <v>45062</v>
      </c>
      <c r="C3362" s="242">
        <f t="shared" si="105"/>
        <v>5</v>
      </c>
      <c r="D3362" s="242">
        <v>49.1</v>
      </c>
      <c r="E3362" s="845">
        <f t="shared" si="106"/>
        <v>9.5</v>
      </c>
    </row>
    <row r="3363" spans="2:5">
      <c r="B3363" s="1115">
        <v>45062</v>
      </c>
      <c r="C3363" s="242">
        <f t="shared" si="105"/>
        <v>5</v>
      </c>
      <c r="D3363" s="242">
        <v>50.4</v>
      </c>
      <c r="E3363" s="845">
        <f t="shared" si="106"/>
        <v>10.222222222222221</v>
      </c>
    </row>
    <row r="3364" spans="2:5">
      <c r="B3364" s="1115">
        <v>45062</v>
      </c>
      <c r="C3364" s="242">
        <f t="shared" si="105"/>
        <v>5</v>
      </c>
      <c r="D3364" s="242">
        <v>52.3</v>
      </c>
      <c r="E3364" s="845">
        <f t="shared" si="106"/>
        <v>11.277777777777777</v>
      </c>
    </row>
    <row r="3365" spans="2:5">
      <c r="B3365" s="1115">
        <v>45062</v>
      </c>
      <c r="C3365" s="242">
        <f t="shared" si="105"/>
        <v>5</v>
      </c>
      <c r="D3365" s="242" t="s">
        <v>1846</v>
      </c>
      <c r="E3365" s="845">
        <f t="shared" si="106"/>
        <v>12.222222222222221</v>
      </c>
    </row>
    <row r="3366" spans="2:5">
      <c r="B3366" s="1115">
        <v>45062</v>
      </c>
      <c r="C3366" s="242">
        <f t="shared" si="105"/>
        <v>5</v>
      </c>
      <c r="D3366" s="242">
        <v>54.9</v>
      </c>
      <c r="E3366" s="845">
        <f t="shared" si="106"/>
        <v>12.722222222222221</v>
      </c>
    </row>
    <row r="3367" spans="2:5">
      <c r="B3367" s="1115">
        <v>45062</v>
      </c>
      <c r="C3367" s="242">
        <f t="shared" si="105"/>
        <v>5</v>
      </c>
      <c r="D3367" s="242" t="s">
        <v>1847</v>
      </c>
      <c r="E3367" s="845">
        <f t="shared" si="106"/>
        <v>12.777777777777777</v>
      </c>
    </row>
    <row r="3368" spans="2:5">
      <c r="B3368" s="1115">
        <v>45062</v>
      </c>
      <c r="C3368" s="242">
        <f t="shared" si="105"/>
        <v>5</v>
      </c>
      <c r="D3368" s="242">
        <v>53.8</v>
      </c>
      <c r="E3368" s="845">
        <f t="shared" si="106"/>
        <v>12.111111111111109</v>
      </c>
    </row>
    <row r="3369" spans="2:5">
      <c r="B3369" s="1115">
        <v>45063</v>
      </c>
      <c r="C3369" s="242">
        <f t="shared" si="105"/>
        <v>5</v>
      </c>
      <c r="D3369" s="242">
        <v>50.9</v>
      </c>
      <c r="E3369" s="845">
        <f t="shared" si="106"/>
        <v>10.499999999999998</v>
      </c>
    </row>
    <row r="3370" spans="2:5">
      <c r="B3370" s="1115">
        <v>45063</v>
      </c>
      <c r="C3370" s="242">
        <f t="shared" si="105"/>
        <v>5</v>
      </c>
      <c r="D3370" s="242">
        <v>48.7</v>
      </c>
      <c r="E3370" s="845">
        <f t="shared" si="106"/>
        <v>9.2777777777777786</v>
      </c>
    </row>
    <row r="3371" spans="2:5">
      <c r="B3371" s="1115">
        <v>45063</v>
      </c>
      <c r="C3371" s="242">
        <f t="shared" si="105"/>
        <v>5</v>
      </c>
      <c r="D3371" s="242">
        <v>47.7</v>
      </c>
      <c r="E3371" s="845">
        <f t="shared" si="106"/>
        <v>8.7222222222222232</v>
      </c>
    </row>
    <row r="3372" spans="2:5">
      <c r="B3372" s="1115">
        <v>45063</v>
      </c>
      <c r="C3372" s="242">
        <f t="shared" si="105"/>
        <v>5</v>
      </c>
      <c r="D3372" s="242">
        <v>47.1</v>
      </c>
      <c r="E3372" s="845">
        <f t="shared" si="106"/>
        <v>8.3888888888888893</v>
      </c>
    </row>
    <row r="3373" spans="2:5">
      <c r="B3373" s="1115">
        <v>45063</v>
      </c>
      <c r="C3373" s="242">
        <f t="shared" si="105"/>
        <v>5</v>
      </c>
      <c r="D3373" s="242">
        <v>47.1</v>
      </c>
      <c r="E3373" s="845">
        <f t="shared" si="106"/>
        <v>8.3888888888888893</v>
      </c>
    </row>
    <row r="3374" spans="2:5">
      <c r="B3374" s="1115">
        <v>45063</v>
      </c>
      <c r="C3374" s="242">
        <f t="shared" si="105"/>
        <v>5</v>
      </c>
      <c r="D3374" s="242">
        <v>47.5</v>
      </c>
      <c r="E3374" s="845">
        <f t="shared" si="106"/>
        <v>8.6111111111111107</v>
      </c>
    </row>
    <row r="3375" spans="2:5">
      <c r="B3375" s="1115">
        <v>45063</v>
      </c>
      <c r="C3375" s="242">
        <f t="shared" si="105"/>
        <v>5</v>
      </c>
      <c r="D3375" s="242">
        <v>48.4</v>
      </c>
      <c r="E3375" s="845">
        <f t="shared" si="106"/>
        <v>9.1111111111111107</v>
      </c>
    </row>
    <row r="3376" spans="2:5">
      <c r="B3376" s="1115">
        <v>45063</v>
      </c>
      <c r="C3376" s="242">
        <f t="shared" si="105"/>
        <v>5</v>
      </c>
      <c r="D3376" s="242">
        <v>50.4</v>
      </c>
      <c r="E3376" s="845">
        <f t="shared" si="106"/>
        <v>10.222222222222221</v>
      </c>
    </row>
    <row r="3377" spans="2:5">
      <c r="B3377" s="1115">
        <v>45063</v>
      </c>
      <c r="C3377" s="242">
        <f t="shared" si="105"/>
        <v>5</v>
      </c>
      <c r="D3377" s="242">
        <v>52.3</v>
      </c>
      <c r="E3377" s="845">
        <f t="shared" si="106"/>
        <v>11.277777777777777</v>
      </c>
    </row>
    <row r="3378" spans="2:5">
      <c r="B3378" s="1115">
        <v>45063</v>
      </c>
      <c r="C3378" s="242">
        <f t="shared" si="105"/>
        <v>5</v>
      </c>
      <c r="D3378" s="242">
        <v>53.6</v>
      </c>
      <c r="E3378" s="845">
        <f t="shared" si="106"/>
        <v>12</v>
      </c>
    </row>
    <row r="3379" spans="2:5">
      <c r="B3379" s="1115">
        <v>45063</v>
      </c>
      <c r="C3379" s="242">
        <f t="shared" si="105"/>
        <v>5</v>
      </c>
      <c r="D3379" s="242">
        <v>54.3</v>
      </c>
      <c r="E3379" s="845">
        <f t="shared" si="106"/>
        <v>12.388888888888888</v>
      </c>
    </row>
    <row r="3380" spans="2:5">
      <c r="B3380" s="1115">
        <v>45063</v>
      </c>
      <c r="C3380" s="242">
        <f t="shared" si="105"/>
        <v>5</v>
      </c>
      <c r="D3380" s="242">
        <v>54.1</v>
      </c>
      <c r="E3380" s="845">
        <f t="shared" si="106"/>
        <v>12.277777777777779</v>
      </c>
    </row>
    <row r="3381" spans="2:5">
      <c r="B3381" s="1115">
        <v>45063</v>
      </c>
      <c r="C3381" s="242">
        <f t="shared" si="105"/>
        <v>5</v>
      </c>
      <c r="D3381" s="242" t="s">
        <v>1845</v>
      </c>
      <c r="E3381" s="845">
        <f t="shared" si="106"/>
        <v>11.111111111111111</v>
      </c>
    </row>
    <row r="3382" spans="2:5">
      <c r="B3382" s="1115">
        <v>45063</v>
      </c>
      <c r="C3382" s="242">
        <f t="shared" si="105"/>
        <v>5</v>
      </c>
      <c r="D3382" s="242">
        <v>50.4</v>
      </c>
      <c r="E3382" s="845">
        <f t="shared" si="106"/>
        <v>10.222222222222221</v>
      </c>
    </row>
    <row r="3383" spans="2:5">
      <c r="B3383" s="1115">
        <v>45063</v>
      </c>
      <c r="C3383" s="242">
        <f t="shared" si="105"/>
        <v>5</v>
      </c>
      <c r="D3383" s="242">
        <v>48.7</v>
      </c>
      <c r="E3383" s="845">
        <f t="shared" si="106"/>
        <v>9.2777777777777786</v>
      </c>
    </row>
    <row r="3384" spans="2:5">
      <c r="B3384" s="1115">
        <v>45063</v>
      </c>
      <c r="C3384" s="242">
        <f t="shared" si="105"/>
        <v>5</v>
      </c>
      <c r="D3384" s="242" t="s">
        <v>1843</v>
      </c>
      <c r="E3384" s="845">
        <f t="shared" si="106"/>
        <v>8.8888888888888893</v>
      </c>
    </row>
    <row r="3385" spans="2:5">
      <c r="B3385" s="1115">
        <v>45063</v>
      </c>
      <c r="C3385" s="242">
        <f t="shared" si="105"/>
        <v>5</v>
      </c>
      <c r="D3385" s="242" t="s">
        <v>1843</v>
      </c>
      <c r="E3385" s="845">
        <f t="shared" si="106"/>
        <v>8.8888888888888893</v>
      </c>
    </row>
    <row r="3386" spans="2:5">
      <c r="B3386" s="1115">
        <v>45063</v>
      </c>
      <c r="C3386" s="242">
        <f t="shared" si="105"/>
        <v>5</v>
      </c>
      <c r="D3386" s="242" t="s">
        <v>1843</v>
      </c>
      <c r="E3386" s="845">
        <f t="shared" si="106"/>
        <v>8.8888888888888893</v>
      </c>
    </row>
    <row r="3387" spans="2:5">
      <c r="B3387" s="1115">
        <v>45063</v>
      </c>
      <c r="C3387" s="242">
        <f t="shared" si="105"/>
        <v>5</v>
      </c>
      <c r="D3387" s="242">
        <v>48.9</v>
      </c>
      <c r="E3387" s="845">
        <f t="shared" si="106"/>
        <v>9.3888888888888875</v>
      </c>
    </row>
    <row r="3388" spans="2:5">
      <c r="B3388" s="1115">
        <v>45063</v>
      </c>
      <c r="C3388" s="242">
        <f t="shared" si="105"/>
        <v>5</v>
      </c>
      <c r="D3388" s="242">
        <v>50.5</v>
      </c>
      <c r="E3388" s="845">
        <f t="shared" si="106"/>
        <v>10.277777777777777</v>
      </c>
    </row>
    <row r="3389" spans="2:5">
      <c r="B3389" s="1115">
        <v>45063</v>
      </c>
      <c r="C3389" s="242">
        <f t="shared" si="105"/>
        <v>5</v>
      </c>
      <c r="D3389" s="242">
        <v>52.5</v>
      </c>
      <c r="E3389" s="845">
        <f t="shared" si="106"/>
        <v>11.388888888888889</v>
      </c>
    </row>
    <row r="3390" spans="2:5">
      <c r="B3390" s="1115">
        <v>45063</v>
      </c>
      <c r="C3390" s="242">
        <f t="shared" si="105"/>
        <v>5</v>
      </c>
      <c r="D3390" s="242">
        <v>53.8</v>
      </c>
      <c r="E3390" s="845">
        <f t="shared" si="106"/>
        <v>12.111111111111109</v>
      </c>
    </row>
    <row r="3391" spans="2:5">
      <c r="B3391" s="1115">
        <v>45063</v>
      </c>
      <c r="C3391" s="242">
        <f t="shared" si="105"/>
        <v>5</v>
      </c>
      <c r="D3391" s="242">
        <v>54.3</v>
      </c>
      <c r="E3391" s="845">
        <f t="shared" si="106"/>
        <v>12.388888888888888</v>
      </c>
    </row>
    <row r="3392" spans="2:5">
      <c r="B3392" s="1115">
        <v>45063</v>
      </c>
      <c r="C3392" s="242">
        <f t="shared" si="105"/>
        <v>5</v>
      </c>
      <c r="D3392" s="242">
        <v>54.5</v>
      </c>
      <c r="E3392" s="845">
        <f t="shared" si="106"/>
        <v>12.5</v>
      </c>
    </row>
    <row r="3393" spans="2:5">
      <c r="B3393" s="1115">
        <v>45064</v>
      </c>
      <c r="C3393" s="242">
        <f t="shared" si="105"/>
        <v>5</v>
      </c>
      <c r="D3393" s="242">
        <v>52.7</v>
      </c>
      <c r="E3393" s="845">
        <f t="shared" si="106"/>
        <v>11.500000000000002</v>
      </c>
    </row>
    <row r="3394" spans="2:5">
      <c r="B3394" s="1115">
        <v>45064</v>
      </c>
      <c r="C3394" s="242">
        <f t="shared" si="105"/>
        <v>5</v>
      </c>
      <c r="D3394" s="242">
        <v>50.7</v>
      </c>
      <c r="E3394" s="845">
        <f t="shared" si="106"/>
        <v>10.388888888888891</v>
      </c>
    </row>
    <row r="3395" spans="2:5">
      <c r="B3395" s="1115">
        <v>45064</v>
      </c>
      <c r="C3395" s="242">
        <f t="shared" si="105"/>
        <v>5</v>
      </c>
      <c r="D3395" s="242">
        <v>48.9</v>
      </c>
      <c r="E3395" s="845">
        <f t="shared" si="106"/>
        <v>9.3888888888888875</v>
      </c>
    </row>
    <row r="3396" spans="2:5">
      <c r="B3396" s="1115">
        <v>45064</v>
      </c>
      <c r="C3396" s="242">
        <f t="shared" si="105"/>
        <v>5</v>
      </c>
      <c r="D3396" s="242">
        <v>47.8</v>
      </c>
      <c r="E3396" s="845">
        <f t="shared" si="106"/>
        <v>8.7777777777777768</v>
      </c>
    </row>
    <row r="3397" spans="2:5">
      <c r="B3397" s="1115">
        <v>45064</v>
      </c>
      <c r="C3397" s="242">
        <f t="shared" si="105"/>
        <v>5</v>
      </c>
      <c r="D3397" s="242">
        <v>47.3</v>
      </c>
      <c r="E3397" s="845">
        <f t="shared" si="106"/>
        <v>8.4999999999999982</v>
      </c>
    </row>
    <row r="3398" spans="2:5">
      <c r="B3398" s="1115">
        <v>45064</v>
      </c>
      <c r="C3398" s="242">
        <f t="shared" si="105"/>
        <v>5</v>
      </c>
      <c r="D3398" s="242">
        <v>47.7</v>
      </c>
      <c r="E3398" s="845">
        <f t="shared" si="106"/>
        <v>8.7222222222222232</v>
      </c>
    </row>
    <row r="3399" spans="2:5">
      <c r="B3399" s="1115">
        <v>45064</v>
      </c>
      <c r="C3399" s="242">
        <f t="shared" si="105"/>
        <v>5</v>
      </c>
      <c r="D3399" s="242">
        <v>47.5</v>
      </c>
      <c r="E3399" s="845">
        <f t="shared" si="106"/>
        <v>8.6111111111111107</v>
      </c>
    </row>
    <row r="3400" spans="2:5">
      <c r="B3400" s="1115">
        <v>45064</v>
      </c>
      <c r="C3400" s="242">
        <f t="shared" si="105"/>
        <v>5</v>
      </c>
      <c r="D3400" s="242">
        <v>48.6</v>
      </c>
      <c r="E3400" s="845">
        <f t="shared" si="106"/>
        <v>9.2222222222222232</v>
      </c>
    </row>
    <row r="3401" spans="2:5">
      <c r="B3401" s="1115">
        <v>45064</v>
      </c>
      <c r="C3401" s="242">
        <f t="shared" si="105"/>
        <v>5</v>
      </c>
      <c r="D3401" s="242">
        <v>50.5</v>
      </c>
      <c r="E3401" s="845">
        <f t="shared" si="106"/>
        <v>10.277777777777777</v>
      </c>
    </row>
    <row r="3402" spans="2:5">
      <c r="B3402" s="1115">
        <v>45064</v>
      </c>
      <c r="C3402" s="242">
        <f t="shared" ref="C3402:C3465" si="107">MONTH(B3402)</f>
        <v>5</v>
      </c>
      <c r="D3402" s="242" t="s">
        <v>1845</v>
      </c>
      <c r="E3402" s="845">
        <f t="shared" ref="E3402:E3465" si="108">CONVERT(D3402,"F","C")</f>
        <v>11.111111111111111</v>
      </c>
    </row>
    <row r="3403" spans="2:5">
      <c r="B3403" s="1115">
        <v>45064</v>
      </c>
      <c r="C3403" s="242">
        <f t="shared" si="107"/>
        <v>5</v>
      </c>
      <c r="D3403" s="242">
        <v>52.9</v>
      </c>
      <c r="E3403" s="845">
        <f t="shared" si="108"/>
        <v>11.611111111111111</v>
      </c>
    </row>
    <row r="3404" spans="2:5">
      <c r="B3404" s="1115">
        <v>45064</v>
      </c>
      <c r="C3404" s="242">
        <f t="shared" si="107"/>
        <v>5</v>
      </c>
      <c r="D3404" s="242">
        <v>53.4</v>
      </c>
      <c r="E3404" s="845">
        <f t="shared" si="108"/>
        <v>11.888888888888888</v>
      </c>
    </row>
    <row r="3405" spans="2:5">
      <c r="B3405" s="1115">
        <v>45064</v>
      </c>
      <c r="C3405" s="242">
        <f t="shared" si="107"/>
        <v>5</v>
      </c>
      <c r="D3405" s="242">
        <v>53.1</v>
      </c>
      <c r="E3405" s="845">
        <f t="shared" si="108"/>
        <v>11.722222222222223</v>
      </c>
    </row>
    <row r="3406" spans="2:5">
      <c r="B3406" s="1115">
        <v>45064</v>
      </c>
      <c r="C3406" s="242">
        <f t="shared" si="107"/>
        <v>5</v>
      </c>
      <c r="D3406" s="242">
        <v>51.1</v>
      </c>
      <c r="E3406" s="845">
        <f t="shared" si="108"/>
        <v>10.611111111111112</v>
      </c>
    </row>
    <row r="3407" spans="2:5">
      <c r="B3407" s="1115">
        <v>45064</v>
      </c>
      <c r="C3407" s="242">
        <f t="shared" si="107"/>
        <v>5</v>
      </c>
      <c r="D3407" s="242">
        <v>50.4</v>
      </c>
      <c r="E3407" s="845">
        <f t="shared" si="108"/>
        <v>10.222222222222221</v>
      </c>
    </row>
    <row r="3408" spans="2:5">
      <c r="B3408" s="1115">
        <v>45064</v>
      </c>
      <c r="C3408" s="242">
        <f t="shared" si="107"/>
        <v>5</v>
      </c>
      <c r="D3408" s="242" t="s">
        <v>1844</v>
      </c>
      <c r="E3408" s="845">
        <f t="shared" si="108"/>
        <v>10</v>
      </c>
    </row>
    <row r="3409" spans="2:5">
      <c r="B3409" s="1115">
        <v>45064</v>
      </c>
      <c r="C3409" s="242">
        <f t="shared" si="107"/>
        <v>5</v>
      </c>
      <c r="D3409" s="242" t="s">
        <v>1844</v>
      </c>
      <c r="E3409" s="845">
        <f t="shared" si="108"/>
        <v>10</v>
      </c>
    </row>
    <row r="3410" spans="2:5">
      <c r="B3410" s="1115">
        <v>45064</v>
      </c>
      <c r="C3410" s="242">
        <f t="shared" si="107"/>
        <v>5</v>
      </c>
      <c r="D3410" s="242">
        <v>49.8</v>
      </c>
      <c r="E3410" s="845">
        <f t="shared" si="108"/>
        <v>9.8888888888888875</v>
      </c>
    </row>
    <row r="3411" spans="2:5">
      <c r="B3411" s="1115">
        <v>45064</v>
      </c>
      <c r="C3411" s="242">
        <f t="shared" si="107"/>
        <v>5</v>
      </c>
      <c r="D3411" s="242">
        <v>50.2</v>
      </c>
      <c r="E3411" s="845">
        <f t="shared" si="108"/>
        <v>10.111111111111112</v>
      </c>
    </row>
    <row r="3412" spans="2:5">
      <c r="B3412" s="1115">
        <v>45064</v>
      </c>
      <c r="C3412" s="242">
        <f t="shared" si="107"/>
        <v>5</v>
      </c>
      <c r="D3412" s="242">
        <v>50.5</v>
      </c>
      <c r="E3412" s="845">
        <f t="shared" si="108"/>
        <v>10.277777777777777</v>
      </c>
    </row>
    <row r="3413" spans="2:5">
      <c r="B3413" s="1115">
        <v>45064</v>
      </c>
      <c r="C3413" s="242">
        <f t="shared" si="107"/>
        <v>5</v>
      </c>
      <c r="D3413" s="242">
        <v>51.4</v>
      </c>
      <c r="E3413" s="845">
        <f t="shared" si="108"/>
        <v>10.777777777777777</v>
      </c>
    </row>
    <row r="3414" spans="2:5">
      <c r="B3414" s="1115">
        <v>45064</v>
      </c>
      <c r="C3414" s="242">
        <f t="shared" si="107"/>
        <v>5</v>
      </c>
      <c r="D3414" s="242">
        <v>52.7</v>
      </c>
      <c r="E3414" s="845">
        <f t="shared" si="108"/>
        <v>11.500000000000002</v>
      </c>
    </row>
    <row r="3415" spans="2:5">
      <c r="B3415" s="1115">
        <v>45064</v>
      </c>
      <c r="C3415" s="242">
        <f t="shared" si="107"/>
        <v>5</v>
      </c>
      <c r="D3415" s="242">
        <v>53.6</v>
      </c>
      <c r="E3415" s="845">
        <f t="shared" si="108"/>
        <v>12</v>
      </c>
    </row>
    <row r="3416" spans="2:5">
      <c r="B3416" s="1115">
        <v>45064</v>
      </c>
      <c r="C3416" s="242">
        <f t="shared" si="107"/>
        <v>5</v>
      </c>
      <c r="D3416" s="242" t="s">
        <v>1846</v>
      </c>
      <c r="E3416" s="845">
        <f t="shared" si="108"/>
        <v>12.222222222222221</v>
      </c>
    </row>
    <row r="3417" spans="2:5">
      <c r="B3417" s="1115">
        <v>45065</v>
      </c>
      <c r="C3417" s="242">
        <f t="shared" si="107"/>
        <v>5</v>
      </c>
      <c r="D3417" s="242">
        <v>53.8</v>
      </c>
      <c r="E3417" s="845">
        <f t="shared" si="108"/>
        <v>12.111111111111109</v>
      </c>
    </row>
    <row r="3418" spans="2:5">
      <c r="B3418" s="1115">
        <v>45065</v>
      </c>
      <c r="C3418" s="242">
        <f t="shared" si="107"/>
        <v>5</v>
      </c>
      <c r="D3418" s="242">
        <v>52.3</v>
      </c>
      <c r="E3418" s="845">
        <f t="shared" si="108"/>
        <v>11.277777777777777</v>
      </c>
    </row>
    <row r="3419" spans="2:5">
      <c r="B3419" s="1115">
        <v>45065</v>
      </c>
      <c r="C3419" s="242">
        <f t="shared" si="107"/>
        <v>5</v>
      </c>
      <c r="D3419" s="242">
        <v>51.8</v>
      </c>
      <c r="E3419" s="845">
        <f t="shared" si="108"/>
        <v>10.999999999999998</v>
      </c>
    </row>
    <row r="3420" spans="2:5">
      <c r="B3420" s="1115">
        <v>45065</v>
      </c>
      <c r="C3420" s="242">
        <f t="shared" si="107"/>
        <v>5</v>
      </c>
      <c r="D3420" s="242">
        <v>50.7</v>
      </c>
      <c r="E3420" s="845">
        <f t="shared" si="108"/>
        <v>10.388888888888891</v>
      </c>
    </row>
    <row r="3421" spans="2:5">
      <c r="B3421" s="1115">
        <v>45065</v>
      </c>
      <c r="C3421" s="242">
        <f t="shared" si="107"/>
        <v>5</v>
      </c>
      <c r="D3421" s="242" t="s">
        <v>1844</v>
      </c>
      <c r="E3421" s="845">
        <f t="shared" si="108"/>
        <v>10</v>
      </c>
    </row>
    <row r="3422" spans="2:5">
      <c r="B3422" s="1115">
        <v>45065</v>
      </c>
      <c r="C3422" s="242">
        <f t="shared" si="107"/>
        <v>5</v>
      </c>
      <c r="D3422" s="242">
        <v>49.8</v>
      </c>
      <c r="E3422" s="845">
        <f t="shared" si="108"/>
        <v>9.8888888888888875</v>
      </c>
    </row>
    <row r="3423" spans="2:5">
      <c r="B3423" s="1115">
        <v>45065</v>
      </c>
      <c r="C3423" s="242">
        <f t="shared" si="107"/>
        <v>5</v>
      </c>
      <c r="D3423" s="242" t="s">
        <v>1844</v>
      </c>
      <c r="E3423" s="845">
        <f t="shared" si="108"/>
        <v>10</v>
      </c>
    </row>
    <row r="3424" spans="2:5">
      <c r="B3424" s="1115">
        <v>45065</v>
      </c>
      <c r="C3424" s="242">
        <f t="shared" si="107"/>
        <v>5</v>
      </c>
      <c r="D3424" s="242">
        <v>50.2</v>
      </c>
      <c r="E3424" s="845">
        <f t="shared" si="108"/>
        <v>10.111111111111112</v>
      </c>
    </row>
    <row r="3425" spans="2:5">
      <c r="B3425" s="1115">
        <v>45065</v>
      </c>
      <c r="C3425" s="242">
        <f t="shared" si="107"/>
        <v>5</v>
      </c>
      <c r="D3425" s="242">
        <v>50.9</v>
      </c>
      <c r="E3425" s="845">
        <f t="shared" si="108"/>
        <v>10.499999999999998</v>
      </c>
    </row>
    <row r="3426" spans="2:5">
      <c r="B3426" s="1115">
        <v>45065</v>
      </c>
      <c r="C3426" s="242">
        <f t="shared" si="107"/>
        <v>5</v>
      </c>
      <c r="D3426" s="242">
        <v>52.2</v>
      </c>
      <c r="E3426" s="845">
        <f t="shared" si="108"/>
        <v>11.222222222222223</v>
      </c>
    </row>
    <row r="3427" spans="2:5">
      <c r="B3427" s="1115">
        <v>45065</v>
      </c>
      <c r="C3427" s="242">
        <f t="shared" si="107"/>
        <v>5</v>
      </c>
      <c r="D3427" s="242">
        <v>52.9</v>
      </c>
      <c r="E3427" s="845">
        <f t="shared" si="108"/>
        <v>11.611111111111111</v>
      </c>
    </row>
    <row r="3428" spans="2:5">
      <c r="B3428" s="1115">
        <v>45065</v>
      </c>
      <c r="C3428" s="242">
        <f t="shared" si="107"/>
        <v>5</v>
      </c>
      <c r="D3428" s="242">
        <v>53.6</v>
      </c>
      <c r="E3428" s="845">
        <f t="shared" si="108"/>
        <v>12</v>
      </c>
    </row>
    <row r="3429" spans="2:5">
      <c r="B3429" s="1115">
        <v>45065</v>
      </c>
      <c r="C3429" s="242">
        <f t="shared" si="107"/>
        <v>5</v>
      </c>
      <c r="D3429" s="242" t="s">
        <v>1846</v>
      </c>
      <c r="E3429" s="845">
        <f t="shared" si="108"/>
        <v>12.222222222222221</v>
      </c>
    </row>
    <row r="3430" spans="2:5">
      <c r="B3430" s="1115">
        <v>45065</v>
      </c>
      <c r="C3430" s="242">
        <f t="shared" si="107"/>
        <v>5</v>
      </c>
      <c r="D3430" s="242">
        <v>53.6</v>
      </c>
      <c r="E3430" s="845">
        <f t="shared" si="108"/>
        <v>12</v>
      </c>
    </row>
    <row r="3431" spans="2:5">
      <c r="B3431" s="1115">
        <v>45065</v>
      </c>
      <c r="C3431" s="242">
        <f t="shared" si="107"/>
        <v>5</v>
      </c>
      <c r="D3431" s="242">
        <v>52.5</v>
      </c>
      <c r="E3431" s="845">
        <f t="shared" si="108"/>
        <v>11.388888888888889</v>
      </c>
    </row>
    <row r="3432" spans="2:5">
      <c r="B3432" s="1115">
        <v>45065</v>
      </c>
      <c r="C3432" s="242">
        <f t="shared" si="107"/>
        <v>5</v>
      </c>
      <c r="D3432" s="242">
        <v>50.2</v>
      </c>
      <c r="E3432" s="845">
        <f t="shared" si="108"/>
        <v>10.111111111111112</v>
      </c>
    </row>
    <row r="3433" spans="2:5">
      <c r="B3433" s="1115">
        <v>45065</v>
      </c>
      <c r="C3433" s="242">
        <f t="shared" si="107"/>
        <v>5</v>
      </c>
      <c r="D3433" s="242">
        <v>48.7</v>
      </c>
      <c r="E3433" s="845">
        <f t="shared" si="108"/>
        <v>9.2777777777777786</v>
      </c>
    </row>
    <row r="3434" spans="2:5">
      <c r="B3434" s="1115">
        <v>45065</v>
      </c>
      <c r="C3434" s="242">
        <f t="shared" si="107"/>
        <v>5</v>
      </c>
      <c r="D3434" s="242">
        <v>48.7</v>
      </c>
      <c r="E3434" s="845">
        <f t="shared" si="108"/>
        <v>9.2777777777777786</v>
      </c>
    </row>
    <row r="3435" spans="2:5">
      <c r="B3435" s="1115">
        <v>45065</v>
      </c>
      <c r="C3435" s="242">
        <f t="shared" si="107"/>
        <v>5</v>
      </c>
      <c r="D3435" s="242" t="s">
        <v>1843</v>
      </c>
      <c r="E3435" s="845">
        <f t="shared" si="108"/>
        <v>8.8888888888888893</v>
      </c>
    </row>
    <row r="3436" spans="2:5">
      <c r="B3436" s="1115">
        <v>45065</v>
      </c>
      <c r="C3436" s="242">
        <f t="shared" si="107"/>
        <v>5</v>
      </c>
      <c r="D3436" s="242">
        <v>48.9</v>
      </c>
      <c r="E3436" s="845">
        <f t="shared" si="108"/>
        <v>9.3888888888888875</v>
      </c>
    </row>
    <row r="3437" spans="2:5">
      <c r="B3437" s="1115">
        <v>45065</v>
      </c>
      <c r="C3437" s="242">
        <f t="shared" si="107"/>
        <v>5</v>
      </c>
      <c r="D3437" s="242">
        <v>49.6</v>
      </c>
      <c r="E3437" s="845">
        <f t="shared" si="108"/>
        <v>9.7777777777777786</v>
      </c>
    </row>
    <row r="3438" spans="2:5">
      <c r="B3438" s="1115">
        <v>45065</v>
      </c>
      <c r="C3438" s="242">
        <f t="shared" si="107"/>
        <v>5</v>
      </c>
      <c r="D3438" s="242">
        <v>51.1</v>
      </c>
      <c r="E3438" s="845">
        <f t="shared" si="108"/>
        <v>10.611111111111112</v>
      </c>
    </row>
    <row r="3439" spans="2:5">
      <c r="B3439" s="1115">
        <v>45065</v>
      </c>
      <c r="C3439" s="242">
        <f t="shared" si="107"/>
        <v>5</v>
      </c>
      <c r="D3439" s="242">
        <v>52.9</v>
      </c>
      <c r="E3439" s="845">
        <f t="shared" si="108"/>
        <v>11.611111111111111</v>
      </c>
    </row>
    <row r="3440" spans="2:5">
      <c r="B3440" s="1115">
        <v>45065</v>
      </c>
      <c r="C3440" s="242">
        <f t="shared" si="107"/>
        <v>5</v>
      </c>
      <c r="D3440" s="242" t="s">
        <v>1846</v>
      </c>
      <c r="E3440" s="845">
        <f t="shared" si="108"/>
        <v>12.222222222222221</v>
      </c>
    </row>
    <row r="3441" spans="2:5">
      <c r="B3441" s="1115">
        <v>45066</v>
      </c>
      <c r="C3441" s="242">
        <f t="shared" si="107"/>
        <v>5</v>
      </c>
      <c r="D3441" s="242">
        <v>54.3</v>
      </c>
      <c r="E3441" s="845">
        <f t="shared" si="108"/>
        <v>12.388888888888888</v>
      </c>
    </row>
    <row r="3442" spans="2:5">
      <c r="B3442" s="1115">
        <v>45066</v>
      </c>
      <c r="C3442" s="242">
        <f t="shared" si="107"/>
        <v>5</v>
      </c>
      <c r="D3442" s="242">
        <v>53.6</v>
      </c>
      <c r="E3442" s="845">
        <f t="shared" si="108"/>
        <v>12</v>
      </c>
    </row>
    <row r="3443" spans="2:5">
      <c r="B3443" s="1115">
        <v>45066</v>
      </c>
      <c r="C3443" s="242">
        <f t="shared" si="107"/>
        <v>5</v>
      </c>
      <c r="D3443" s="242">
        <v>51.8</v>
      </c>
      <c r="E3443" s="845">
        <f t="shared" si="108"/>
        <v>10.999999999999998</v>
      </c>
    </row>
    <row r="3444" spans="2:5">
      <c r="B3444" s="1115">
        <v>45066</v>
      </c>
      <c r="C3444" s="242">
        <f t="shared" si="107"/>
        <v>5</v>
      </c>
      <c r="D3444" s="242">
        <v>50.4</v>
      </c>
      <c r="E3444" s="845">
        <f t="shared" si="108"/>
        <v>10.222222222222221</v>
      </c>
    </row>
    <row r="3445" spans="2:5">
      <c r="B3445" s="1115">
        <v>45066</v>
      </c>
      <c r="C3445" s="242">
        <f t="shared" si="107"/>
        <v>5</v>
      </c>
      <c r="D3445" s="242">
        <v>48.9</v>
      </c>
      <c r="E3445" s="845">
        <f t="shared" si="108"/>
        <v>9.3888888888888875</v>
      </c>
    </row>
    <row r="3446" spans="2:5">
      <c r="B3446" s="1115">
        <v>45066</v>
      </c>
      <c r="C3446" s="242">
        <f t="shared" si="107"/>
        <v>5</v>
      </c>
      <c r="D3446" s="242">
        <v>48.4</v>
      </c>
      <c r="E3446" s="845">
        <f t="shared" si="108"/>
        <v>9.1111111111111107</v>
      </c>
    </row>
    <row r="3447" spans="2:5">
      <c r="B3447" s="1115">
        <v>45066</v>
      </c>
      <c r="C3447" s="242">
        <f t="shared" si="107"/>
        <v>5</v>
      </c>
      <c r="D3447" s="242">
        <v>48.4</v>
      </c>
      <c r="E3447" s="845">
        <f t="shared" si="108"/>
        <v>9.1111111111111107</v>
      </c>
    </row>
    <row r="3448" spans="2:5">
      <c r="B3448" s="1115">
        <v>45066</v>
      </c>
      <c r="C3448" s="242">
        <f t="shared" si="107"/>
        <v>5</v>
      </c>
      <c r="D3448" s="242">
        <v>48.6</v>
      </c>
      <c r="E3448" s="845">
        <f t="shared" si="108"/>
        <v>9.2222222222222232</v>
      </c>
    </row>
    <row r="3449" spans="2:5">
      <c r="B3449" s="1115">
        <v>45066</v>
      </c>
      <c r="C3449" s="242">
        <f t="shared" si="107"/>
        <v>5</v>
      </c>
      <c r="D3449" s="242">
        <v>49.1</v>
      </c>
      <c r="E3449" s="845">
        <f t="shared" si="108"/>
        <v>9.5</v>
      </c>
    </row>
    <row r="3450" spans="2:5">
      <c r="B3450" s="1115">
        <v>45066</v>
      </c>
      <c r="C3450" s="242">
        <f t="shared" si="107"/>
        <v>5</v>
      </c>
      <c r="D3450" s="242">
        <v>50.5</v>
      </c>
      <c r="E3450" s="845">
        <f t="shared" si="108"/>
        <v>10.277777777777777</v>
      </c>
    </row>
    <row r="3451" spans="2:5">
      <c r="B3451" s="1115">
        <v>45066</v>
      </c>
      <c r="C3451" s="242">
        <f t="shared" si="107"/>
        <v>5</v>
      </c>
      <c r="D3451" s="242" t="s">
        <v>1845</v>
      </c>
      <c r="E3451" s="845">
        <f t="shared" si="108"/>
        <v>11.111111111111111</v>
      </c>
    </row>
    <row r="3452" spans="2:5">
      <c r="B3452" s="1115">
        <v>45066</v>
      </c>
      <c r="C3452" s="242">
        <f t="shared" si="107"/>
        <v>5</v>
      </c>
      <c r="D3452" s="242">
        <v>53.2</v>
      </c>
      <c r="E3452" s="845">
        <f t="shared" si="108"/>
        <v>11.777777777777779</v>
      </c>
    </row>
    <row r="3453" spans="2:5">
      <c r="B3453" s="1115">
        <v>45066</v>
      </c>
      <c r="C3453" s="242">
        <f t="shared" si="107"/>
        <v>5</v>
      </c>
      <c r="D3453" s="242">
        <v>54.1</v>
      </c>
      <c r="E3453" s="845">
        <f t="shared" si="108"/>
        <v>12.277777777777779</v>
      </c>
    </row>
    <row r="3454" spans="2:5">
      <c r="B3454" s="1115">
        <v>45066</v>
      </c>
      <c r="C3454" s="242">
        <f t="shared" si="107"/>
        <v>5</v>
      </c>
      <c r="D3454" s="242">
        <v>54.5</v>
      </c>
      <c r="E3454" s="845">
        <f t="shared" si="108"/>
        <v>12.5</v>
      </c>
    </row>
    <row r="3455" spans="2:5">
      <c r="B3455" s="1115">
        <v>45066</v>
      </c>
      <c r="C3455" s="242">
        <f t="shared" si="107"/>
        <v>5</v>
      </c>
      <c r="D3455" s="242">
        <v>53.6</v>
      </c>
      <c r="E3455" s="845">
        <f t="shared" si="108"/>
        <v>12</v>
      </c>
    </row>
    <row r="3456" spans="2:5">
      <c r="B3456" s="1115">
        <v>45066</v>
      </c>
      <c r="C3456" s="242">
        <f t="shared" si="107"/>
        <v>5</v>
      </c>
      <c r="D3456" s="242" t="s">
        <v>1845</v>
      </c>
      <c r="E3456" s="845">
        <f t="shared" si="108"/>
        <v>11.111111111111111</v>
      </c>
    </row>
    <row r="3457" spans="2:5">
      <c r="B3457" s="1115">
        <v>45066</v>
      </c>
      <c r="C3457" s="242">
        <f t="shared" si="107"/>
        <v>5</v>
      </c>
      <c r="D3457" s="242">
        <v>49.3</v>
      </c>
      <c r="E3457" s="845">
        <f t="shared" si="108"/>
        <v>9.6111111111111089</v>
      </c>
    </row>
    <row r="3458" spans="2:5">
      <c r="B3458" s="1115">
        <v>45066</v>
      </c>
      <c r="C3458" s="242">
        <f t="shared" si="107"/>
        <v>5</v>
      </c>
      <c r="D3458" s="242">
        <v>47.7</v>
      </c>
      <c r="E3458" s="845">
        <f t="shared" si="108"/>
        <v>8.7222222222222232</v>
      </c>
    </row>
    <row r="3459" spans="2:5">
      <c r="B3459" s="1115">
        <v>45066</v>
      </c>
      <c r="C3459" s="242">
        <f t="shared" si="107"/>
        <v>5</v>
      </c>
      <c r="D3459" s="242">
        <v>47.3</v>
      </c>
      <c r="E3459" s="845">
        <f t="shared" si="108"/>
        <v>8.4999999999999982</v>
      </c>
    </row>
    <row r="3460" spans="2:5">
      <c r="B3460" s="1115">
        <v>45066</v>
      </c>
      <c r="C3460" s="242">
        <f t="shared" si="107"/>
        <v>5</v>
      </c>
      <c r="D3460" s="242">
        <v>47.1</v>
      </c>
      <c r="E3460" s="845">
        <f t="shared" si="108"/>
        <v>8.3888888888888893</v>
      </c>
    </row>
    <row r="3461" spans="2:5">
      <c r="B3461" s="1115">
        <v>45066</v>
      </c>
      <c r="C3461" s="242">
        <f t="shared" si="107"/>
        <v>5</v>
      </c>
      <c r="D3461" s="242">
        <v>47.3</v>
      </c>
      <c r="E3461" s="845">
        <f t="shared" si="108"/>
        <v>8.4999999999999982</v>
      </c>
    </row>
    <row r="3462" spans="2:5">
      <c r="B3462" s="1115">
        <v>45066</v>
      </c>
      <c r="C3462" s="242">
        <f t="shared" si="107"/>
        <v>5</v>
      </c>
      <c r="D3462" s="242">
        <v>48.6</v>
      </c>
      <c r="E3462" s="845">
        <f t="shared" si="108"/>
        <v>9.2222222222222232</v>
      </c>
    </row>
    <row r="3463" spans="2:5">
      <c r="B3463" s="1115">
        <v>45066</v>
      </c>
      <c r="C3463" s="242">
        <f t="shared" si="107"/>
        <v>5</v>
      </c>
      <c r="D3463" s="242">
        <v>50.5</v>
      </c>
      <c r="E3463" s="845">
        <f t="shared" si="108"/>
        <v>10.277777777777777</v>
      </c>
    </row>
    <row r="3464" spans="2:5">
      <c r="B3464" s="1115">
        <v>45066</v>
      </c>
      <c r="C3464" s="242">
        <f t="shared" si="107"/>
        <v>5</v>
      </c>
      <c r="D3464" s="242">
        <v>52.5</v>
      </c>
      <c r="E3464" s="845">
        <f t="shared" si="108"/>
        <v>11.388888888888889</v>
      </c>
    </row>
    <row r="3465" spans="2:5">
      <c r="B3465" s="1115">
        <v>45067</v>
      </c>
      <c r="C3465" s="242">
        <f t="shared" si="107"/>
        <v>5</v>
      </c>
      <c r="D3465" s="242">
        <v>53.2</v>
      </c>
      <c r="E3465" s="845">
        <f t="shared" si="108"/>
        <v>11.777777777777779</v>
      </c>
    </row>
    <row r="3466" spans="2:5">
      <c r="B3466" s="1115">
        <v>45067</v>
      </c>
      <c r="C3466" s="242">
        <f t="shared" ref="C3466:C3529" si="109">MONTH(B3466)</f>
        <v>5</v>
      </c>
      <c r="D3466" s="242">
        <v>53.6</v>
      </c>
      <c r="E3466" s="845">
        <f t="shared" ref="E3466:E3529" si="110">CONVERT(D3466,"F","C")</f>
        <v>12</v>
      </c>
    </row>
    <row r="3467" spans="2:5">
      <c r="B3467" s="1115">
        <v>45067</v>
      </c>
      <c r="C3467" s="242">
        <f t="shared" si="109"/>
        <v>5</v>
      </c>
      <c r="D3467" s="242">
        <v>51.3</v>
      </c>
      <c r="E3467" s="845">
        <f t="shared" si="110"/>
        <v>10.72222222222222</v>
      </c>
    </row>
    <row r="3468" spans="2:5">
      <c r="B3468" s="1115">
        <v>45067</v>
      </c>
      <c r="C3468" s="242">
        <f t="shared" si="109"/>
        <v>5</v>
      </c>
      <c r="D3468" s="242">
        <v>50.4</v>
      </c>
      <c r="E3468" s="845">
        <f t="shared" si="110"/>
        <v>10.222222222222221</v>
      </c>
    </row>
    <row r="3469" spans="2:5">
      <c r="B3469" s="1115">
        <v>45067</v>
      </c>
      <c r="C3469" s="242">
        <f t="shared" si="109"/>
        <v>5</v>
      </c>
      <c r="D3469" s="242">
        <v>48.2</v>
      </c>
      <c r="E3469" s="845">
        <f t="shared" si="110"/>
        <v>9.0000000000000018</v>
      </c>
    </row>
    <row r="3470" spans="2:5">
      <c r="B3470" s="1115">
        <v>45067</v>
      </c>
      <c r="C3470" s="242">
        <f t="shared" si="109"/>
        <v>5</v>
      </c>
      <c r="D3470" s="242">
        <v>47.5</v>
      </c>
      <c r="E3470" s="845">
        <f t="shared" si="110"/>
        <v>8.6111111111111107</v>
      </c>
    </row>
    <row r="3471" spans="2:5">
      <c r="B3471" s="1115">
        <v>45067</v>
      </c>
      <c r="C3471" s="242">
        <f t="shared" si="109"/>
        <v>5</v>
      </c>
      <c r="D3471" s="242">
        <v>47.3</v>
      </c>
      <c r="E3471" s="845">
        <f t="shared" si="110"/>
        <v>8.4999999999999982</v>
      </c>
    </row>
    <row r="3472" spans="2:5">
      <c r="B3472" s="1115">
        <v>45067</v>
      </c>
      <c r="C3472" s="242">
        <f t="shared" si="109"/>
        <v>5</v>
      </c>
      <c r="D3472" s="242">
        <v>47.3</v>
      </c>
      <c r="E3472" s="845">
        <f t="shared" si="110"/>
        <v>8.4999999999999982</v>
      </c>
    </row>
    <row r="3473" spans="2:5">
      <c r="B3473" s="1115">
        <v>45067</v>
      </c>
      <c r="C3473" s="242">
        <f t="shared" si="109"/>
        <v>5</v>
      </c>
      <c r="D3473" s="242">
        <v>47.5</v>
      </c>
      <c r="E3473" s="845">
        <f t="shared" si="110"/>
        <v>8.6111111111111107</v>
      </c>
    </row>
    <row r="3474" spans="2:5">
      <c r="B3474" s="1115">
        <v>45067</v>
      </c>
      <c r="C3474" s="242">
        <f t="shared" si="109"/>
        <v>5</v>
      </c>
      <c r="D3474" s="242">
        <v>48.2</v>
      </c>
      <c r="E3474" s="845">
        <f t="shared" si="110"/>
        <v>9.0000000000000018</v>
      </c>
    </row>
    <row r="3475" spans="2:5">
      <c r="B3475" s="1115">
        <v>45067</v>
      </c>
      <c r="C3475" s="242">
        <f t="shared" si="109"/>
        <v>5</v>
      </c>
      <c r="D3475" s="242" t="s">
        <v>1844</v>
      </c>
      <c r="E3475" s="845">
        <f t="shared" si="110"/>
        <v>10</v>
      </c>
    </row>
    <row r="3476" spans="2:5">
      <c r="B3476" s="1115">
        <v>45067</v>
      </c>
      <c r="C3476" s="242">
        <f t="shared" si="109"/>
        <v>5</v>
      </c>
      <c r="D3476" s="242">
        <v>51.6</v>
      </c>
      <c r="E3476" s="845">
        <f t="shared" si="110"/>
        <v>10.888888888888889</v>
      </c>
    </row>
    <row r="3477" spans="2:5">
      <c r="B3477" s="1115">
        <v>45067</v>
      </c>
      <c r="C3477" s="242">
        <f t="shared" si="109"/>
        <v>5</v>
      </c>
      <c r="D3477" s="242">
        <v>52.9</v>
      </c>
      <c r="E3477" s="845">
        <f t="shared" si="110"/>
        <v>11.611111111111111</v>
      </c>
    </row>
    <row r="3478" spans="2:5">
      <c r="B3478" s="1115">
        <v>45067</v>
      </c>
      <c r="C3478" s="242">
        <f t="shared" si="109"/>
        <v>5</v>
      </c>
      <c r="D3478" s="242" t="s">
        <v>1846</v>
      </c>
      <c r="E3478" s="845">
        <f t="shared" si="110"/>
        <v>12.222222222222221</v>
      </c>
    </row>
    <row r="3479" spans="2:5">
      <c r="B3479" s="1115">
        <v>45067</v>
      </c>
      <c r="C3479" s="242">
        <f t="shared" si="109"/>
        <v>5</v>
      </c>
      <c r="D3479" s="242">
        <v>54.3</v>
      </c>
      <c r="E3479" s="845">
        <f t="shared" si="110"/>
        <v>12.388888888888888</v>
      </c>
    </row>
    <row r="3480" spans="2:5">
      <c r="B3480" s="1115">
        <v>45067</v>
      </c>
      <c r="C3480" s="242">
        <f t="shared" si="109"/>
        <v>5</v>
      </c>
      <c r="D3480" s="242">
        <v>52.3</v>
      </c>
      <c r="E3480" s="845">
        <f t="shared" si="110"/>
        <v>11.277777777777777</v>
      </c>
    </row>
    <row r="3481" spans="2:5">
      <c r="B3481" s="1115">
        <v>45067</v>
      </c>
      <c r="C3481" s="242">
        <f t="shared" si="109"/>
        <v>5</v>
      </c>
      <c r="D3481" s="242">
        <v>50.7</v>
      </c>
      <c r="E3481" s="845">
        <f t="shared" si="110"/>
        <v>10.388888888888891</v>
      </c>
    </row>
    <row r="3482" spans="2:5">
      <c r="B3482" s="1115">
        <v>45067</v>
      </c>
      <c r="C3482" s="242">
        <f t="shared" si="109"/>
        <v>5</v>
      </c>
      <c r="D3482" s="242">
        <v>49.1</v>
      </c>
      <c r="E3482" s="845">
        <f t="shared" si="110"/>
        <v>9.5</v>
      </c>
    </row>
    <row r="3483" spans="2:5">
      <c r="B3483" s="1115">
        <v>45067</v>
      </c>
      <c r="C3483" s="242">
        <f t="shared" si="109"/>
        <v>5</v>
      </c>
      <c r="D3483" s="242">
        <v>47.7</v>
      </c>
      <c r="E3483" s="845">
        <f t="shared" si="110"/>
        <v>8.7222222222222232</v>
      </c>
    </row>
    <row r="3484" spans="2:5">
      <c r="B3484" s="1115">
        <v>45067</v>
      </c>
      <c r="C3484" s="242">
        <f t="shared" si="109"/>
        <v>5</v>
      </c>
      <c r="D3484" s="242">
        <v>47.3</v>
      </c>
      <c r="E3484" s="845">
        <f t="shared" si="110"/>
        <v>8.4999999999999982</v>
      </c>
    </row>
    <row r="3485" spans="2:5">
      <c r="B3485" s="1115">
        <v>45067</v>
      </c>
      <c r="C3485" s="242">
        <f t="shared" si="109"/>
        <v>5</v>
      </c>
      <c r="D3485" s="242">
        <v>47.5</v>
      </c>
      <c r="E3485" s="845">
        <f t="shared" si="110"/>
        <v>8.6111111111111107</v>
      </c>
    </row>
    <row r="3486" spans="2:5">
      <c r="B3486" s="1115">
        <v>45067</v>
      </c>
      <c r="C3486" s="242">
        <f t="shared" si="109"/>
        <v>5</v>
      </c>
      <c r="D3486" s="242">
        <v>48.2</v>
      </c>
      <c r="E3486" s="845">
        <f t="shared" si="110"/>
        <v>9.0000000000000018</v>
      </c>
    </row>
    <row r="3487" spans="2:5">
      <c r="B3487" s="1115">
        <v>45067</v>
      </c>
      <c r="C3487" s="242">
        <f t="shared" si="109"/>
        <v>5</v>
      </c>
      <c r="D3487" s="242" t="s">
        <v>1844</v>
      </c>
      <c r="E3487" s="845">
        <f t="shared" si="110"/>
        <v>10</v>
      </c>
    </row>
    <row r="3488" spans="2:5">
      <c r="B3488" s="1115">
        <v>45067</v>
      </c>
      <c r="C3488" s="242">
        <f t="shared" si="109"/>
        <v>5</v>
      </c>
      <c r="D3488" s="242">
        <v>52.5</v>
      </c>
      <c r="E3488" s="845">
        <f t="shared" si="110"/>
        <v>11.388888888888889</v>
      </c>
    </row>
    <row r="3489" spans="2:5">
      <c r="B3489" s="1115">
        <v>45068</v>
      </c>
      <c r="C3489" s="242">
        <f t="shared" si="109"/>
        <v>5</v>
      </c>
      <c r="D3489" s="242">
        <v>54.3</v>
      </c>
      <c r="E3489" s="845">
        <f t="shared" si="110"/>
        <v>12.388888888888888</v>
      </c>
    </row>
    <row r="3490" spans="2:5">
      <c r="B3490" s="1115">
        <v>45068</v>
      </c>
      <c r="C3490" s="242">
        <f t="shared" si="109"/>
        <v>5</v>
      </c>
      <c r="D3490" s="242" t="s">
        <v>1847</v>
      </c>
      <c r="E3490" s="845">
        <f t="shared" si="110"/>
        <v>12.777777777777777</v>
      </c>
    </row>
    <row r="3491" spans="2:5">
      <c r="B3491" s="1115">
        <v>45068</v>
      </c>
      <c r="C3491" s="242">
        <f t="shared" si="109"/>
        <v>5</v>
      </c>
      <c r="D3491" s="242">
        <v>54.7</v>
      </c>
      <c r="E3491" s="845">
        <f t="shared" si="110"/>
        <v>12.611111111111112</v>
      </c>
    </row>
    <row r="3492" spans="2:5">
      <c r="B3492" s="1115">
        <v>45068</v>
      </c>
      <c r="C3492" s="242">
        <f t="shared" si="109"/>
        <v>5</v>
      </c>
      <c r="D3492" s="242">
        <v>52.3</v>
      </c>
      <c r="E3492" s="845">
        <f t="shared" si="110"/>
        <v>11.277777777777777</v>
      </c>
    </row>
    <row r="3493" spans="2:5">
      <c r="B3493" s="1115">
        <v>45068</v>
      </c>
      <c r="C3493" s="242">
        <f t="shared" si="109"/>
        <v>5</v>
      </c>
      <c r="D3493" s="242">
        <v>50.2</v>
      </c>
      <c r="E3493" s="845">
        <f t="shared" si="110"/>
        <v>10.111111111111112</v>
      </c>
    </row>
    <row r="3494" spans="2:5">
      <c r="B3494" s="1115">
        <v>45068</v>
      </c>
      <c r="C3494" s="242">
        <f t="shared" si="109"/>
        <v>5</v>
      </c>
      <c r="D3494" s="242">
        <v>48.2</v>
      </c>
      <c r="E3494" s="845">
        <f t="shared" si="110"/>
        <v>9.0000000000000018</v>
      </c>
    </row>
    <row r="3495" spans="2:5">
      <c r="B3495" s="1115">
        <v>45068</v>
      </c>
      <c r="C3495" s="242">
        <f t="shared" si="109"/>
        <v>5</v>
      </c>
      <c r="D3495" s="242">
        <v>47.1</v>
      </c>
      <c r="E3495" s="845">
        <f t="shared" si="110"/>
        <v>8.3888888888888893</v>
      </c>
    </row>
    <row r="3496" spans="2:5">
      <c r="B3496" s="1115">
        <v>45068</v>
      </c>
      <c r="C3496" s="242">
        <f t="shared" si="109"/>
        <v>5</v>
      </c>
      <c r="D3496" s="242">
        <v>46.9</v>
      </c>
      <c r="E3496" s="845">
        <f t="shared" si="110"/>
        <v>8.2777777777777768</v>
      </c>
    </row>
    <row r="3497" spans="2:5">
      <c r="B3497" s="1115">
        <v>45068</v>
      </c>
      <c r="C3497" s="242">
        <f t="shared" si="109"/>
        <v>5</v>
      </c>
      <c r="D3497" s="242">
        <v>47.1</v>
      </c>
      <c r="E3497" s="845">
        <f t="shared" si="110"/>
        <v>8.3888888888888893</v>
      </c>
    </row>
    <row r="3498" spans="2:5">
      <c r="B3498" s="1115">
        <v>45068</v>
      </c>
      <c r="C3498" s="242">
        <f t="shared" si="109"/>
        <v>5</v>
      </c>
      <c r="D3498" s="242">
        <v>47.5</v>
      </c>
      <c r="E3498" s="845">
        <f t="shared" si="110"/>
        <v>8.6111111111111107</v>
      </c>
    </row>
    <row r="3499" spans="2:5">
      <c r="B3499" s="1115">
        <v>45068</v>
      </c>
      <c r="C3499" s="242">
        <f t="shared" si="109"/>
        <v>5</v>
      </c>
      <c r="D3499" s="242">
        <v>49.1</v>
      </c>
      <c r="E3499" s="845">
        <f t="shared" si="110"/>
        <v>9.5</v>
      </c>
    </row>
    <row r="3500" spans="2:5">
      <c r="B3500" s="1115">
        <v>45068</v>
      </c>
      <c r="C3500" s="242">
        <f t="shared" si="109"/>
        <v>5</v>
      </c>
      <c r="D3500" s="242">
        <v>51.6</v>
      </c>
      <c r="E3500" s="845">
        <f t="shared" si="110"/>
        <v>10.888888888888889</v>
      </c>
    </row>
    <row r="3501" spans="2:5">
      <c r="B3501" s="1115">
        <v>45068</v>
      </c>
      <c r="C3501" s="242">
        <f t="shared" si="109"/>
        <v>5</v>
      </c>
      <c r="D3501" s="242">
        <v>53.2</v>
      </c>
      <c r="E3501" s="845">
        <f t="shared" si="110"/>
        <v>11.777777777777779</v>
      </c>
    </row>
    <row r="3502" spans="2:5">
      <c r="B3502" s="1115">
        <v>45068</v>
      </c>
      <c r="C3502" s="242">
        <f t="shared" si="109"/>
        <v>5</v>
      </c>
      <c r="D3502" s="242">
        <v>54.7</v>
      </c>
      <c r="E3502" s="845">
        <f t="shared" si="110"/>
        <v>12.611111111111112</v>
      </c>
    </row>
    <row r="3503" spans="2:5">
      <c r="B3503" s="1115">
        <v>45068</v>
      </c>
      <c r="C3503" s="242">
        <f t="shared" si="109"/>
        <v>5</v>
      </c>
      <c r="D3503" s="242">
        <v>55.4</v>
      </c>
      <c r="E3503" s="845">
        <f t="shared" si="110"/>
        <v>12.999999999999998</v>
      </c>
    </row>
    <row r="3504" spans="2:5">
      <c r="B3504" s="1115">
        <v>45068</v>
      </c>
      <c r="C3504" s="242">
        <f t="shared" si="109"/>
        <v>5</v>
      </c>
      <c r="D3504" s="242">
        <v>54.9</v>
      </c>
      <c r="E3504" s="845">
        <f t="shared" si="110"/>
        <v>12.722222222222221</v>
      </c>
    </row>
    <row r="3505" spans="2:5">
      <c r="B3505" s="1115">
        <v>45068</v>
      </c>
      <c r="C3505" s="242">
        <f t="shared" si="109"/>
        <v>5</v>
      </c>
      <c r="D3505" s="242">
        <v>52.7</v>
      </c>
      <c r="E3505" s="845">
        <f t="shared" si="110"/>
        <v>11.500000000000002</v>
      </c>
    </row>
    <row r="3506" spans="2:5">
      <c r="B3506" s="1115">
        <v>45068</v>
      </c>
      <c r="C3506" s="242">
        <f t="shared" si="109"/>
        <v>5</v>
      </c>
      <c r="D3506" s="242">
        <v>50.9</v>
      </c>
      <c r="E3506" s="845">
        <f t="shared" si="110"/>
        <v>10.499999999999998</v>
      </c>
    </row>
    <row r="3507" spans="2:5">
      <c r="B3507" s="1115">
        <v>45068</v>
      </c>
      <c r="C3507" s="242">
        <f t="shared" si="109"/>
        <v>5</v>
      </c>
      <c r="D3507" s="242">
        <v>49.6</v>
      </c>
      <c r="E3507" s="845">
        <f t="shared" si="110"/>
        <v>9.7777777777777786</v>
      </c>
    </row>
    <row r="3508" spans="2:5">
      <c r="B3508" s="1115">
        <v>45068</v>
      </c>
      <c r="C3508" s="242">
        <f t="shared" si="109"/>
        <v>5</v>
      </c>
      <c r="D3508" s="242">
        <v>49.1</v>
      </c>
      <c r="E3508" s="845">
        <f t="shared" si="110"/>
        <v>9.5</v>
      </c>
    </row>
    <row r="3509" spans="2:5">
      <c r="B3509" s="1115">
        <v>45068</v>
      </c>
      <c r="C3509" s="242">
        <f t="shared" si="109"/>
        <v>5</v>
      </c>
      <c r="D3509" s="242">
        <v>49.3</v>
      </c>
      <c r="E3509" s="845">
        <f t="shared" si="110"/>
        <v>9.6111111111111089</v>
      </c>
    </row>
    <row r="3510" spans="2:5">
      <c r="B3510" s="1115">
        <v>45068</v>
      </c>
      <c r="C3510" s="242">
        <f t="shared" si="109"/>
        <v>5</v>
      </c>
      <c r="D3510" s="242" t="s">
        <v>1844</v>
      </c>
      <c r="E3510" s="845">
        <f t="shared" si="110"/>
        <v>10</v>
      </c>
    </row>
    <row r="3511" spans="2:5">
      <c r="B3511" s="1115">
        <v>45068</v>
      </c>
      <c r="C3511" s="242">
        <f t="shared" si="109"/>
        <v>5</v>
      </c>
      <c r="D3511" s="242">
        <v>50.2</v>
      </c>
      <c r="E3511" s="845">
        <f t="shared" si="110"/>
        <v>10.111111111111112</v>
      </c>
    </row>
    <row r="3512" spans="2:5">
      <c r="B3512" s="1115">
        <v>45068</v>
      </c>
      <c r="C3512" s="242">
        <f t="shared" si="109"/>
        <v>5</v>
      </c>
      <c r="D3512" s="242">
        <v>51.1</v>
      </c>
      <c r="E3512" s="845">
        <f t="shared" si="110"/>
        <v>10.611111111111112</v>
      </c>
    </row>
    <row r="3513" spans="2:5">
      <c r="B3513" s="1115">
        <v>45069</v>
      </c>
      <c r="C3513" s="242">
        <f t="shared" si="109"/>
        <v>5</v>
      </c>
      <c r="D3513" s="242">
        <v>53.2</v>
      </c>
      <c r="E3513" s="845">
        <f t="shared" si="110"/>
        <v>11.777777777777779</v>
      </c>
    </row>
    <row r="3514" spans="2:5">
      <c r="B3514" s="1115">
        <v>45069</v>
      </c>
      <c r="C3514" s="242">
        <f t="shared" si="109"/>
        <v>5</v>
      </c>
      <c r="D3514" s="242">
        <v>54.5</v>
      </c>
      <c r="E3514" s="845">
        <f t="shared" si="110"/>
        <v>12.5</v>
      </c>
    </row>
    <row r="3515" spans="2:5">
      <c r="B3515" s="1115">
        <v>45069</v>
      </c>
      <c r="C3515" s="242">
        <f t="shared" si="109"/>
        <v>5</v>
      </c>
      <c r="D3515" s="242" t="s">
        <v>1847</v>
      </c>
      <c r="E3515" s="845">
        <f t="shared" si="110"/>
        <v>12.777777777777777</v>
      </c>
    </row>
    <row r="3516" spans="2:5">
      <c r="B3516" s="1115">
        <v>45069</v>
      </c>
      <c r="C3516" s="242">
        <f t="shared" si="109"/>
        <v>5</v>
      </c>
      <c r="D3516" s="242" t="s">
        <v>1846</v>
      </c>
      <c r="E3516" s="845">
        <f t="shared" si="110"/>
        <v>12.222222222222221</v>
      </c>
    </row>
    <row r="3517" spans="2:5">
      <c r="B3517" s="1115">
        <v>45069</v>
      </c>
      <c r="C3517" s="242">
        <f t="shared" si="109"/>
        <v>5</v>
      </c>
      <c r="D3517" s="242">
        <v>52.2</v>
      </c>
      <c r="E3517" s="845">
        <f t="shared" si="110"/>
        <v>11.222222222222223</v>
      </c>
    </row>
    <row r="3518" spans="2:5">
      <c r="B3518" s="1115">
        <v>45069</v>
      </c>
      <c r="C3518" s="242">
        <f t="shared" si="109"/>
        <v>5</v>
      </c>
      <c r="D3518" s="242">
        <v>51.3</v>
      </c>
      <c r="E3518" s="845">
        <f t="shared" si="110"/>
        <v>10.72222222222222</v>
      </c>
    </row>
    <row r="3519" spans="2:5">
      <c r="B3519" s="1115">
        <v>45069</v>
      </c>
      <c r="C3519" s="242">
        <f t="shared" si="109"/>
        <v>5</v>
      </c>
      <c r="D3519" s="242">
        <v>50.7</v>
      </c>
      <c r="E3519" s="845">
        <f t="shared" si="110"/>
        <v>10.388888888888891</v>
      </c>
    </row>
    <row r="3520" spans="2:5">
      <c r="B3520" s="1115">
        <v>45069</v>
      </c>
      <c r="C3520" s="242">
        <f t="shared" si="109"/>
        <v>5</v>
      </c>
      <c r="D3520" s="242" t="s">
        <v>1844</v>
      </c>
      <c r="E3520" s="845">
        <f t="shared" si="110"/>
        <v>10</v>
      </c>
    </row>
    <row r="3521" spans="2:5">
      <c r="B3521" s="1115">
        <v>45069</v>
      </c>
      <c r="C3521" s="242">
        <f t="shared" si="109"/>
        <v>5</v>
      </c>
      <c r="D3521" s="242">
        <v>49.8</v>
      </c>
      <c r="E3521" s="845">
        <f t="shared" si="110"/>
        <v>9.8888888888888875</v>
      </c>
    </row>
    <row r="3522" spans="2:5">
      <c r="B3522" s="1115">
        <v>45069</v>
      </c>
      <c r="C3522" s="242">
        <f t="shared" si="109"/>
        <v>5</v>
      </c>
      <c r="D3522" s="242">
        <v>49.6</v>
      </c>
      <c r="E3522" s="845">
        <f t="shared" si="110"/>
        <v>9.7777777777777786</v>
      </c>
    </row>
    <row r="3523" spans="2:5">
      <c r="B3523" s="1115">
        <v>45069</v>
      </c>
      <c r="C3523" s="242">
        <f t="shared" si="109"/>
        <v>5</v>
      </c>
      <c r="D3523" s="242">
        <v>50.4</v>
      </c>
      <c r="E3523" s="845">
        <f t="shared" si="110"/>
        <v>10.222222222222221</v>
      </c>
    </row>
    <row r="3524" spans="2:5">
      <c r="B3524" s="1115">
        <v>45069</v>
      </c>
      <c r="C3524" s="242">
        <f t="shared" si="109"/>
        <v>5</v>
      </c>
      <c r="D3524" s="242">
        <v>51.6</v>
      </c>
      <c r="E3524" s="845">
        <f t="shared" si="110"/>
        <v>10.888888888888889</v>
      </c>
    </row>
    <row r="3525" spans="2:5">
      <c r="B3525" s="1115">
        <v>45069</v>
      </c>
      <c r="C3525" s="242">
        <f t="shared" si="109"/>
        <v>5</v>
      </c>
      <c r="D3525" s="242">
        <v>53.4</v>
      </c>
      <c r="E3525" s="845">
        <f t="shared" si="110"/>
        <v>11.888888888888888</v>
      </c>
    </row>
    <row r="3526" spans="2:5">
      <c r="B3526" s="1115">
        <v>45069</v>
      </c>
      <c r="C3526" s="242">
        <f t="shared" si="109"/>
        <v>5</v>
      </c>
      <c r="D3526" s="242">
        <v>54.5</v>
      </c>
      <c r="E3526" s="845">
        <f t="shared" si="110"/>
        <v>12.5</v>
      </c>
    </row>
    <row r="3527" spans="2:5">
      <c r="B3527" s="1115">
        <v>45069</v>
      </c>
      <c r="C3527" s="242">
        <f t="shared" si="109"/>
        <v>5</v>
      </c>
      <c r="D3527" s="242">
        <v>55.6</v>
      </c>
      <c r="E3527" s="845">
        <f t="shared" si="110"/>
        <v>13.111111111111111</v>
      </c>
    </row>
    <row r="3528" spans="2:5">
      <c r="B3528" s="1115">
        <v>45069</v>
      </c>
      <c r="C3528" s="242">
        <f t="shared" si="109"/>
        <v>5</v>
      </c>
      <c r="D3528" s="242">
        <v>56.1</v>
      </c>
      <c r="E3528" s="845">
        <f t="shared" si="110"/>
        <v>13.388888888888889</v>
      </c>
    </row>
    <row r="3529" spans="2:5">
      <c r="B3529" s="1115">
        <v>45069</v>
      </c>
      <c r="C3529" s="242">
        <f t="shared" si="109"/>
        <v>5</v>
      </c>
      <c r="D3529" s="242">
        <v>55.4</v>
      </c>
      <c r="E3529" s="845">
        <f t="shared" si="110"/>
        <v>12.999999999999998</v>
      </c>
    </row>
    <row r="3530" spans="2:5">
      <c r="B3530" s="1115">
        <v>45069</v>
      </c>
      <c r="C3530" s="242">
        <f t="shared" ref="C3530:C3593" si="111">MONTH(B3530)</f>
        <v>5</v>
      </c>
      <c r="D3530" s="242">
        <v>52.9</v>
      </c>
      <c r="E3530" s="845">
        <f t="shared" ref="E3530:E3593" si="112">CONVERT(D3530,"F","C")</f>
        <v>11.611111111111111</v>
      </c>
    </row>
    <row r="3531" spans="2:5">
      <c r="B3531" s="1115">
        <v>45069</v>
      </c>
      <c r="C3531" s="242">
        <f t="shared" si="111"/>
        <v>5</v>
      </c>
      <c r="D3531" s="242">
        <v>51.8</v>
      </c>
      <c r="E3531" s="845">
        <f t="shared" si="112"/>
        <v>10.999999999999998</v>
      </c>
    </row>
    <row r="3532" spans="2:5">
      <c r="B3532" s="1115">
        <v>45069</v>
      </c>
      <c r="C3532" s="242">
        <f t="shared" si="111"/>
        <v>5</v>
      </c>
      <c r="D3532" s="242">
        <v>50.9</v>
      </c>
      <c r="E3532" s="845">
        <f t="shared" si="112"/>
        <v>10.499999999999998</v>
      </c>
    </row>
    <row r="3533" spans="2:5">
      <c r="B3533" s="1115">
        <v>45069</v>
      </c>
      <c r="C3533" s="242">
        <f t="shared" si="111"/>
        <v>5</v>
      </c>
      <c r="D3533" s="242" t="s">
        <v>1844</v>
      </c>
      <c r="E3533" s="845">
        <f t="shared" si="112"/>
        <v>10</v>
      </c>
    </row>
    <row r="3534" spans="2:5">
      <c r="B3534" s="1115">
        <v>45069</v>
      </c>
      <c r="C3534" s="242">
        <f t="shared" si="111"/>
        <v>5</v>
      </c>
      <c r="D3534" s="242">
        <v>50.2</v>
      </c>
      <c r="E3534" s="845">
        <f t="shared" si="112"/>
        <v>10.111111111111112</v>
      </c>
    </row>
    <row r="3535" spans="2:5">
      <c r="B3535" s="1115">
        <v>45069</v>
      </c>
      <c r="C3535" s="242">
        <f t="shared" si="111"/>
        <v>5</v>
      </c>
      <c r="D3535" s="242">
        <v>50.7</v>
      </c>
      <c r="E3535" s="845">
        <f t="shared" si="112"/>
        <v>10.388888888888891</v>
      </c>
    </row>
    <row r="3536" spans="2:5">
      <c r="B3536" s="1115">
        <v>45069</v>
      </c>
      <c r="C3536" s="242">
        <f t="shared" si="111"/>
        <v>5</v>
      </c>
      <c r="D3536" s="242">
        <v>50.9</v>
      </c>
      <c r="E3536" s="845">
        <f t="shared" si="112"/>
        <v>10.499999999999998</v>
      </c>
    </row>
    <row r="3537" spans="2:5">
      <c r="B3537" s="1115">
        <v>45070</v>
      </c>
      <c r="C3537" s="242">
        <f t="shared" si="111"/>
        <v>5</v>
      </c>
      <c r="D3537" s="242">
        <v>52.3</v>
      </c>
      <c r="E3537" s="845">
        <f t="shared" si="112"/>
        <v>11.277777777777777</v>
      </c>
    </row>
    <row r="3538" spans="2:5">
      <c r="B3538" s="1115">
        <v>45070</v>
      </c>
      <c r="C3538" s="242">
        <f t="shared" si="111"/>
        <v>5</v>
      </c>
      <c r="D3538" s="242">
        <v>54.3</v>
      </c>
      <c r="E3538" s="845">
        <f t="shared" si="112"/>
        <v>12.388888888888888</v>
      </c>
    </row>
    <row r="3539" spans="2:5">
      <c r="B3539" s="1115">
        <v>45070</v>
      </c>
      <c r="C3539" s="242">
        <f t="shared" si="111"/>
        <v>5</v>
      </c>
      <c r="D3539" s="242">
        <v>55.4</v>
      </c>
      <c r="E3539" s="845">
        <f t="shared" si="112"/>
        <v>12.999999999999998</v>
      </c>
    </row>
    <row r="3540" spans="2:5">
      <c r="B3540" s="1115">
        <v>45070</v>
      </c>
      <c r="C3540" s="242">
        <f t="shared" si="111"/>
        <v>5</v>
      </c>
      <c r="D3540" s="242">
        <v>55.6</v>
      </c>
      <c r="E3540" s="845">
        <f t="shared" si="112"/>
        <v>13.111111111111111</v>
      </c>
    </row>
    <row r="3541" spans="2:5">
      <c r="B3541" s="1115">
        <v>45070</v>
      </c>
      <c r="C3541" s="242">
        <f t="shared" si="111"/>
        <v>5</v>
      </c>
      <c r="D3541" s="242">
        <v>54.3</v>
      </c>
      <c r="E3541" s="845">
        <f t="shared" si="112"/>
        <v>12.388888888888888</v>
      </c>
    </row>
    <row r="3542" spans="2:5">
      <c r="B3542" s="1115">
        <v>45070</v>
      </c>
      <c r="C3542" s="242">
        <f t="shared" si="111"/>
        <v>5</v>
      </c>
      <c r="D3542" s="242">
        <v>52.5</v>
      </c>
      <c r="E3542" s="845">
        <f t="shared" si="112"/>
        <v>11.388888888888889</v>
      </c>
    </row>
    <row r="3543" spans="2:5">
      <c r="B3543" s="1115">
        <v>45070</v>
      </c>
      <c r="C3543" s="242">
        <f t="shared" si="111"/>
        <v>5</v>
      </c>
      <c r="D3543" s="242">
        <v>51.3</v>
      </c>
      <c r="E3543" s="845">
        <f t="shared" si="112"/>
        <v>10.72222222222222</v>
      </c>
    </row>
    <row r="3544" spans="2:5">
      <c r="B3544" s="1115">
        <v>45070</v>
      </c>
      <c r="C3544" s="242">
        <f t="shared" si="111"/>
        <v>5</v>
      </c>
      <c r="D3544" s="242">
        <v>50.2</v>
      </c>
      <c r="E3544" s="845">
        <f t="shared" si="112"/>
        <v>10.111111111111112</v>
      </c>
    </row>
    <row r="3545" spans="2:5">
      <c r="B3545" s="1115">
        <v>45070</v>
      </c>
      <c r="C3545" s="242">
        <f t="shared" si="111"/>
        <v>5</v>
      </c>
      <c r="D3545" s="242">
        <v>49.5</v>
      </c>
      <c r="E3545" s="845">
        <f t="shared" si="112"/>
        <v>9.7222222222222214</v>
      </c>
    </row>
    <row r="3546" spans="2:5">
      <c r="B3546" s="1115">
        <v>45070</v>
      </c>
      <c r="C3546" s="242">
        <f t="shared" si="111"/>
        <v>5</v>
      </c>
      <c r="D3546" s="242">
        <v>48.7</v>
      </c>
      <c r="E3546" s="845">
        <f t="shared" si="112"/>
        <v>9.2777777777777786</v>
      </c>
    </row>
    <row r="3547" spans="2:5">
      <c r="B3547" s="1115">
        <v>45070</v>
      </c>
      <c r="C3547" s="242">
        <f t="shared" si="111"/>
        <v>5</v>
      </c>
      <c r="D3547" s="242">
        <v>49.3</v>
      </c>
      <c r="E3547" s="845">
        <f t="shared" si="112"/>
        <v>9.6111111111111089</v>
      </c>
    </row>
    <row r="3548" spans="2:5">
      <c r="B3548" s="1115">
        <v>45070</v>
      </c>
      <c r="C3548" s="242">
        <f t="shared" si="111"/>
        <v>5</v>
      </c>
      <c r="D3548" s="242">
        <v>50.4</v>
      </c>
      <c r="E3548" s="845">
        <f t="shared" si="112"/>
        <v>10.222222222222221</v>
      </c>
    </row>
    <row r="3549" spans="2:5">
      <c r="B3549" s="1115">
        <v>45070</v>
      </c>
      <c r="C3549" s="242">
        <f t="shared" si="111"/>
        <v>5</v>
      </c>
      <c r="D3549" s="242">
        <v>52.2</v>
      </c>
      <c r="E3549" s="845">
        <f t="shared" si="112"/>
        <v>11.222222222222223</v>
      </c>
    </row>
    <row r="3550" spans="2:5">
      <c r="B3550" s="1115">
        <v>45070</v>
      </c>
      <c r="C3550" s="242">
        <f t="shared" si="111"/>
        <v>5</v>
      </c>
      <c r="D3550" s="242" t="s">
        <v>1846</v>
      </c>
      <c r="E3550" s="845">
        <f t="shared" si="112"/>
        <v>12.222222222222221</v>
      </c>
    </row>
    <row r="3551" spans="2:5">
      <c r="B3551" s="1115">
        <v>45070</v>
      </c>
      <c r="C3551" s="242">
        <f t="shared" si="111"/>
        <v>5</v>
      </c>
      <c r="D3551" s="242">
        <v>55.4</v>
      </c>
      <c r="E3551" s="845">
        <f t="shared" si="112"/>
        <v>12.999999999999998</v>
      </c>
    </row>
    <row r="3552" spans="2:5">
      <c r="B3552" s="1115">
        <v>45070</v>
      </c>
      <c r="C3552" s="242">
        <f t="shared" si="111"/>
        <v>5</v>
      </c>
      <c r="D3552" s="242">
        <v>56.1</v>
      </c>
      <c r="E3552" s="845">
        <f t="shared" si="112"/>
        <v>13.388888888888889</v>
      </c>
    </row>
    <row r="3553" spans="2:5">
      <c r="B3553" s="1115">
        <v>45070</v>
      </c>
      <c r="C3553" s="242">
        <f t="shared" si="111"/>
        <v>5</v>
      </c>
      <c r="D3553" s="242">
        <v>56.3</v>
      </c>
      <c r="E3553" s="845">
        <f t="shared" si="112"/>
        <v>13.499999999999998</v>
      </c>
    </row>
    <row r="3554" spans="2:5">
      <c r="B3554" s="1115">
        <v>45070</v>
      </c>
      <c r="C3554" s="242">
        <f t="shared" si="111"/>
        <v>5</v>
      </c>
      <c r="D3554" s="242">
        <v>54.7</v>
      </c>
      <c r="E3554" s="845">
        <f t="shared" si="112"/>
        <v>12.611111111111112</v>
      </c>
    </row>
    <row r="3555" spans="2:5">
      <c r="B3555" s="1115">
        <v>45070</v>
      </c>
      <c r="C3555" s="242">
        <f t="shared" si="111"/>
        <v>5</v>
      </c>
      <c r="D3555" s="242">
        <v>51.6</v>
      </c>
      <c r="E3555" s="845">
        <f t="shared" si="112"/>
        <v>10.888888888888889</v>
      </c>
    </row>
    <row r="3556" spans="2:5">
      <c r="B3556" s="1115">
        <v>45070</v>
      </c>
      <c r="C3556" s="242">
        <f t="shared" si="111"/>
        <v>5</v>
      </c>
      <c r="D3556" s="242">
        <v>51.3</v>
      </c>
      <c r="E3556" s="845">
        <f t="shared" si="112"/>
        <v>10.72222222222222</v>
      </c>
    </row>
    <row r="3557" spans="2:5">
      <c r="B3557" s="1115">
        <v>45070</v>
      </c>
      <c r="C3557" s="242">
        <f t="shared" si="111"/>
        <v>5</v>
      </c>
      <c r="D3557" s="242">
        <v>50.9</v>
      </c>
      <c r="E3557" s="845">
        <f t="shared" si="112"/>
        <v>10.499999999999998</v>
      </c>
    </row>
    <row r="3558" spans="2:5">
      <c r="B3558" s="1115">
        <v>45070</v>
      </c>
      <c r="C3558" s="242">
        <f t="shared" si="111"/>
        <v>5</v>
      </c>
      <c r="D3558" s="242">
        <v>49.8</v>
      </c>
      <c r="E3558" s="845">
        <f t="shared" si="112"/>
        <v>9.8888888888888875</v>
      </c>
    </row>
    <row r="3559" spans="2:5">
      <c r="B3559" s="1115">
        <v>45070</v>
      </c>
      <c r="C3559" s="242">
        <f t="shared" si="111"/>
        <v>5</v>
      </c>
      <c r="D3559" s="242">
        <v>49.8</v>
      </c>
      <c r="E3559" s="845">
        <f t="shared" si="112"/>
        <v>9.8888888888888875</v>
      </c>
    </row>
    <row r="3560" spans="2:5">
      <c r="B3560" s="1115">
        <v>45070</v>
      </c>
      <c r="C3560" s="242">
        <f t="shared" si="111"/>
        <v>5</v>
      </c>
      <c r="D3560" s="242">
        <v>49.6</v>
      </c>
      <c r="E3560" s="845">
        <f t="shared" si="112"/>
        <v>9.7777777777777786</v>
      </c>
    </row>
    <row r="3561" spans="2:5">
      <c r="B3561" s="1115">
        <v>45071</v>
      </c>
      <c r="C3561" s="242">
        <f t="shared" si="111"/>
        <v>5</v>
      </c>
      <c r="D3561" s="242">
        <v>50.5</v>
      </c>
      <c r="E3561" s="845">
        <f t="shared" si="112"/>
        <v>10.277777777777777</v>
      </c>
    </row>
    <row r="3562" spans="2:5">
      <c r="B3562" s="1115">
        <v>45071</v>
      </c>
      <c r="C3562" s="242">
        <f t="shared" si="111"/>
        <v>5</v>
      </c>
      <c r="D3562" s="242">
        <v>52.3</v>
      </c>
      <c r="E3562" s="845">
        <f t="shared" si="112"/>
        <v>11.277777777777777</v>
      </c>
    </row>
    <row r="3563" spans="2:5">
      <c r="B3563" s="1115">
        <v>45071</v>
      </c>
      <c r="C3563" s="242">
        <f t="shared" si="111"/>
        <v>5</v>
      </c>
      <c r="D3563" s="242">
        <v>54.3</v>
      </c>
      <c r="E3563" s="845">
        <f t="shared" si="112"/>
        <v>12.388888888888888</v>
      </c>
    </row>
    <row r="3564" spans="2:5">
      <c r="B3564" s="1115">
        <v>45071</v>
      </c>
      <c r="C3564" s="242">
        <f t="shared" si="111"/>
        <v>5</v>
      </c>
      <c r="D3564" s="242">
        <v>55.2</v>
      </c>
      <c r="E3564" s="845">
        <f t="shared" si="112"/>
        <v>12.888888888888889</v>
      </c>
    </row>
    <row r="3565" spans="2:5">
      <c r="B3565" s="1115">
        <v>45071</v>
      </c>
      <c r="C3565" s="242">
        <f t="shared" si="111"/>
        <v>5</v>
      </c>
      <c r="D3565" s="242">
        <v>54.9</v>
      </c>
      <c r="E3565" s="845">
        <f t="shared" si="112"/>
        <v>12.722222222222221</v>
      </c>
    </row>
    <row r="3566" spans="2:5">
      <c r="B3566" s="1115">
        <v>45071</v>
      </c>
      <c r="C3566" s="242">
        <f t="shared" si="111"/>
        <v>5</v>
      </c>
      <c r="D3566" s="242">
        <v>52.9</v>
      </c>
      <c r="E3566" s="845">
        <f t="shared" si="112"/>
        <v>11.611111111111111</v>
      </c>
    </row>
    <row r="3567" spans="2:5">
      <c r="B3567" s="1115">
        <v>45071</v>
      </c>
      <c r="C3567" s="242">
        <f t="shared" si="111"/>
        <v>5</v>
      </c>
      <c r="D3567" s="242">
        <v>51.4</v>
      </c>
      <c r="E3567" s="845">
        <f t="shared" si="112"/>
        <v>10.777777777777777</v>
      </c>
    </row>
    <row r="3568" spans="2:5">
      <c r="B3568" s="1115">
        <v>45071</v>
      </c>
      <c r="C3568" s="242">
        <f t="shared" si="111"/>
        <v>5</v>
      </c>
      <c r="D3568" s="242">
        <v>50.4</v>
      </c>
      <c r="E3568" s="845">
        <f t="shared" si="112"/>
        <v>10.222222222222221</v>
      </c>
    </row>
    <row r="3569" spans="2:5">
      <c r="B3569" s="1115">
        <v>45071</v>
      </c>
      <c r="C3569" s="242">
        <f t="shared" si="111"/>
        <v>5</v>
      </c>
      <c r="D3569" s="242">
        <v>49.3</v>
      </c>
      <c r="E3569" s="845">
        <f t="shared" si="112"/>
        <v>9.6111111111111089</v>
      </c>
    </row>
    <row r="3570" spans="2:5">
      <c r="B3570" s="1115">
        <v>45071</v>
      </c>
      <c r="C3570" s="242">
        <f t="shared" si="111"/>
        <v>5</v>
      </c>
      <c r="D3570" s="242">
        <v>48.9</v>
      </c>
      <c r="E3570" s="845">
        <f t="shared" si="112"/>
        <v>9.3888888888888875</v>
      </c>
    </row>
    <row r="3571" spans="2:5">
      <c r="B3571" s="1115">
        <v>45071</v>
      </c>
      <c r="C3571" s="242">
        <f t="shared" si="111"/>
        <v>5</v>
      </c>
      <c r="D3571" s="242">
        <v>48.6</v>
      </c>
      <c r="E3571" s="845">
        <f t="shared" si="112"/>
        <v>9.2222222222222232</v>
      </c>
    </row>
    <row r="3572" spans="2:5">
      <c r="B3572" s="1115">
        <v>45071</v>
      </c>
      <c r="C3572" s="242">
        <f t="shared" si="111"/>
        <v>5</v>
      </c>
      <c r="D3572" s="242">
        <v>48.9</v>
      </c>
      <c r="E3572" s="845">
        <f t="shared" si="112"/>
        <v>9.3888888888888875</v>
      </c>
    </row>
    <row r="3573" spans="2:5">
      <c r="B3573" s="1115">
        <v>45071</v>
      </c>
      <c r="C3573" s="242">
        <f t="shared" si="111"/>
        <v>5</v>
      </c>
      <c r="D3573" s="242">
        <v>50.2</v>
      </c>
      <c r="E3573" s="845">
        <f t="shared" si="112"/>
        <v>10.111111111111112</v>
      </c>
    </row>
    <row r="3574" spans="2:5">
      <c r="B3574" s="1115">
        <v>45071</v>
      </c>
      <c r="C3574" s="242">
        <f t="shared" si="111"/>
        <v>5</v>
      </c>
      <c r="D3574" s="242">
        <v>52.2</v>
      </c>
      <c r="E3574" s="845">
        <f t="shared" si="112"/>
        <v>11.222222222222223</v>
      </c>
    </row>
    <row r="3575" spans="2:5">
      <c r="B3575" s="1115">
        <v>45071</v>
      </c>
      <c r="C3575" s="242">
        <f t="shared" si="111"/>
        <v>5</v>
      </c>
      <c r="D3575" s="242" t="s">
        <v>1846</v>
      </c>
      <c r="E3575" s="845">
        <f t="shared" si="112"/>
        <v>12.222222222222221</v>
      </c>
    </row>
    <row r="3576" spans="2:5">
      <c r="B3576" s="1115">
        <v>45071</v>
      </c>
      <c r="C3576" s="242">
        <f t="shared" si="111"/>
        <v>5</v>
      </c>
      <c r="D3576" s="242">
        <v>55.2</v>
      </c>
      <c r="E3576" s="845">
        <f t="shared" si="112"/>
        <v>12.888888888888889</v>
      </c>
    </row>
    <row r="3577" spans="2:5">
      <c r="B3577" s="1115">
        <v>45071</v>
      </c>
      <c r="C3577" s="242">
        <f t="shared" si="111"/>
        <v>5</v>
      </c>
      <c r="D3577" s="242">
        <v>55.9</v>
      </c>
      <c r="E3577" s="845">
        <f t="shared" si="112"/>
        <v>13.277777777777777</v>
      </c>
    </row>
    <row r="3578" spans="2:5">
      <c r="B3578" s="1115">
        <v>45071</v>
      </c>
      <c r="C3578" s="242">
        <f t="shared" si="111"/>
        <v>5</v>
      </c>
      <c r="D3578" s="242">
        <v>55.8</v>
      </c>
      <c r="E3578" s="845">
        <f t="shared" si="112"/>
        <v>13.22222222222222</v>
      </c>
    </row>
    <row r="3579" spans="2:5">
      <c r="B3579" s="1115">
        <v>45071</v>
      </c>
      <c r="C3579" s="242">
        <f t="shared" si="111"/>
        <v>5</v>
      </c>
      <c r="D3579" s="242">
        <v>54.3</v>
      </c>
      <c r="E3579" s="845">
        <f t="shared" si="112"/>
        <v>12.388888888888888</v>
      </c>
    </row>
    <row r="3580" spans="2:5">
      <c r="B3580" s="1115">
        <v>45071</v>
      </c>
      <c r="C3580" s="242">
        <f t="shared" si="111"/>
        <v>5</v>
      </c>
      <c r="D3580" s="242" t="s">
        <v>1845</v>
      </c>
      <c r="E3580" s="845">
        <f t="shared" si="112"/>
        <v>11.111111111111111</v>
      </c>
    </row>
    <row r="3581" spans="2:5">
      <c r="B3581" s="1115">
        <v>45071</v>
      </c>
      <c r="C3581" s="242">
        <f t="shared" si="111"/>
        <v>5</v>
      </c>
      <c r="D3581" s="242">
        <v>51.4</v>
      </c>
      <c r="E3581" s="845">
        <f t="shared" si="112"/>
        <v>10.777777777777777</v>
      </c>
    </row>
    <row r="3582" spans="2:5">
      <c r="B3582" s="1115">
        <v>45071</v>
      </c>
      <c r="C3582" s="242">
        <f t="shared" si="111"/>
        <v>5</v>
      </c>
      <c r="D3582" s="242">
        <v>51.3</v>
      </c>
      <c r="E3582" s="845">
        <f t="shared" si="112"/>
        <v>10.72222222222222</v>
      </c>
    </row>
    <row r="3583" spans="2:5">
      <c r="B3583" s="1115">
        <v>45071</v>
      </c>
      <c r="C3583" s="242">
        <f t="shared" si="111"/>
        <v>5</v>
      </c>
      <c r="D3583" s="242">
        <v>50.7</v>
      </c>
      <c r="E3583" s="845">
        <f t="shared" si="112"/>
        <v>10.388888888888891</v>
      </c>
    </row>
    <row r="3584" spans="2:5">
      <c r="B3584" s="1115">
        <v>45071</v>
      </c>
      <c r="C3584" s="242">
        <f t="shared" si="111"/>
        <v>5</v>
      </c>
      <c r="D3584" s="242">
        <v>51.1</v>
      </c>
      <c r="E3584" s="845">
        <f t="shared" si="112"/>
        <v>10.611111111111112</v>
      </c>
    </row>
    <row r="3585" spans="2:5">
      <c r="B3585" s="1115">
        <v>45072</v>
      </c>
      <c r="C3585" s="242">
        <f t="shared" si="111"/>
        <v>5</v>
      </c>
      <c r="D3585" s="242">
        <v>51.3</v>
      </c>
      <c r="E3585" s="845">
        <f t="shared" si="112"/>
        <v>10.72222222222222</v>
      </c>
    </row>
    <row r="3586" spans="2:5">
      <c r="B3586" s="1115">
        <v>45072</v>
      </c>
      <c r="C3586" s="242">
        <f t="shared" si="111"/>
        <v>5</v>
      </c>
      <c r="D3586" s="242" t="s">
        <v>1845</v>
      </c>
      <c r="E3586" s="845">
        <f t="shared" si="112"/>
        <v>11.111111111111111</v>
      </c>
    </row>
    <row r="3587" spans="2:5">
      <c r="B3587" s="1115">
        <v>45072</v>
      </c>
      <c r="C3587" s="242">
        <f t="shared" si="111"/>
        <v>5</v>
      </c>
      <c r="D3587" s="242">
        <v>53.4</v>
      </c>
      <c r="E3587" s="845">
        <f t="shared" si="112"/>
        <v>11.888888888888888</v>
      </c>
    </row>
    <row r="3588" spans="2:5">
      <c r="B3588" s="1115">
        <v>45072</v>
      </c>
      <c r="C3588" s="242">
        <f t="shared" si="111"/>
        <v>5</v>
      </c>
      <c r="D3588" s="242">
        <v>54.9</v>
      </c>
      <c r="E3588" s="845">
        <f t="shared" si="112"/>
        <v>12.722222222222221</v>
      </c>
    </row>
    <row r="3589" spans="2:5">
      <c r="B3589" s="1115">
        <v>45072</v>
      </c>
      <c r="C3589" s="242">
        <f t="shared" si="111"/>
        <v>5</v>
      </c>
      <c r="D3589" s="242">
        <v>55.4</v>
      </c>
      <c r="E3589" s="845">
        <f t="shared" si="112"/>
        <v>12.999999999999998</v>
      </c>
    </row>
    <row r="3590" spans="2:5">
      <c r="B3590" s="1115">
        <v>45072</v>
      </c>
      <c r="C3590" s="242">
        <f t="shared" si="111"/>
        <v>5</v>
      </c>
      <c r="D3590" s="242" t="s">
        <v>1847</v>
      </c>
      <c r="E3590" s="845">
        <f t="shared" si="112"/>
        <v>12.777777777777777</v>
      </c>
    </row>
    <row r="3591" spans="2:5">
      <c r="B3591" s="1115">
        <v>45072</v>
      </c>
      <c r="C3591" s="242">
        <f t="shared" si="111"/>
        <v>5</v>
      </c>
      <c r="D3591" s="242">
        <v>53.6</v>
      </c>
      <c r="E3591" s="845">
        <f t="shared" si="112"/>
        <v>12</v>
      </c>
    </row>
    <row r="3592" spans="2:5">
      <c r="B3592" s="1115">
        <v>45072</v>
      </c>
      <c r="C3592" s="242">
        <f t="shared" si="111"/>
        <v>5</v>
      </c>
      <c r="D3592" s="242">
        <v>52.3</v>
      </c>
      <c r="E3592" s="845">
        <f t="shared" si="112"/>
        <v>11.277777777777777</v>
      </c>
    </row>
    <row r="3593" spans="2:5">
      <c r="B3593" s="1115">
        <v>45072</v>
      </c>
      <c r="C3593" s="242">
        <f t="shared" si="111"/>
        <v>5</v>
      </c>
      <c r="D3593" s="242" t="s">
        <v>1845</v>
      </c>
      <c r="E3593" s="845">
        <f t="shared" si="112"/>
        <v>11.111111111111111</v>
      </c>
    </row>
    <row r="3594" spans="2:5">
      <c r="B3594" s="1115">
        <v>45072</v>
      </c>
      <c r="C3594" s="242">
        <f t="shared" ref="C3594:C3657" si="113">MONTH(B3594)</f>
        <v>5</v>
      </c>
      <c r="D3594" s="242">
        <v>51.3</v>
      </c>
      <c r="E3594" s="845">
        <f t="shared" ref="E3594:E3657" si="114">CONVERT(D3594,"F","C")</f>
        <v>10.72222222222222</v>
      </c>
    </row>
    <row r="3595" spans="2:5">
      <c r="B3595" s="1115">
        <v>45072</v>
      </c>
      <c r="C3595" s="242">
        <f t="shared" si="113"/>
        <v>5</v>
      </c>
      <c r="D3595" s="242">
        <v>51.1</v>
      </c>
      <c r="E3595" s="845">
        <f t="shared" si="114"/>
        <v>10.611111111111112</v>
      </c>
    </row>
    <row r="3596" spans="2:5">
      <c r="B3596" s="1115">
        <v>45072</v>
      </c>
      <c r="C3596" s="242">
        <f t="shared" si="113"/>
        <v>5</v>
      </c>
      <c r="D3596" s="242">
        <v>51.1</v>
      </c>
      <c r="E3596" s="845">
        <f t="shared" si="114"/>
        <v>10.611111111111112</v>
      </c>
    </row>
    <row r="3597" spans="2:5">
      <c r="B3597" s="1115">
        <v>45072</v>
      </c>
      <c r="C3597" s="242">
        <f t="shared" si="113"/>
        <v>5</v>
      </c>
      <c r="D3597" s="242">
        <v>51.3</v>
      </c>
      <c r="E3597" s="845">
        <f t="shared" si="114"/>
        <v>10.72222222222222</v>
      </c>
    </row>
    <row r="3598" spans="2:5">
      <c r="B3598" s="1115">
        <v>45072</v>
      </c>
      <c r="C3598" s="242">
        <f t="shared" si="113"/>
        <v>5</v>
      </c>
      <c r="D3598" s="242" t="s">
        <v>1845</v>
      </c>
      <c r="E3598" s="845">
        <f t="shared" si="114"/>
        <v>11.111111111111111</v>
      </c>
    </row>
    <row r="3599" spans="2:5">
      <c r="B3599" s="1115">
        <v>45072</v>
      </c>
      <c r="C3599" s="242">
        <f t="shared" si="113"/>
        <v>5</v>
      </c>
      <c r="D3599" s="242">
        <v>53.4</v>
      </c>
      <c r="E3599" s="845">
        <f t="shared" si="114"/>
        <v>11.888888888888888</v>
      </c>
    </row>
    <row r="3600" spans="2:5">
      <c r="B3600" s="1115">
        <v>45072</v>
      </c>
      <c r="C3600" s="242">
        <f t="shared" si="113"/>
        <v>5</v>
      </c>
      <c r="D3600" s="242">
        <v>54.9</v>
      </c>
      <c r="E3600" s="845">
        <f t="shared" si="114"/>
        <v>12.722222222222221</v>
      </c>
    </row>
    <row r="3601" spans="2:5">
      <c r="B3601" s="1115">
        <v>45072</v>
      </c>
      <c r="C3601" s="242">
        <f t="shared" si="113"/>
        <v>5</v>
      </c>
      <c r="D3601" s="242">
        <v>55.8</v>
      </c>
      <c r="E3601" s="845">
        <f t="shared" si="114"/>
        <v>13.22222222222222</v>
      </c>
    </row>
    <row r="3602" spans="2:5">
      <c r="B3602" s="1115">
        <v>45072</v>
      </c>
      <c r="C3602" s="242">
        <f t="shared" si="113"/>
        <v>5</v>
      </c>
      <c r="D3602" s="242">
        <v>56.3</v>
      </c>
      <c r="E3602" s="845">
        <f t="shared" si="114"/>
        <v>13.499999999999998</v>
      </c>
    </row>
    <row r="3603" spans="2:5">
      <c r="B3603" s="1115">
        <v>45072</v>
      </c>
      <c r="C3603" s="242">
        <f t="shared" si="113"/>
        <v>5</v>
      </c>
      <c r="D3603" s="242">
        <v>55.8</v>
      </c>
      <c r="E3603" s="845">
        <f t="shared" si="114"/>
        <v>13.22222222222222</v>
      </c>
    </row>
    <row r="3604" spans="2:5">
      <c r="B3604" s="1115">
        <v>45072</v>
      </c>
      <c r="C3604" s="242">
        <f t="shared" si="113"/>
        <v>5</v>
      </c>
      <c r="D3604" s="242" t="s">
        <v>1847</v>
      </c>
      <c r="E3604" s="845">
        <f t="shared" si="114"/>
        <v>12.777777777777777</v>
      </c>
    </row>
    <row r="3605" spans="2:5">
      <c r="B3605" s="1115">
        <v>45072</v>
      </c>
      <c r="C3605" s="242">
        <f t="shared" si="113"/>
        <v>5</v>
      </c>
      <c r="D3605" s="242">
        <v>53.8</v>
      </c>
      <c r="E3605" s="845">
        <f t="shared" si="114"/>
        <v>12.111111111111109</v>
      </c>
    </row>
    <row r="3606" spans="2:5">
      <c r="B3606" s="1115">
        <v>45072</v>
      </c>
      <c r="C3606" s="242">
        <f t="shared" si="113"/>
        <v>5</v>
      </c>
      <c r="D3606" s="242">
        <v>52.9</v>
      </c>
      <c r="E3606" s="845">
        <f t="shared" si="114"/>
        <v>11.611111111111111</v>
      </c>
    </row>
    <row r="3607" spans="2:5">
      <c r="B3607" s="1115">
        <v>45072</v>
      </c>
      <c r="C3607" s="242">
        <f t="shared" si="113"/>
        <v>5</v>
      </c>
      <c r="D3607" s="242">
        <v>52.9</v>
      </c>
      <c r="E3607" s="845">
        <f t="shared" si="114"/>
        <v>11.611111111111111</v>
      </c>
    </row>
    <row r="3608" spans="2:5">
      <c r="B3608" s="1115">
        <v>45072</v>
      </c>
      <c r="C3608" s="242">
        <f t="shared" si="113"/>
        <v>5</v>
      </c>
      <c r="D3608" s="242">
        <v>52.5</v>
      </c>
      <c r="E3608" s="845">
        <f t="shared" si="114"/>
        <v>11.388888888888889</v>
      </c>
    </row>
    <row r="3609" spans="2:5">
      <c r="B3609" s="1115">
        <v>45073</v>
      </c>
      <c r="C3609" s="242">
        <f t="shared" si="113"/>
        <v>5</v>
      </c>
      <c r="D3609" s="242">
        <v>53.2</v>
      </c>
      <c r="E3609" s="845">
        <f t="shared" si="114"/>
        <v>11.777777777777779</v>
      </c>
    </row>
    <row r="3610" spans="2:5">
      <c r="B3610" s="1115">
        <v>45073</v>
      </c>
      <c r="C3610" s="242">
        <f t="shared" si="113"/>
        <v>5</v>
      </c>
      <c r="D3610" s="242">
        <v>53.2</v>
      </c>
      <c r="E3610" s="845">
        <f t="shared" si="114"/>
        <v>11.777777777777779</v>
      </c>
    </row>
    <row r="3611" spans="2:5">
      <c r="B3611" s="1115">
        <v>45073</v>
      </c>
      <c r="C3611" s="242">
        <f t="shared" si="113"/>
        <v>5</v>
      </c>
      <c r="D3611" s="242">
        <v>53.6</v>
      </c>
      <c r="E3611" s="845">
        <f t="shared" si="114"/>
        <v>12</v>
      </c>
    </row>
    <row r="3612" spans="2:5">
      <c r="B3612" s="1115">
        <v>45073</v>
      </c>
      <c r="C3612" s="242">
        <f t="shared" si="113"/>
        <v>5</v>
      </c>
      <c r="D3612" s="242">
        <v>54.9</v>
      </c>
      <c r="E3612" s="845">
        <f t="shared" si="114"/>
        <v>12.722222222222221</v>
      </c>
    </row>
    <row r="3613" spans="2:5">
      <c r="B3613" s="1115">
        <v>45073</v>
      </c>
      <c r="C3613" s="242">
        <f t="shared" si="113"/>
        <v>5</v>
      </c>
      <c r="D3613" s="242">
        <v>55.9</v>
      </c>
      <c r="E3613" s="845">
        <f t="shared" si="114"/>
        <v>13.277777777777777</v>
      </c>
    </row>
    <row r="3614" spans="2:5">
      <c r="B3614" s="1115">
        <v>45073</v>
      </c>
      <c r="C3614" s="242">
        <f t="shared" si="113"/>
        <v>5</v>
      </c>
      <c r="D3614" s="242">
        <v>56.3</v>
      </c>
      <c r="E3614" s="845">
        <f t="shared" si="114"/>
        <v>13.499999999999998</v>
      </c>
    </row>
    <row r="3615" spans="2:5">
      <c r="B3615" s="1115">
        <v>45073</v>
      </c>
      <c r="C3615" s="242">
        <f t="shared" si="113"/>
        <v>5</v>
      </c>
      <c r="D3615" s="242">
        <v>55.8</v>
      </c>
      <c r="E3615" s="845">
        <f t="shared" si="114"/>
        <v>13.22222222222222</v>
      </c>
    </row>
    <row r="3616" spans="2:5">
      <c r="B3616" s="1115">
        <v>45073</v>
      </c>
      <c r="C3616" s="242">
        <f t="shared" si="113"/>
        <v>5</v>
      </c>
      <c r="D3616" s="242">
        <v>54.3</v>
      </c>
      <c r="E3616" s="845">
        <f t="shared" si="114"/>
        <v>12.388888888888888</v>
      </c>
    </row>
    <row r="3617" spans="2:5">
      <c r="B3617" s="1115">
        <v>45073</v>
      </c>
      <c r="C3617" s="242">
        <f t="shared" si="113"/>
        <v>5</v>
      </c>
      <c r="D3617" s="242">
        <v>53.8</v>
      </c>
      <c r="E3617" s="845">
        <f t="shared" si="114"/>
        <v>12.111111111111109</v>
      </c>
    </row>
    <row r="3618" spans="2:5">
      <c r="B3618" s="1115">
        <v>45073</v>
      </c>
      <c r="C3618" s="242">
        <f t="shared" si="113"/>
        <v>5</v>
      </c>
      <c r="D3618" s="242">
        <v>53.2</v>
      </c>
      <c r="E3618" s="845">
        <f t="shared" si="114"/>
        <v>11.777777777777779</v>
      </c>
    </row>
    <row r="3619" spans="2:5">
      <c r="B3619" s="1115">
        <v>45073</v>
      </c>
      <c r="C3619" s="242">
        <f t="shared" si="113"/>
        <v>5</v>
      </c>
      <c r="D3619" s="242">
        <v>52.5</v>
      </c>
      <c r="E3619" s="845">
        <f t="shared" si="114"/>
        <v>11.388888888888889</v>
      </c>
    </row>
    <row r="3620" spans="2:5">
      <c r="B3620" s="1115">
        <v>45073</v>
      </c>
      <c r="C3620" s="242">
        <f t="shared" si="113"/>
        <v>5</v>
      </c>
      <c r="D3620" s="242" t="s">
        <v>1845</v>
      </c>
      <c r="E3620" s="845">
        <f t="shared" si="114"/>
        <v>11.111111111111111</v>
      </c>
    </row>
    <row r="3621" spans="2:5">
      <c r="B3621" s="1115">
        <v>45073</v>
      </c>
      <c r="C3621" s="242">
        <f t="shared" si="113"/>
        <v>5</v>
      </c>
      <c r="D3621" s="242">
        <v>52.5</v>
      </c>
      <c r="E3621" s="845">
        <f t="shared" si="114"/>
        <v>11.388888888888889</v>
      </c>
    </row>
    <row r="3622" spans="2:5">
      <c r="B3622" s="1115">
        <v>45073</v>
      </c>
      <c r="C3622" s="242">
        <f t="shared" si="113"/>
        <v>5</v>
      </c>
      <c r="D3622" s="242">
        <v>52.7</v>
      </c>
      <c r="E3622" s="845">
        <f t="shared" si="114"/>
        <v>11.500000000000002</v>
      </c>
    </row>
    <row r="3623" spans="2:5">
      <c r="B3623" s="1115">
        <v>45073</v>
      </c>
      <c r="C3623" s="242">
        <f t="shared" si="113"/>
        <v>5</v>
      </c>
      <c r="D3623" s="242">
        <v>53.6</v>
      </c>
      <c r="E3623" s="845">
        <f t="shared" si="114"/>
        <v>12</v>
      </c>
    </row>
    <row r="3624" spans="2:5">
      <c r="B3624" s="1115">
        <v>45073</v>
      </c>
      <c r="C3624" s="242">
        <f t="shared" si="113"/>
        <v>5</v>
      </c>
      <c r="D3624" s="242">
        <v>55.2</v>
      </c>
      <c r="E3624" s="845">
        <f t="shared" si="114"/>
        <v>12.888888888888889</v>
      </c>
    </row>
    <row r="3625" spans="2:5">
      <c r="B3625" s="1115">
        <v>45073</v>
      </c>
      <c r="C3625" s="242">
        <f t="shared" si="113"/>
        <v>5</v>
      </c>
      <c r="D3625" s="242">
        <v>56.3</v>
      </c>
      <c r="E3625" s="845">
        <f t="shared" si="114"/>
        <v>13.499999999999998</v>
      </c>
    </row>
    <row r="3626" spans="2:5">
      <c r="B3626" s="1115">
        <v>45073</v>
      </c>
      <c r="C3626" s="242">
        <f t="shared" si="113"/>
        <v>5</v>
      </c>
      <c r="D3626" s="242">
        <v>57.4</v>
      </c>
      <c r="E3626" s="845">
        <f t="shared" si="114"/>
        <v>14.111111111111111</v>
      </c>
    </row>
    <row r="3627" spans="2:5">
      <c r="B3627" s="1115">
        <v>45073</v>
      </c>
      <c r="C3627" s="242">
        <f t="shared" si="113"/>
        <v>5</v>
      </c>
      <c r="D3627" s="242">
        <v>57.7</v>
      </c>
      <c r="E3627" s="845">
        <f t="shared" si="114"/>
        <v>14.277777777777779</v>
      </c>
    </row>
    <row r="3628" spans="2:5">
      <c r="B3628" s="1115">
        <v>45073</v>
      </c>
      <c r="C3628" s="242">
        <f t="shared" si="113"/>
        <v>5</v>
      </c>
      <c r="D3628" s="242" t="s">
        <v>1848</v>
      </c>
      <c r="E3628" s="845">
        <f t="shared" si="114"/>
        <v>13.888888888888889</v>
      </c>
    </row>
    <row r="3629" spans="2:5">
      <c r="B3629" s="1115">
        <v>45073</v>
      </c>
      <c r="C3629" s="242">
        <f t="shared" si="113"/>
        <v>5</v>
      </c>
      <c r="D3629" s="242">
        <v>55.4</v>
      </c>
      <c r="E3629" s="845">
        <f t="shared" si="114"/>
        <v>12.999999999999998</v>
      </c>
    </row>
    <row r="3630" spans="2:5">
      <c r="B3630" s="1115">
        <v>45073</v>
      </c>
      <c r="C3630" s="242">
        <f t="shared" si="113"/>
        <v>5</v>
      </c>
      <c r="D3630" s="242">
        <v>54.7</v>
      </c>
      <c r="E3630" s="845">
        <f t="shared" si="114"/>
        <v>12.611111111111112</v>
      </c>
    </row>
    <row r="3631" spans="2:5">
      <c r="B3631" s="1115">
        <v>45073</v>
      </c>
      <c r="C3631" s="242">
        <f t="shared" si="113"/>
        <v>5</v>
      </c>
      <c r="D3631" s="242" t="s">
        <v>1846</v>
      </c>
      <c r="E3631" s="845">
        <f t="shared" si="114"/>
        <v>12.222222222222221</v>
      </c>
    </row>
    <row r="3632" spans="2:5">
      <c r="B3632" s="1115">
        <v>45073</v>
      </c>
      <c r="C3632" s="242">
        <f t="shared" si="113"/>
        <v>5</v>
      </c>
      <c r="D3632" s="242">
        <v>53.4</v>
      </c>
      <c r="E3632" s="845">
        <f t="shared" si="114"/>
        <v>11.888888888888888</v>
      </c>
    </row>
    <row r="3633" spans="2:5">
      <c r="B3633" s="1115">
        <v>45074</v>
      </c>
      <c r="C3633" s="242">
        <f t="shared" si="113"/>
        <v>5</v>
      </c>
      <c r="D3633" s="242">
        <v>53.1</v>
      </c>
      <c r="E3633" s="845">
        <f t="shared" si="114"/>
        <v>11.722222222222223</v>
      </c>
    </row>
    <row r="3634" spans="2:5">
      <c r="B3634" s="1115">
        <v>45074</v>
      </c>
      <c r="C3634" s="242">
        <f t="shared" si="113"/>
        <v>5</v>
      </c>
      <c r="D3634" s="242">
        <v>53.8</v>
      </c>
      <c r="E3634" s="845">
        <f t="shared" si="114"/>
        <v>12.111111111111109</v>
      </c>
    </row>
    <row r="3635" spans="2:5">
      <c r="B3635" s="1115">
        <v>45074</v>
      </c>
      <c r="C3635" s="242">
        <f t="shared" si="113"/>
        <v>5</v>
      </c>
      <c r="D3635" s="242" t="s">
        <v>1846</v>
      </c>
      <c r="E3635" s="845">
        <f t="shared" si="114"/>
        <v>12.222222222222221</v>
      </c>
    </row>
    <row r="3636" spans="2:5">
      <c r="B3636" s="1115">
        <v>45074</v>
      </c>
      <c r="C3636" s="242">
        <f t="shared" si="113"/>
        <v>5</v>
      </c>
      <c r="D3636" s="242">
        <v>54.7</v>
      </c>
      <c r="E3636" s="845">
        <f t="shared" si="114"/>
        <v>12.611111111111112</v>
      </c>
    </row>
    <row r="3637" spans="2:5">
      <c r="B3637" s="1115">
        <v>45074</v>
      </c>
      <c r="C3637" s="242">
        <f t="shared" si="113"/>
        <v>5</v>
      </c>
      <c r="D3637" s="242">
        <v>55.9</v>
      </c>
      <c r="E3637" s="845">
        <f t="shared" si="114"/>
        <v>13.277777777777777</v>
      </c>
    </row>
    <row r="3638" spans="2:5">
      <c r="B3638" s="1115">
        <v>45074</v>
      </c>
      <c r="C3638" s="242">
        <f t="shared" si="113"/>
        <v>5</v>
      </c>
      <c r="D3638" s="242">
        <v>56.8</v>
      </c>
      <c r="E3638" s="845">
        <f t="shared" si="114"/>
        <v>13.777777777777775</v>
      </c>
    </row>
    <row r="3639" spans="2:5">
      <c r="B3639" s="1115">
        <v>45074</v>
      </c>
      <c r="C3639" s="242">
        <f t="shared" si="113"/>
        <v>5</v>
      </c>
      <c r="D3639" s="242">
        <v>57.4</v>
      </c>
      <c r="E3639" s="845">
        <f t="shared" si="114"/>
        <v>14.111111111111111</v>
      </c>
    </row>
    <row r="3640" spans="2:5">
      <c r="B3640" s="1115">
        <v>45074</v>
      </c>
      <c r="C3640" s="242">
        <f t="shared" si="113"/>
        <v>5</v>
      </c>
      <c r="D3640" s="242">
        <v>56.5</v>
      </c>
      <c r="E3640" s="845">
        <f t="shared" si="114"/>
        <v>13.611111111111111</v>
      </c>
    </row>
    <row r="3641" spans="2:5">
      <c r="B3641" s="1115">
        <v>45074</v>
      </c>
      <c r="C3641" s="242">
        <f t="shared" si="113"/>
        <v>5</v>
      </c>
      <c r="D3641" s="242">
        <v>55.8</v>
      </c>
      <c r="E3641" s="845">
        <f t="shared" si="114"/>
        <v>13.22222222222222</v>
      </c>
    </row>
    <row r="3642" spans="2:5">
      <c r="B3642" s="1115">
        <v>45074</v>
      </c>
      <c r="C3642" s="242">
        <f t="shared" si="113"/>
        <v>5</v>
      </c>
      <c r="D3642" s="242">
        <v>54.7</v>
      </c>
      <c r="E3642" s="845">
        <f t="shared" si="114"/>
        <v>12.611111111111112</v>
      </c>
    </row>
    <row r="3643" spans="2:5">
      <c r="B3643" s="1115">
        <v>45074</v>
      </c>
      <c r="C3643" s="242">
        <f t="shared" si="113"/>
        <v>5</v>
      </c>
      <c r="D3643" s="242">
        <v>53.6</v>
      </c>
      <c r="E3643" s="845">
        <f t="shared" si="114"/>
        <v>12</v>
      </c>
    </row>
    <row r="3644" spans="2:5">
      <c r="B3644" s="1115">
        <v>45074</v>
      </c>
      <c r="C3644" s="242">
        <f t="shared" si="113"/>
        <v>5</v>
      </c>
      <c r="D3644" s="242">
        <v>52.9</v>
      </c>
      <c r="E3644" s="845">
        <f t="shared" si="114"/>
        <v>11.611111111111111</v>
      </c>
    </row>
    <row r="3645" spans="2:5">
      <c r="B3645" s="1115">
        <v>45074</v>
      </c>
      <c r="C3645" s="242">
        <f t="shared" si="113"/>
        <v>5</v>
      </c>
      <c r="D3645" s="242">
        <v>52.3</v>
      </c>
      <c r="E3645" s="845">
        <f t="shared" si="114"/>
        <v>11.277777777777777</v>
      </c>
    </row>
    <row r="3646" spans="2:5">
      <c r="B3646" s="1115">
        <v>45074</v>
      </c>
      <c r="C3646" s="242">
        <f t="shared" si="113"/>
        <v>5</v>
      </c>
      <c r="D3646" s="242">
        <v>53.1</v>
      </c>
      <c r="E3646" s="845">
        <f t="shared" si="114"/>
        <v>11.722222222222223</v>
      </c>
    </row>
    <row r="3647" spans="2:5">
      <c r="B3647" s="1115">
        <v>45074</v>
      </c>
      <c r="C3647" s="242">
        <f t="shared" si="113"/>
        <v>5</v>
      </c>
      <c r="D3647" s="242">
        <v>53.4</v>
      </c>
      <c r="E3647" s="845">
        <f t="shared" si="114"/>
        <v>11.888888888888888</v>
      </c>
    </row>
    <row r="3648" spans="2:5">
      <c r="B3648" s="1115">
        <v>45074</v>
      </c>
      <c r="C3648" s="242">
        <f t="shared" si="113"/>
        <v>5</v>
      </c>
      <c r="D3648" s="242">
        <v>54.5</v>
      </c>
      <c r="E3648" s="845">
        <f t="shared" si="114"/>
        <v>12.5</v>
      </c>
    </row>
    <row r="3649" spans="2:5">
      <c r="B3649" s="1115">
        <v>45074</v>
      </c>
      <c r="C3649" s="242">
        <f t="shared" si="113"/>
        <v>5</v>
      </c>
      <c r="D3649" s="242">
        <v>56.3</v>
      </c>
      <c r="E3649" s="845">
        <f t="shared" si="114"/>
        <v>13.499999999999998</v>
      </c>
    </row>
    <row r="3650" spans="2:5">
      <c r="B3650" s="1115">
        <v>45074</v>
      </c>
      <c r="C3650" s="242">
        <f t="shared" si="113"/>
        <v>5</v>
      </c>
      <c r="D3650" s="242">
        <v>57.9</v>
      </c>
      <c r="E3650" s="845">
        <f t="shared" si="114"/>
        <v>14.388888888888888</v>
      </c>
    </row>
    <row r="3651" spans="2:5">
      <c r="B3651" s="1115">
        <v>45074</v>
      </c>
      <c r="C3651" s="242">
        <f t="shared" si="113"/>
        <v>5</v>
      </c>
      <c r="D3651" s="242">
        <v>58.8</v>
      </c>
      <c r="E3651" s="845">
        <f t="shared" si="114"/>
        <v>14.888888888888888</v>
      </c>
    </row>
    <row r="3652" spans="2:5">
      <c r="B3652" s="1115">
        <v>45074</v>
      </c>
      <c r="C3652" s="242">
        <f t="shared" si="113"/>
        <v>5</v>
      </c>
      <c r="D3652" s="242">
        <v>59.4</v>
      </c>
      <c r="E3652" s="845">
        <f t="shared" si="114"/>
        <v>15.222222222222221</v>
      </c>
    </row>
    <row r="3653" spans="2:5">
      <c r="B3653" s="1115">
        <v>45074</v>
      </c>
      <c r="C3653" s="242">
        <f t="shared" si="113"/>
        <v>5</v>
      </c>
      <c r="D3653" s="242">
        <v>58.3</v>
      </c>
      <c r="E3653" s="845">
        <f t="shared" si="114"/>
        <v>14.611111111111109</v>
      </c>
    </row>
    <row r="3654" spans="2:5">
      <c r="B3654" s="1115">
        <v>45074</v>
      </c>
      <c r="C3654" s="242">
        <f t="shared" si="113"/>
        <v>5</v>
      </c>
      <c r="D3654" s="242">
        <v>56.1</v>
      </c>
      <c r="E3654" s="845">
        <f t="shared" si="114"/>
        <v>13.388888888888889</v>
      </c>
    </row>
    <row r="3655" spans="2:5">
      <c r="B3655" s="1115">
        <v>45074</v>
      </c>
      <c r="C3655" s="242">
        <f t="shared" si="113"/>
        <v>5</v>
      </c>
      <c r="D3655" s="242" t="s">
        <v>1846</v>
      </c>
      <c r="E3655" s="845">
        <f t="shared" si="114"/>
        <v>12.222222222222221</v>
      </c>
    </row>
    <row r="3656" spans="2:5">
      <c r="B3656" s="1115">
        <v>45074</v>
      </c>
      <c r="C3656" s="242">
        <f t="shared" si="113"/>
        <v>5</v>
      </c>
      <c r="D3656" s="242">
        <v>53.8</v>
      </c>
      <c r="E3656" s="845">
        <f t="shared" si="114"/>
        <v>12.111111111111109</v>
      </c>
    </row>
    <row r="3657" spans="2:5">
      <c r="B3657" s="1115">
        <v>45075</v>
      </c>
      <c r="C3657" s="242">
        <f t="shared" si="113"/>
        <v>5</v>
      </c>
      <c r="D3657" s="242">
        <v>52.2</v>
      </c>
      <c r="E3657" s="845">
        <f t="shared" si="114"/>
        <v>11.222222222222223</v>
      </c>
    </row>
    <row r="3658" spans="2:5">
      <c r="B3658" s="1115">
        <v>45075</v>
      </c>
      <c r="C3658" s="242">
        <f t="shared" ref="C3658:C3721" si="115">MONTH(B3658)</f>
        <v>5</v>
      </c>
      <c r="D3658" s="242" t="s">
        <v>1845</v>
      </c>
      <c r="E3658" s="845">
        <f t="shared" ref="E3658:E3721" si="116">CONVERT(D3658,"F","C")</f>
        <v>11.111111111111111</v>
      </c>
    </row>
    <row r="3659" spans="2:5">
      <c r="B3659" s="1115">
        <v>45075</v>
      </c>
      <c r="C3659" s="242">
        <f t="shared" si="115"/>
        <v>5</v>
      </c>
      <c r="D3659" s="242">
        <v>52.9</v>
      </c>
      <c r="E3659" s="845">
        <f t="shared" si="116"/>
        <v>11.611111111111111</v>
      </c>
    </row>
    <row r="3660" spans="2:5">
      <c r="B3660" s="1115">
        <v>45075</v>
      </c>
      <c r="C3660" s="242">
        <f t="shared" si="115"/>
        <v>5</v>
      </c>
      <c r="D3660" s="242">
        <v>53.4</v>
      </c>
      <c r="E3660" s="845">
        <f t="shared" si="116"/>
        <v>11.888888888888888</v>
      </c>
    </row>
    <row r="3661" spans="2:5">
      <c r="B3661" s="1115">
        <v>45075</v>
      </c>
      <c r="C3661" s="242">
        <f t="shared" si="115"/>
        <v>5</v>
      </c>
      <c r="D3661" s="242">
        <v>54.7</v>
      </c>
      <c r="E3661" s="845">
        <f t="shared" si="116"/>
        <v>12.611111111111112</v>
      </c>
    </row>
    <row r="3662" spans="2:5">
      <c r="B3662" s="1115">
        <v>45075</v>
      </c>
      <c r="C3662" s="242">
        <f t="shared" si="115"/>
        <v>5</v>
      </c>
      <c r="D3662" s="242">
        <v>56.8</v>
      </c>
      <c r="E3662" s="845">
        <f t="shared" si="116"/>
        <v>13.777777777777775</v>
      </c>
    </row>
    <row r="3663" spans="2:5">
      <c r="B3663" s="1115">
        <v>45075</v>
      </c>
      <c r="C3663" s="242">
        <f t="shared" si="115"/>
        <v>5</v>
      </c>
      <c r="D3663" s="242">
        <v>58.1</v>
      </c>
      <c r="E3663" s="845">
        <f t="shared" si="116"/>
        <v>14.5</v>
      </c>
    </row>
    <row r="3664" spans="2:5">
      <c r="B3664" s="1115">
        <v>45075</v>
      </c>
      <c r="C3664" s="242">
        <f t="shared" si="115"/>
        <v>5</v>
      </c>
      <c r="D3664" s="242">
        <v>58.6</v>
      </c>
      <c r="E3664" s="845">
        <f t="shared" si="116"/>
        <v>14.777777777777779</v>
      </c>
    </row>
    <row r="3665" spans="2:5">
      <c r="B3665" s="1115">
        <v>45075</v>
      </c>
      <c r="C3665" s="242">
        <f t="shared" si="115"/>
        <v>5</v>
      </c>
      <c r="D3665" s="242">
        <v>57.7</v>
      </c>
      <c r="E3665" s="845">
        <f t="shared" si="116"/>
        <v>14.277777777777779</v>
      </c>
    </row>
    <row r="3666" spans="2:5">
      <c r="B3666" s="1115">
        <v>45075</v>
      </c>
      <c r="C3666" s="242">
        <f t="shared" si="115"/>
        <v>5</v>
      </c>
      <c r="D3666" s="242">
        <v>55.9</v>
      </c>
      <c r="E3666" s="845">
        <f t="shared" si="116"/>
        <v>13.277777777777777</v>
      </c>
    </row>
    <row r="3667" spans="2:5">
      <c r="B3667" s="1115">
        <v>45075</v>
      </c>
      <c r="C3667" s="242">
        <f t="shared" si="115"/>
        <v>5</v>
      </c>
      <c r="D3667" s="242">
        <v>54.5</v>
      </c>
      <c r="E3667" s="845">
        <f t="shared" si="116"/>
        <v>12.5</v>
      </c>
    </row>
    <row r="3668" spans="2:5">
      <c r="B3668" s="1115">
        <v>45075</v>
      </c>
      <c r="C3668" s="242">
        <f t="shared" si="115"/>
        <v>5</v>
      </c>
      <c r="D3668" s="242">
        <v>52.7</v>
      </c>
      <c r="E3668" s="845">
        <f t="shared" si="116"/>
        <v>11.500000000000002</v>
      </c>
    </row>
    <row r="3669" spans="2:5">
      <c r="B3669" s="1115">
        <v>45075</v>
      </c>
      <c r="C3669" s="242">
        <f t="shared" si="115"/>
        <v>5</v>
      </c>
      <c r="D3669" s="242">
        <v>52.2</v>
      </c>
      <c r="E3669" s="845">
        <f t="shared" si="116"/>
        <v>11.222222222222223</v>
      </c>
    </row>
    <row r="3670" spans="2:5">
      <c r="B3670" s="1115">
        <v>45075</v>
      </c>
      <c r="C3670" s="242">
        <f t="shared" si="115"/>
        <v>5</v>
      </c>
      <c r="D3670" s="242">
        <v>51.4</v>
      </c>
      <c r="E3670" s="845">
        <f t="shared" si="116"/>
        <v>10.777777777777777</v>
      </c>
    </row>
    <row r="3671" spans="2:5">
      <c r="B3671" s="1115">
        <v>45075</v>
      </c>
      <c r="C3671" s="242">
        <f t="shared" si="115"/>
        <v>5</v>
      </c>
      <c r="D3671" s="242">
        <v>52.2</v>
      </c>
      <c r="E3671" s="845">
        <f t="shared" si="116"/>
        <v>11.222222222222223</v>
      </c>
    </row>
    <row r="3672" spans="2:5">
      <c r="B3672" s="1115">
        <v>45075</v>
      </c>
      <c r="C3672" s="242">
        <f t="shared" si="115"/>
        <v>5</v>
      </c>
      <c r="D3672" s="242">
        <v>52.9</v>
      </c>
      <c r="E3672" s="845">
        <f t="shared" si="116"/>
        <v>11.611111111111111</v>
      </c>
    </row>
    <row r="3673" spans="2:5">
      <c r="B3673" s="1115">
        <v>45075</v>
      </c>
      <c r="C3673" s="242">
        <f t="shared" si="115"/>
        <v>5</v>
      </c>
      <c r="D3673" s="242">
        <v>54.1</v>
      </c>
      <c r="E3673" s="845">
        <f t="shared" si="116"/>
        <v>12.277777777777779</v>
      </c>
    </row>
    <row r="3674" spans="2:5">
      <c r="B3674" s="1115">
        <v>45075</v>
      </c>
      <c r="C3674" s="242">
        <f t="shared" si="115"/>
        <v>5</v>
      </c>
      <c r="D3674" s="242">
        <v>56.5</v>
      </c>
      <c r="E3674" s="845">
        <f t="shared" si="116"/>
        <v>13.611111111111111</v>
      </c>
    </row>
    <row r="3675" spans="2:5">
      <c r="B3675" s="1115">
        <v>45075</v>
      </c>
      <c r="C3675" s="242">
        <f t="shared" si="115"/>
        <v>5</v>
      </c>
      <c r="D3675" s="242">
        <v>58.3</v>
      </c>
      <c r="E3675" s="845">
        <f t="shared" si="116"/>
        <v>14.611111111111109</v>
      </c>
    </row>
    <row r="3676" spans="2:5">
      <c r="B3676" s="1115">
        <v>45075</v>
      </c>
      <c r="C3676" s="242">
        <f t="shared" si="115"/>
        <v>5</v>
      </c>
      <c r="D3676" s="242">
        <v>59.2</v>
      </c>
      <c r="E3676" s="845">
        <f t="shared" si="116"/>
        <v>15.111111111111112</v>
      </c>
    </row>
    <row r="3677" spans="2:5">
      <c r="B3677" s="1115">
        <v>45075</v>
      </c>
      <c r="C3677" s="242">
        <f t="shared" si="115"/>
        <v>5</v>
      </c>
      <c r="D3677" s="242">
        <v>59.4</v>
      </c>
      <c r="E3677" s="845">
        <f t="shared" si="116"/>
        <v>15.222222222222221</v>
      </c>
    </row>
    <row r="3678" spans="2:5">
      <c r="B3678" s="1115">
        <v>45075</v>
      </c>
      <c r="C3678" s="242">
        <f t="shared" si="115"/>
        <v>5</v>
      </c>
      <c r="D3678" s="242">
        <v>57.9</v>
      </c>
      <c r="E3678" s="845">
        <f t="shared" si="116"/>
        <v>14.388888888888888</v>
      </c>
    </row>
    <row r="3679" spans="2:5">
      <c r="B3679" s="1115">
        <v>45075</v>
      </c>
      <c r="C3679" s="242">
        <f t="shared" si="115"/>
        <v>5</v>
      </c>
      <c r="D3679" s="242">
        <v>55.9</v>
      </c>
      <c r="E3679" s="845">
        <f t="shared" si="116"/>
        <v>13.277777777777777</v>
      </c>
    </row>
    <row r="3680" spans="2:5">
      <c r="B3680" s="1115">
        <v>45075</v>
      </c>
      <c r="C3680" s="242">
        <f t="shared" si="115"/>
        <v>5</v>
      </c>
      <c r="D3680" s="242">
        <v>54.7</v>
      </c>
      <c r="E3680" s="845">
        <f t="shared" si="116"/>
        <v>12.611111111111112</v>
      </c>
    </row>
    <row r="3681" spans="2:5">
      <c r="B3681" s="1115">
        <v>45076</v>
      </c>
      <c r="C3681" s="242">
        <f t="shared" si="115"/>
        <v>5</v>
      </c>
      <c r="D3681" s="242">
        <v>54.5</v>
      </c>
      <c r="E3681" s="845">
        <f t="shared" si="116"/>
        <v>12.5</v>
      </c>
    </row>
    <row r="3682" spans="2:5">
      <c r="B3682" s="1115">
        <v>45076</v>
      </c>
      <c r="C3682" s="242">
        <f t="shared" si="115"/>
        <v>5</v>
      </c>
      <c r="D3682" s="242">
        <v>54.7</v>
      </c>
      <c r="E3682" s="845">
        <f t="shared" si="116"/>
        <v>12.611111111111112</v>
      </c>
    </row>
    <row r="3683" spans="2:5">
      <c r="B3683" s="1115">
        <v>45076</v>
      </c>
      <c r="C3683" s="242">
        <f t="shared" si="115"/>
        <v>5</v>
      </c>
      <c r="D3683" s="242">
        <v>54.5</v>
      </c>
      <c r="E3683" s="845">
        <f t="shared" si="116"/>
        <v>12.5</v>
      </c>
    </row>
    <row r="3684" spans="2:5">
      <c r="B3684" s="1115">
        <v>45076</v>
      </c>
      <c r="C3684" s="242">
        <f t="shared" si="115"/>
        <v>5</v>
      </c>
      <c r="D3684" s="242">
        <v>54.5</v>
      </c>
      <c r="E3684" s="845">
        <f t="shared" si="116"/>
        <v>12.5</v>
      </c>
    </row>
    <row r="3685" spans="2:5">
      <c r="B3685" s="1115">
        <v>45076</v>
      </c>
      <c r="C3685" s="242">
        <f t="shared" si="115"/>
        <v>5</v>
      </c>
      <c r="D3685" s="242">
        <v>54.9</v>
      </c>
      <c r="E3685" s="845">
        <f t="shared" si="116"/>
        <v>12.722222222222221</v>
      </c>
    </row>
    <row r="3686" spans="2:5">
      <c r="B3686" s="1115">
        <v>45076</v>
      </c>
      <c r="C3686" s="242">
        <f t="shared" si="115"/>
        <v>5</v>
      </c>
      <c r="D3686" s="242">
        <v>55.8</v>
      </c>
      <c r="E3686" s="845">
        <f t="shared" si="116"/>
        <v>13.22222222222222</v>
      </c>
    </row>
    <row r="3687" spans="2:5">
      <c r="B3687" s="1115">
        <v>45076</v>
      </c>
      <c r="C3687" s="242">
        <f t="shared" si="115"/>
        <v>5</v>
      </c>
      <c r="D3687" s="242">
        <v>57.4</v>
      </c>
      <c r="E3687" s="845">
        <f t="shared" si="116"/>
        <v>14.111111111111111</v>
      </c>
    </row>
    <row r="3688" spans="2:5">
      <c r="B3688" s="1115">
        <v>45076</v>
      </c>
      <c r="C3688" s="242">
        <f t="shared" si="115"/>
        <v>5</v>
      </c>
      <c r="D3688" s="242">
        <v>58.5</v>
      </c>
      <c r="E3688" s="845">
        <f t="shared" si="116"/>
        <v>14.722222222222221</v>
      </c>
    </row>
    <row r="3689" spans="2:5">
      <c r="B3689" s="1115">
        <v>45076</v>
      </c>
      <c r="C3689" s="242">
        <f t="shared" si="115"/>
        <v>5</v>
      </c>
      <c r="D3689" s="242" t="s">
        <v>1849</v>
      </c>
      <c r="E3689" s="845">
        <f t="shared" si="116"/>
        <v>15</v>
      </c>
    </row>
    <row r="3690" spans="2:5">
      <c r="B3690" s="1115">
        <v>45076</v>
      </c>
      <c r="C3690" s="242">
        <f t="shared" si="115"/>
        <v>5</v>
      </c>
      <c r="D3690" s="242">
        <v>58.1</v>
      </c>
      <c r="E3690" s="845">
        <f t="shared" si="116"/>
        <v>14.5</v>
      </c>
    </row>
    <row r="3691" spans="2:5">
      <c r="B3691" s="1115">
        <v>45076</v>
      </c>
      <c r="C3691" s="242">
        <f t="shared" si="115"/>
        <v>5</v>
      </c>
      <c r="D3691" s="242">
        <v>57.2</v>
      </c>
      <c r="E3691" s="845">
        <f t="shared" si="116"/>
        <v>14.000000000000002</v>
      </c>
    </row>
    <row r="3692" spans="2:5">
      <c r="B3692" s="1115">
        <v>45076</v>
      </c>
      <c r="C3692" s="242">
        <f t="shared" si="115"/>
        <v>5</v>
      </c>
      <c r="D3692" s="242">
        <v>55.6</v>
      </c>
      <c r="E3692" s="845">
        <f t="shared" si="116"/>
        <v>13.111111111111111</v>
      </c>
    </row>
    <row r="3693" spans="2:5">
      <c r="B3693" s="1115">
        <v>45076</v>
      </c>
      <c r="C3693" s="242">
        <f t="shared" si="115"/>
        <v>5</v>
      </c>
      <c r="D3693" s="242">
        <v>54.5</v>
      </c>
      <c r="E3693" s="845">
        <f t="shared" si="116"/>
        <v>12.5</v>
      </c>
    </row>
    <row r="3694" spans="2:5">
      <c r="B3694" s="1115">
        <v>45076</v>
      </c>
      <c r="C3694" s="242">
        <f t="shared" si="115"/>
        <v>5</v>
      </c>
      <c r="D3694" s="242">
        <v>53.4</v>
      </c>
      <c r="E3694" s="845">
        <f t="shared" si="116"/>
        <v>11.888888888888888</v>
      </c>
    </row>
    <row r="3695" spans="2:5">
      <c r="B3695" s="1115">
        <v>45076</v>
      </c>
      <c r="C3695" s="242">
        <f t="shared" si="115"/>
        <v>5</v>
      </c>
      <c r="D3695" s="242">
        <v>52.2</v>
      </c>
      <c r="E3695" s="845">
        <f t="shared" si="116"/>
        <v>11.222222222222223</v>
      </c>
    </row>
    <row r="3696" spans="2:5">
      <c r="B3696" s="1115">
        <v>45076</v>
      </c>
      <c r="C3696" s="242">
        <f t="shared" si="115"/>
        <v>5</v>
      </c>
      <c r="D3696" s="242">
        <v>53.1</v>
      </c>
      <c r="E3696" s="845">
        <f t="shared" si="116"/>
        <v>11.722222222222223</v>
      </c>
    </row>
    <row r="3697" spans="2:5">
      <c r="B3697" s="1115">
        <v>45076</v>
      </c>
      <c r="C3697" s="242">
        <f t="shared" si="115"/>
        <v>5</v>
      </c>
      <c r="D3697" s="242">
        <v>54.3</v>
      </c>
      <c r="E3697" s="845">
        <f t="shared" si="116"/>
        <v>12.388888888888888</v>
      </c>
    </row>
    <row r="3698" spans="2:5">
      <c r="B3698" s="1115">
        <v>45076</v>
      </c>
      <c r="C3698" s="242">
        <f t="shared" si="115"/>
        <v>5</v>
      </c>
      <c r="D3698" s="242">
        <v>55.6</v>
      </c>
      <c r="E3698" s="845">
        <f t="shared" si="116"/>
        <v>13.111111111111111</v>
      </c>
    </row>
    <row r="3699" spans="2:5">
      <c r="B3699" s="1115">
        <v>45076</v>
      </c>
      <c r="C3699" s="242">
        <f t="shared" si="115"/>
        <v>5</v>
      </c>
      <c r="D3699" s="242">
        <v>57.7</v>
      </c>
      <c r="E3699" s="845">
        <f t="shared" si="116"/>
        <v>14.277777777777779</v>
      </c>
    </row>
    <row r="3700" spans="2:5">
      <c r="B3700" s="1115">
        <v>45076</v>
      </c>
      <c r="C3700" s="242">
        <f t="shared" si="115"/>
        <v>5</v>
      </c>
      <c r="D3700" s="242">
        <v>59.2</v>
      </c>
      <c r="E3700" s="845">
        <f t="shared" si="116"/>
        <v>15.111111111111112</v>
      </c>
    </row>
    <row r="3701" spans="2:5">
      <c r="B3701" s="1115">
        <v>45076</v>
      </c>
      <c r="C3701" s="242">
        <f t="shared" si="115"/>
        <v>5</v>
      </c>
      <c r="D3701" s="242">
        <v>59.9</v>
      </c>
      <c r="E3701" s="845">
        <f t="shared" si="116"/>
        <v>15.499999999999998</v>
      </c>
    </row>
    <row r="3702" spans="2:5">
      <c r="B3702" s="1115">
        <v>45076</v>
      </c>
      <c r="C3702" s="242">
        <f t="shared" si="115"/>
        <v>5</v>
      </c>
      <c r="D3702" s="242">
        <v>59.7</v>
      </c>
      <c r="E3702" s="845">
        <f t="shared" si="116"/>
        <v>15.388888888888889</v>
      </c>
    </row>
    <row r="3703" spans="2:5">
      <c r="B3703" s="1115">
        <v>45076</v>
      </c>
      <c r="C3703" s="242">
        <f t="shared" si="115"/>
        <v>5</v>
      </c>
      <c r="D3703" s="242">
        <v>58.1</v>
      </c>
      <c r="E3703" s="845">
        <f t="shared" si="116"/>
        <v>14.5</v>
      </c>
    </row>
    <row r="3704" spans="2:5">
      <c r="B3704" s="1115">
        <v>45076</v>
      </c>
      <c r="C3704" s="242">
        <f t="shared" si="115"/>
        <v>5</v>
      </c>
      <c r="D3704" s="242">
        <v>56.7</v>
      </c>
      <c r="E3704" s="845">
        <f t="shared" si="116"/>
        <v>13.722222222222223</v>
      </c>
    </row>
    <row r="3705" spans="2:5">
      <c r="B3705" s="1115">
        <v>45077</v>
      </c>
      <c r="C3705" s="242">
        <f t="shared" si="115"/>
        <v>5</v>
      </c>
      <c r="D3705" s="242">
        <v>55.8</v>
      </c>
      <c r="E3705" s="845">
        <f t="shared" si="116"/>
        <v>13.22222222222222</v>
      </c>
    </row>
    <row r="3706" spans="2:5">
      <c r="B3706" s="1115">
        <v>45077</v>
      </c>
      <c r="C3706" s="242">
        <f t="shared" si="115"/>
        <v>5</v>
      </c>
      <c r="D3706" s="242">
        <v>54.9</v>
      </c>
      <c r="E3706" s="845">
        <f t="shared" si="116"/>
        <v>12.722222222222221</v>
      </c>
    </row>
    <row r="3707" spans="2:5">
      <c r="B3707" s="1115">
        <v>45077</v>
      </c>
      <c r="C3707" s="242">
        <f t="shared" si="115"/>
        <v>5</v>
      </c>
      <c r="D3707" s="242">
        <v>54.3</v>
      </c>
      <c r="E3707" s="845">
        <f t="shared" si="116"/>
        <v>12.388888888888888</v>
      </c>
    </row>
    <row r="3708" spans="2:5">
      <c r="B3708" s="1115">
        <v>45077</v>
      </c>
      <c r="C3708" s="242">
        <f t="shared" si="115"/>
        <v>5</v>
      </c>
      <c r="D3708" s="242">
        <v>54.1</v>
      </c>
      <c r="E3708" s="845">
        <f t="shared" si="116"/>
        <v>12.277777777777779</v>
      </c>
    </row>
    <row r="3709" spans="2:5">
      <c r="B3709" s="1115">
        <v>45077</v>
      </c>
      <c r="C3709" s="242">
        <f t="shared" si="115"/>
        <v>5</v>
      </c>
      <c r="D3709" s="242">
        <v>54.1</v>
      </c>
      <c r="E3709" s="845">
        <f t="shared" si="116"/>
        <v>12.277777777777779</v>
      </c>
    </row>
    <row r="3710" spans="2:5">
      <c r="B3710" s="1115">
        <v>45077</v>
      </c>
      <c r="C3710" s="242">
        <f t="shared" si="115"/>
        <v>5</v>
      </c>
      <c r="D3710" s="242">
        <v>55.4</v>
      </c>
      <c r="E3710" s="845">
        <f t="shared" si="116"/>
        <v>12.999999999999998</v>
      </c>
    </row>
    <row r="3711" spans="2:5">
      <c r="B3711" s="1115">
        <v>45077</v>
      </c>
      <c r="C3711" s="242">
        <f t="shared" si="115"/>
        <v>5</v>
      </c>
      <c r="D3711" s="242">
        <v>56.8</v>
      </c>
      <c r="E3711" s="845">
        <f t="shared" si="116"/>
        <v>13.777777777777775</v>
      </c>
    </row>
    <row r="3712" spans="2:5">
      <c r="B3712" s="1115">
        <v>45077</v>
      </c>
      <c r="C3712" s="242">
        <f t="shared" si="115"/>
        <v>5</v>
      </c>
      <c r="D3712" s="242">
        <v>58.5</v>
      </c>
      <c r="E3712" s="845">
        <f t="shared" si="116"/>
        <v>14.722222222222221</v>
      </c>
    </row>
    <row r="3713" spans="2:5">
      <c r="B3713" s="1115">
        <v>45077</v>
      </c>
      <c r="C3713" s="242">
        <f t="shared" si="115"/>
        <v>5</v>
      </c>
      <c r="D3713" s="242">
        <v>59.4</v>
      </c>
      <c r="E3713" s="845">
        <f t="shared" si="116"/>
        <v>15.222222222222221</v>
      </c>
    </row>
    <row r="3714" spans="2:5">
      <c r="B3714" s="1115">
        <v>45077</v>
      </c>
      <c r="C3714" s="242">
        <f t="shared" si="115"/>
        <v>5</v>
      </c>
      <c r="D3714" s="242">
        <v>59.9</v>
      </c>
      <c r="E3714" s="845">
        <f t="shared" si="116"/>
        <v>15.499999999999998</v>
      </c>
    </row>
    <row r="3715" spans="2:5">
      <c r="B3715" s="1115">
        <v>45077</v>
      </c>
      <c r="C3715" s="242">
        <f t="shared" si="115"/>
        <v>5</v>
      </c>
      <c r="D3715" s="242">
        <v>58.8</v>
      </c>
      <c r="E3715" s="845">
        <f t="shared" si="116"/>
        <v>14.888888888888888</v>
      </c>
    </row>
    <row r="3716" spans="2:5">
      <c r="B3716" s="1115">
        <v>45077</v>
      </c>
      <c r="C3716" s="242">
        <f t="shared" si="115"/>
        <v>5</v>
      </c>
      <c r="D3716" s="242">
        <v>57.6</v>
      </c>
      <c r="E3716" s="845">
        <f t="shared" si="116"/>
        <v>14.222222222222223</v>
      </c>
    </row>
    <row r="3717" spans="2:5">
      <c r="B3717" s="1115">
        <v>45077</v>
      </c>
      <c r="C3717" s="242">
        <f t="shared" si="115"/>
        <v>5</v>
      </c>
      <c r="D3717" s="242">
        <v>55.2</v>
      </c>
      <c r="E3717" s="845">
        <f t="shared" si="116"/>
        <v>12.888888888888889</v>
      </c>
    </row>
    <row r="3718" spans="2:5">
      <c r="B3718" s="1115">
        <v>45077</v>
      </c>
      <c r="C3718" s="242">
        <f t="shared" si="115"/>
        <v>5</v>
      </c>
      <c r="D3718" s="242">
        <v>53.4</v>
      </c>
      <c r="E3718" s="845">
        <f t="shared" si="116"/>
        <v>11.888888888888888</v>
      </c>
    </row>
    <row r="3719" spans="2:5">
      <c r="B3719" s="1115">
        <v>45077</v>
      </c>
      <c r="C3719" s="242">
        <f t="shared" si="115"/>
        <v>5</v>
      </c>
      <c r="D3719" s="242">
        <v>52.2</v>
      </c>
      <c r="E3719" s="845">
        <f t="shared" si="116"/>
        <v>11.222222222222223</v>
      </c>
    </row>
    <row r="3720" spans="2:5">
      <c r="B3720" s="1115">
        <v>45077</v>
      </c>
      <c r="C3720" s="242">
        <f t="shared" si="115"/>
        <v>5</v>
      </c>
      <c r="D3720" s="242">
        <v>51.1</v>
      </c>
      <c r="E3720" s="845">
        <f t="shared" si="116"/>
        <v>10.611111111111112</v>
      </c>
    </row>
    <row r="3721" spans="2:5">
      <c r="B3721" s="1115">
        <v>45077</v>
      </c>
      <c r="C3721" s="242">
        <f t="shared" si="115"/>
        <v>5</v>
      </c>
      <c r="D3721" s="242">
        <v>52.3</v>
      </c>
      <c r="E3721" s="845">
        <f t="shared" si="116"/>
        <v>11.277777777777777</v>
      </c>
    </row>
    <row r="3722" spans="2:5">
      <c r="B3722" s="1115">
        <v>45077</v>
      </c>
      <c r="C3722" s="242">
        <f t="shared" ref="C3722:C3785" si="117">MONTH(B3722)</f>
        <v>5</v>
      </c>
      <c r="D3722" s="242">
        <v>53.6</v>
      </c>
      <c r="E3722" s="845">
        <f t="shared" ref="E3722:E3785" si="118">CONVERT(D3722,"F","C")</f>
        <v>12</v>
      </c>
    </row>
    <row r="3723" spans="2:5">
      <c r="B3723" s="1115">
        <v>45077</v>
      </c>
      <c r="C3723" s="242">
        <f t="shared" si="117"/>
        <v>5</v>
      </c>
      <c r="D3723" s="242">
        <v>55.6</v>
      </c>
      <c r="E3723" s="845">
        <f t="shared" si="118"/>
        <v>13.111111111111111</v>
      </c>
    </row>
    <row r="3724" spans="2:5">
      <c r="B3724" s="1115">
        <v>45077</v>
      </c>
      <c r="C3724" s="242">
        <f t="shared" si="117"/>
        <v>5</v>
      </c>
      <c r="D3724" s="242">
        <v>58.5</v>
      </c>
      <c r="E3724" s="845">
        <f t="shared" si="118"/>
        <v>14.722222222222221</v>
      </c>
    </row>
    <row r="3725" spans="2:5">
      <c r="B3725" s="1115">
        <v>45077</v>
      </c>
      <c r="C3725" s="242">
        <f t="shared" si="117"/>
        <v>5</v>
      </c>
      <c r="D3725" s="242">
        <v>60.1</v>
      </c>
      <c r="E3725" s="845">
        <f t="shared" si="118"/>
        <v>15.611111111111111</v>
      </c>
    </row>
    <row r="3726" spans="2:5">
      <c r="B3726" s="1115">
        <v>45077</v>
      </c>
      <c r="C3726" s="242">
        <f t="shared" si="117"/>
        <v>5</v>
      </c>
      <c r="D3726" s="242">
        <v>60.6</v>
      </c>
      <c r="E3726" s="845">
        <f t="shared" si="118"/>
        <v>15.888888888888889</v>
      </c>
    </row>
    <row r="3727" spans="2:5">
      <c r="B3727" s="1115">
        <v>45077</v>
      </c>
      <c r="C3727" s="242">
        <f t="shared" si="117"/>
        <v>5</v>
      </c>
      <c r="D3727" s="242">
        <v>59.4</v>
      </c>
      <c r="E3727" s="845">
        <f t="shared" si="118"/>
        <v>15.222222222222221</v>
      </c>
    </row>
    <row r="3728" spans="2:5">
      <c r="B3728" s="1115">
        <v>45077</v>
      </c>
      <c r="C3728" s="242">
        <f t="shared" si="117"/>
        <v>5</v>
      </c>
      <c r="D3728" s="242">
        <v>57.4</v>
      </c>
      <c r="E3728" s="845">
        <f t="shared" si="118"/>
        <v>14.111111111111111</v>
      </c>
    </row>
    <row r="3729" spans="2:5">
      <c r="B3729" s="1115">
        <v>45078</v>
      </c>
      <c r="C3729" s="242">
        <f t="shared" si="117"/>
        <v>6</v>
      </c>
      <c r="D3729" s="242">
        <v>54.1</v>
      </c>
      <c r="E3729" s="845">
        <f t="shared" si="118"/>
        <v>12.277777777777779</v>
      </c>
    </row>
    <row r="3730" spans="2:5">
      <c r="B3730" s="1115">
        <v>45078</v>
      </c>
      <c r="C3730" s="242">
        <f t="shared" si="117"/>
        <v>6</v>
      </c>
      <c r="D3730" s="242">
        <v>52.5</v>
      </c>
      <c r="E3730" s="845">
        <f t="shared" si="118"/>
        <v>11.388888888888889</v>
      </c>
    </row>
    <row r="3731" spans="2:5">
      <c r="B3731" s="1115">
        <v>45078</v>
      </c>
      <c r="C3731" s="242">
        <f t="shared" si="117"/>
        <v>6</v>
      </c>
      <c r="D3731" s="242">
        <v>51.3</v>
      </c>
      <c r="E3731" s="845">
        <f t="shared" si="118"/>
        <v>10.72222222222222</v>
      </c>
    </row>
    <row r="3732" spans="2:5">
      <c r="B3732" s="1115">
        <v>45078</v>
      </c>
      <c r="C3732" s="242">
        <f t="shared" si="117"/>
        <v>6</v>
      </c>
      <c r="D3732" s="242" t="s">
        <v>1844</v>
      </c>
      <c r="E3732" s="845">
        <f t="shared" si="118"/>
        <v>10</v>
      </c>
    </row>
    <row r="3733" spans="2:5">
      <c r="B3733" s="1115">
        <v>45078</v>
      </c>
      <c r="C3733" s="242">
        <f t="shared" si="117"/>
        <v>6</v>
      </c>
      <c r="D3733" s="242">
        <v>51.3</v>
      </c>
      <c r="E3733" s="845">
        <f t="shared" si="118"/>
        <v>10.72222222222222</v>
      </c>
    </row>
    <row r="3734" spans="2:5">
      <c r="B3734" s="1115">
        <v>45078</v>
      </c>
      <c r="C3734" s="242">
        <f t="shared" si="117"/>
        <v>6</v>
      </c>
      <c r="D3734" s="242">
        <v>51.1</v>
      </c>
      <c r="E3734" s="845">
        <f t="shared" si="118"/>
        <v>10.611111111111112</v>
      </c>
    </row>
    <row r="3735" spans="2:5">
      <c r="B3735" s="1115">
        <v>45078</v>
      </c>
      <c r="C3735" s="242">
        <f t="shared" si="117"/>
        <v>6</v>
      </c>
      <c r="D3735" s="242">
        <v>52.9</v>
      </c>
      <c r="E3735" s="845">
        <f t="shared" si="118"/>
        <v>11.611111111111111</v>
      </c>
    </row>
    <row r="3736" spans="2:5">
      <c r="B3736" s="1115">
        <v>45078</v>
      </c>
      <c r="C3736" s="242">
        <f t="shared" si="117"/>
        <v>6</v>
      </c>
      <c r="D3736" s="242">
        <v>55.9</v>
      </c>
      <c r="E3736" s="845">
        <f t="shared" si="118"/>
        <v>13.277777777777777</v>
      </c>
    </row>
    <row r="3737" spans="2:5">
      <c r="B3737" s="1115">
        <v>45078</v>
      </c>
      <c r="C3737" s="242">
        <f t="shared" si="117"/>
        <v>6</v>
      </c>
      <c r="D3737" s="242">
        <v>58.3</v>
      </c>
      <c r="E3737" s="845">
        <f t="shared" si="118"/>
        <v>14.611111111111109</v>
      </c>
    </row>
    <row r="3738" spans="2:5">
      <c r="B3738" s="1115">
        <v>45078</v>
      </c>
      <c r="C3738" s="242">
        <f t="shared" si="117"/>
        <v>6</v>
      </c>
      <c r="D3738" s="242">
        <v>59.5</v>
      </c>
      <c r="E3738" s="845">
        <f t="shared" si="118"/>
        <v>15.277777777777777</v>
      </c>
    </row>
    <row r="3739" spans="2:5">
      <c r="B3739" s="1115">
        <v>45078</v>
      </c>
      <c r="C3739" s="242">
        <f t="shared" si="117"/>
        <v>6</v>
      </c>
      <c r="D3739" s="242">
        <v>59.9</v>
      </c>
      <c r="E3739" s="845">
        <f t="shared" si="118"/>
        <v>15.499999999999998</v>
      </c>
    </row>
    <row r="3740" spans="2:5">
      <c r="B3740" s="1115">
        <v>45078</v>
      </c>
      <c r="C3740" s="242">
        <f t="shared" si="117"/>
        <v>6</v>
      </c>
      <c r="D3740" s="242" t="s">
        <v>1849</v>
      </c>
      <c r="E3740" s="845">
        <f t="shared" si="118"/>
        <v>15</v>
      </c>
    </row>
    <row r="3741" spans="2:5">
      <c r="B3741" s="1115">
        <v>45078</v>
      </c>
      <c r="C3741" s="242">
        <f t="shared" si="117"/>
        <v>6</v>
      </c>
      <c r="D3741" s="242">
        <v>55.8</v>
      </c>
      <c r="E3741" s="845">
        <f t="shared" si="118"/>
        <v>13.22222222222222</v>
      </c>
    </row>
    <row r="3742" spans="2:5">
      <c r="B3742" s="1115">
        <v>45078</v>
      </c>
      <c r="C3742" s="242">
        <f t="shared" si="117"/>
        <v>6</v>
      </c>
      <c r="D3742" s="242">
        <v>53.1</v>
      </c>
      <c r="E3742" s="845">
        <f t="shared" si="118"/>
        <v>11.722222222222223</v>
      </c>
    </row>
    <row r="3743" spans="2:5">
      <c r="B3743" s="1115">
        <v>45078</v>
      </c>
      <c r="C3743" s="242">
        <f t="shared" si="117"/>
        <v>6</v>
      </c>
      <c r="D3743" s="242">
        <v>51.6</v>
      </c>
      <c r="E3743" s="845">
        <f t="shared" si="118"/>
        <v>10.888888888888889</v>
      </c>
    </row>
    <row r="3744" spans="2:5">
      <c r="B3744" s="1115">
        <v>45078</v>
      </c>
      <c r="C3744" s="242">
        <f t="shared" si="117"/>
        <v>6</v>
      </c>
      <c r="D3744" s="242">
        <v>50.2</v>
      </c>
      <c r="E3744" s="845">
        <f t="shared" si="118"/>
        <v>10.111111111111112</v>
      </c>
    </row>
    <row r="3745" spans="2:5">
      <c r="B3745" s="1115">
        <v>45078</v>
      </c>
      <c r="C3745" s="242">
        <f t="shared" si="117"/>
        <v>6</v>
      </c>
      <c r="D3745" s="242">
        <v>49.3</v>
      </c>
      <c r="E3745" s="845">
        <f t="shared" si="118"/>
        <v>9.6111111111111089</v>
      </c>
    </row>
    <row r="3746" spans="2:5">
      <c r="B3746" s="1115">
        <v>45078</v>
      </c>
      <c r="C3746" s="242">
        <f t="shared" si="117"/>
        <v>6</v>
      </c>
      <c r="D3746" s="242">
        <v>50.4</v>
      </c>
      <c r="E3746" s="845">
        <f t="shared" si="118"/>
        <v>10.222222222222221</v>
      </c>
    </row>
    <row r="3747" spans="2:5">
      <c r="B3747" s="1115">
        <v>45078</v>
      </c>
      <c r="C3747" s="242">
        <f t="shared" si="117"/>
        <v>6</v>
      </c>
      <c r="D3747" s="242">
        <v>52.2</v>
      </c>
      <c r="E3747" s="845">
        <f t="shared" si="118"/>
        <v>11.222222222222223</v>
      </c>
    </row>
    <row r="3748" spans="2:5">
      <c r="B3748" s="1115">
        <v>45078</v>
      </c>
      <c r="C3748" s="242">
        <f t="shared" si="117"/>
        <v>6</v>
      </c>
      <c r="D3748" s="242">
        <v>54.5</v>
      </c>
      <c r="E3748" s="845">
        <f t="shared" si="118"/>
        <v>12.5</v>
      </c>
    </row>
    <row r="3749" spans="2:5">
      <c r="B3749" s="1115">
        <v>45078</v>
      </c>
      <c r="C3749" s="242">
        <f t="shared" si="117"/>
        <v>6</v>
      </c>
      <c r="D3749" s="242">
        <v>58.1</v>
      </c>
      <c r="E3749" s="845">
        <f t="shared" si="118"/>
        <v>14.5</v>
      </c>
    </row>
    <row r="3750" spans="2:5">
      <c r="B3750" s="1115">
        <v>45078</v>
      </c>
      <c r="C3750" s="242">
        <f t="shared" si="117"/>
        <v>6</v>
      </c>
      <c r="D3750" s="242">
        <v>59.7</v>
      </c>
      <c r="E3750" s="845">
        <f t="shared" si="118"/>
        <v>15.388888888888889</v>
      </c>
    </row>
    <row r="3751" spans="2:5">
      <c r="B3751" s="1115">
        <v>45078</v>
      </c>
      <c r="C3751" s="242">
        <f t="shared" si="117"/>
        <v>6</v>
      </c>
      <c r="D3751" s="242">
        <v>60.3</v>
      </c>
      <c r="E3751" s="845">
        <f t="shared" si="118"/>
        <v>15.72222222222222</v>
      </c>
    </row>
    <row r="3752" spans="2:5">
      <c r="B3752" s="1115">
        <v>45078</v>
      </c>
      <c r="C3752" s="242">
        <f t="shared" si="117"/>
        <v>6</v>
      </c>
      <c r="D3752" s="242">
        <v>58.8</v>
      </c>
      <c r="E3752" s="845">
        <f t="shared" si="118"/>
        <v>14.888888888888888</v>
      </c>
    </row>
    <row r="3753" spans="2:5">
      <c r="B3753" s="1115">
        <v>45079</v>
      </c>
      <c r="C3753" s="242">
        <f t="shared" si="117"/>
        <v>6</v>
      </c>
      <c r="D3753" s="242" t="s">
        <v>1847</v>
      </c>
      <c r="E3753" s="845">
        <f t="shared" si="118"/>
        <v>12.777777777777777</v>
      </c>
    </row>
    <row r="3754" spans="2:5">
      <c r="B3754" s="1115">
        <v>45079</v>
      </c>
      <c r="C3754" s="242">
        <f t="shared" si="117"/>
        <v>6</v>
      </c>
      <c r="D3754" s="242">
        <v>53.1</v>
      </c>
      <c r="E3754" s="845">
        <f t="shared" si="118"/>
        <v>11.722222222222223</v>
      </c>
    </row>
    <row r="3755" spans="2:5">
      <c r="B3755" s="1115">
        <v>45079</v>
      </c>
      <c r="C3755" s="242">
        <f t="shared" si="117"/>
        <v>6</v>
      </c>
      <c r="D3755" s="242">
        <v>50.4</v>
      </c>
      <c r="E3755" s="845">
        <f t="shared" si="118"/>
        <v>10.222222222222221</v>
      </c>
    </row>
    <row r="3756" spans="2:5">
      <c r="B3756" s="1115">
        <v>45079</v>
      </c>
      <c r="C3756" s="242">
        <f t="shared" si="117"/>
        <v>6</v>
      </c>
      <c r="D3756" s="242">
        <v>49.5</v>
      </c>
      <c r="E3756" s="845">
        <f t="shared" si="118"/>
        <v>9.7222222222222214</v>
      </c>
    </row>
    <row r="3757" spans="2:5">
      <c r="B3757" s="1115">
        <v>45079</v>
      </c>
      <c r="C3757" s="242">
        <f t="shared" si="117"/>
        <v>6</v>
      </c>
      <c r="D3757" s="242">
        <v>49.5</v>
      </c>
      <c r="E3757" s="845">
        <f t="shared" si="118"/>
        <v>9.7222222222222214</v>
      </c>
    </row>
    <row r="3758" spans="2:5">
      <c r="B3758" s="1115">
        <v>45079</v>
      </c>
      <c r="C3758" s="242">
        <f t="shared" si="117"/>
        <v>6</v>
      </c>
      <c r="D3758" s="242">
        <v>49.8</v>
      </c>
      <c r="E3758" s="845">
        <f t="shared" si="118"/>
        <v>9.8888888888888875</v>
      </c>
    </row>
    <row r="3759" spans="2:5">
      <c r="B3759" s="1115">
        <v>45079</v>
      </c>
      <c r="C3759" s="242">
        <f t="shared" si="117"/>
        <v>6</v>
      </c>
      <c r="D3759" s="242">
        <v>51.1</v>
      </c>
      <c r="E3759" s="845">
        <f t="shared" si="118"/>
        <v>10.611111111111112</v>
      </c>
    </row>
    <row r="3760" spans="2:5">
      <c r="B3760" s="1115">
        <v>45079</v>
      </c>
      <c r="C3760" s="242">
        <f t="shared" si="117"/>
        <v>6</v>
      </c>
      <c r="D3760" s="242">
        <v>53.2</v>
      </c>
      <c r="E3760" s="845">
        <f t="shared" si="118"/>
        <v>11.777777777777779</v>
      </c>
    </row>
    <row r="3761" spans="2:5">
      <c r="B3761" s="1115">
        <v>45079</v>
      </c>
      <c r="C3761" s="242">
        <f t="shared" si="117"/>
        <v>6</v>
      </c>
      <c r="D3761" s="242">
        <v>56.3</v>
      </c>
      <c r="E3761" s="845">
        <f t="shared" si="118"/>
        <v>13.499999999999998</v>
      </c>
    </row>
    <row r="3762" spans="2:5">
      <c r="B3762" s="1115">
        <v>45079</v>
      </c>
      <c r="C3762" s="242">
        <f t="shared" si="117"/>
        <v>6</v>
      </c>
      <c r="D3762" s="242">
        <v>58.3</v>
      </c>
      <c r="E3762" s="845">
        <f t="shared" si="118"/>
        <v>14.611111111111109</v>
      </c>
    </row>
    <row r="3763" spans="2:5">
      <c r="B3763" s="1115">
        <v>45079</v>
      </c>
      <c r="C3763" s="242">
        <f t="shared" si="117"/>
        <v>6</v>
      </c>
      <c r="D3763" s="242">
        <v>59.7</v>
      </c>
      <c r="E3763" s="845">
        <f t="shared" si="118"/>
        <v>15.388888888888889</v>
      </c>
    </row>
    <row r="3764" spans="2:5">
      <c r="B3764" s="1115">
        <v>45079</v>
      </c>
      <c r="C3764" s="242">
        <f t="shared" si="117"/>
        <v>6</v>
      </c>
      <c r="D3764" s="242">
        <v>60.3</v>
      </c>
      <c r="E3764" s="845">
        <f t="shared" si="118"/>
        <v>15.72222222222222</v>
      </c>
    </row>
    <row r="3765" spans="2:5">
      <c r="B3765" s="1115">
        <v>45079</v>
      </c>
      <c r="C3765" s="242">
        <f t="shared" si="117"/>
        <v>6</v>
      </c>
      <c r="D3765" s="242" t="s">
        <v>1849</v>
      </c>
      <c r="E3765" s="845">
        <f t="shared" si="118"/>
        <v>15</v>
      </c>
    </row>
    <row r="3766" spans="2:5">
      <c r="B3766" s="1115">
        <v>45079</v>
      </c>
      <c r="C3766" s="242">
        <f t="shared" si="117"/>
        <v>6</v>
      </c>
      <c r="D3766" s="242">
        <v>55.8</v>
      </c>
      <c r="E3766" s="845">
        <f t="shared" si="118"/>
        <v>13.22222222222222</v>
      </c>
    </row>
    <row r="3767" spans="2:5">
      <c r="B3767" s="1115">
        <v>45079</v>
      </c>
      <c r="C3767" s="242">
        <f t="shared" si="117"/>
        <v>6</v>
      </c>
      <c r="D3767" s="242">
        <v>53.6</v>
      </c>
      <c r="E3767" s="845">
        <f t="shared" si="118"/>
        <v>12</v>
      </c>
    </row>
    <row r="3768" spans="2:5">
      <c r="B3768" s="1115">
        <v>45079</v>
      </c>
      <c r="C3768" s="242">
        <f t="shared" si="117"/>
        <v>6</v>
      </c>
      <c r="D3768" s="242">
        <v>51.1</v>
      </c>
      <c r="E3768" s="845">
        <f t="shared" si="118"/>
        <v>10.611111111111112</v>
      </c>
    </row>
    <row r="3769" spans="2:5">
      <c r="B3769" s="1115">
        <v>45079</v>
      </c>
      <c r="C3769" s="242">
        <f t="shared" si="117"/>
        <v>6</v>
      </c>
      <c r="D3769" s="242">
        <v>50.5</v>
      </c>
      <c r="E3769" s="845">
        <f t="shared" si="118"/>
        <v>10.277777777777777</v>
      </c>
    </row>
    <row r="3770" spans="2:5">
      <c r="B3770" s="1115">
        <v>45079</v>
      </c>
      <c r="C3770" s="242">
        <f t="shared" si="117"/>
        <v>6</v>
      </c>
      <c r="D3770" s="242">
        <v>49.8</v>
      </c>
      <c r="E3770" s="845">
        <f t="shared" si="118"/>
        <v>9.8888888888888875</v>
      </c>
    </row>
    <row r="3771" spans="2:5">
      <c r="B3771" s="1115">
        <v>45079</v>
      </c>
      <c r="C3771" s="242">
        <f t="shared" si="117"/>
        <v>6</v>
      </c>
      <c r="D3771" s="242">
        <v>50.7</v>
      </c>
      <c r="E3771" s="845">
        <f t="shared" si="118"/>
        <v>10.388888888888891</v>
      </c>
    </row>
    <row r="3772" spans="2:5">
      <c r="B3772" s="1115">
        <v>45079</v>
      </c>
      <c r="C3772" s="242">
        <f t="shared" si="117"/>
        <v>6</v>
      </c>
      <c r="D3772" s="242">
        <v>52.9</v>
      </c>
      <c r="E3772" s="845">
        <f t="shared" si="118"/>
        <v>11.611111111111111</v>
      </c>
    </row>
    <row r="3773" spans="2:5">
      <c r="B3773" s="1115">
        <v>45079</v>
      </c>
      <c r="C3773" s="242">
        <f t="shared" si="117"/>
        <v>6</v>
      </c>
      <c r="D3773" s="242">
        <v>55.8</v>
      </c>
      <c r="E3773" s="845">
        <f t="shared" si="118"/>
        <v>13.22222222222222</v>
      </c>
    </row>
    <row r="3774" spans="2:5">
      <c r="B3774" s="1115">
        <v>45079</v>
      </c>
      <c r="C3774" s="242">
        <f t="shared" si="117"/>
        <v>6</v>
      </c>
      <c r="D3774" s="242">
        <v>58.6</v>
      </c>
      <c r="E3774" s="845">
        <f t="shared" si="118"/>
        <v>14.777777777777779</v>
      </c>
    </row>
    <row r="3775" spans="2:5">
      <c r="B3775" s="1115">
        <v>45079</v>
      </c>
      <c r="C3775" s="242">
        <f t="shared" si="117"/>
        <v>6</v>
      </c>
      <c r="D3775" s="242">
        <v>59.9</v>
      </c>
      <c r="E3775" s="845">
        <f t="shared" si="118"/>
        <v>15.499999999999998</v>
      </c>
    </row>
    <row r="3776" spans="2:5">
      <c r="B3776" s="1115">
        <v>45079</v>
      </c>
      <c r="C3776" s="242">
        <f t="shared" si="117"/>
        <v>6</v>
      </c>
      <c r="D3776" s="242">
        <v>60.3</v>
      </c>
      <c r="E3776" s="845">
        <f t="shared" si="118"/>
        <v>15.72222222222222</v>
      </c>
    </row>
    <row r="3777" spans="2:5">
      <c r="B3777" s="1115">
        <v>45080</v>
      </c>
      <c r="C3777" s="242">
        <f t="shared" si="117"/>
        <v>6</v>
      </c>
      <c r="D3777" s="242">
        <v>55.9</v>
      </c>
      <c r="E3777" s="845">
        <f t="shared" si="118"/>
        <v>13.277777777777777</v>
      </c>
    </row>
    <row r="3778" spans="2:5">
      <c r="B3778" s="1115">
        <v>45080</v>
      </c>
      <c r="C3778" s="242">
        <f t="shared" si="117"/>
        <v>6</v>
      </c>
      <c r="D3778" s="242">
        <v>54.5</v>
      </c>
      <c r="E3778" s="845">
        <f t="shared" si="118"/>
        <v>12.5</v>
      </c>
    </row>
    <row r="3779" spans="2:5">
      <c r="B3779" s="1115">
        <v>45080</v>
      </c>
      <c r="C3779" s="242">
        <f t="shared" si="117"/>
        <v>6</v>
      </c>
      <c r="D3779" s="242">
        <v>51.6</v>
      </c>
      <c r="E3779" s="845">
        <f t="shared" si="118"/>
        <v>10.888888888888889</v>
      </c>
    </row>
    <row r="3780" spans="2:5">
      <c r="B3780" s="1115">
        <v>45080</v>
      </c>
      <c r="C3780" s="242">
        <f t="shared" si="117"/>
        <v>6</v>
      </c>
      <c r="D3780" s="242">
        <v>50.9</v>
      </c>
      <c r="E3780" s="845">
        <f t="shared" si="118"/>
        <v>10.499999999999998</v>
      </c>
    </row>
    <row r="3781" spans="2:5">
      <c r="B3781" s="1115">
        <v>45080</v>
      </c>
      <c r="C3781" s="242">
        <f t="shared" si="117"/>
        <v>6</v>
      </c>
      <c r="D3781" s="242" t="s">
        <v>1844</v>
      </c>
      <c r="E3781" s="845">
        <f t="shared" si="118"/>
        <v>10</v>
      </c>
    </row>
    <row r="3782" spans="2:5">
      <c r="B3782" s="1115">
        <v>45080</v>
      </c>
      <c r="C3782" s="242">
        <f t="shared" si="117"/>
        <v>6</v>
      </c>
      <c r="D3782" s="242">
        <v>49.8</v>
      </c>
      <c r="E3782" s="845">
        <f t="shared" si="118"/>
        <v>9.8888888888888875</v>
      </c>
    </row>
    <row r="3783" spans="2:5">
      <c r="B3783" s="1115">
        <v>45080</v>
      </c>
      <c r="C3783" s="242">
        <f t="shared" si="117"/>
        <v>6</v>
      </c>
      <c r="D3783" s="242">
        <v>50.2</v>
      </c>
      <c r="E3783" s="845">
        <f t="shared" si="118"/>
        <v>10.111111111111112</v>
      </c>
    </row>
    <row r="3784" spans="2:5">
      <c r="B3784" s="1115">
        <v>45080</v>
      </c>
      <c r="C3784" s="242">
        <f t="shared" si="117"/>
        <v>6</v>
      </c>
      <c r="D3784" s="242">
        <v>51.8</v>
      </c>
      <c r="E3784" s="845">
        <f t="shared" si="118"/>
        <v>10.999999999999998</v>
      </c>
    </row>
    <row r="3785" spans="2:5">
      <c r="B3785" s="1115">
        <v>45080</v>
      </c>
      <c r="C3785" s="242">
        <f t="shared" si="117"/>
        <v>6</v>
      </c>
      <c r="D3785" s="242">
        <v>54.3</v>
      </c>
      <c r="E3785" s="845">
        <f t="shared" si="118"/>
        <v>12.388888888888888</v>
      </c>
    </row>
    <row r="3786" spans="2:5">
      <c r="B3786" s="1115">
        <v>45080</v>
      </c>
      <c r="C3786" s="242">
        <f t="shared" ref="C3786:C3849" si="119">MONTH(B3786)</f>
        <v>6</v>
      </c>
      <c r="D3786" s="242">
        <v>56.7</v>
      </c>
      <c r="E3786" s="845">
        <f t="shared" ref="E3786:E3849" si="120">CONVERT(D3786,"F","C")</f>
        <v>13.722222222222223</v>
      </c>
    </row>
    <row r="3787" spans="2:5">
      <c r="B3787" s="1115">
        <v>45080</v>
      </c>
      <c r="C3787" s="242">
        <f t="shared" si="119"/>
        <v>6</v>
      </c>
      <c r="D3787" s="242">
        <v>58.5</v>
      </c>
      <c r="E3787" s="845">
        <f t="shared" si="120"/>
        <v>14.722222222222221</v>
      </c>
    </row>
    <row r="3788" spans="2:5">
      <c r="B3788" s="1115">
        <v>45080</v>
      </c>
      <c r="C3788" s="242">
        <f t="shared" si="119"/>
        <v>6</v>
      </c>
      <c r="D3788" s="242">
        <v>59.9</v>
      </c>
      <c r="E3788" s="845">
        <f t="shared" si="120"/>
        <v>15.499999999999998</v>
      </c>
    </row>
    <row r="3789" spans="2:5">
      <c r="B3789" s="1115">
        <v>45080</v>
      </c>
      <c r="C3789" s="242">
        <f t="shared" si="119"/>
        <v>6</v>
      </c>
      <c r="D3789" s="242">
        <v>60.1</v>
      </c>
      <c r="E3789" s="845">
        <f t="shared" si="120"/>
        <v>15.611111111111111</v>
      </c>
    </row>
    <row r="3790" spans="2:5">
      <c r="B3790" s="1115">
        <v>45080</v>
      </c>
      <c r="C3790" s="242">
        <f t="shared" si="119"/>
        <v>6</v>
      </c>
      <c r="D3790" s="242">
        <v>56.7</v>
      </c>
      <c r="E3790" s="845">
        <f t="shared" si="120"/>
        <v>13.722222222222223</v>
      </c>
    </row>
    <row r="3791" spans="2:5">
      <c r="B3791" s="1115">
        <v>45080</v>
      </c>
      <c r="C3791" s="242">
        <f t="shared" si="119"/>
        <v>6</v>
      </c>
      <c r="D3791" s="242">
        <v>55.2</v>
      </c>
      <c r="E3791" s="845">
        <f t="shared" si="120"/>
        <v>12.888888888888889</v>
      </c>
    </row>
    <row r="3792" spans="2:5">
      <c r="B3792" s="1115">
        <v>45080</v>
      </c>
      <c r="C3792" s="242">
        <f t="shared" si="119"/>
        <v>6</v>
      </c>
      <c r="D3792" s="242">
        <v>54.3</v>
      </c>
      <c r="E3792" s="845">
        <f t="shared" si="120"/>
        <v>12.388888888888888</v>
      </c>
    </row>
    <row r="3793" spans="2:5">
      <c r="B3793" s="1115">
        <v>45080</v>
      </c>
      <c r="C3793" s="242">
        <f t="shared" si="119"/>
        <v>6</v>
      </c>
      <c r="D3793" s="242">
        <v>54.7</v>
      </c>
      <c r="E3793" s="845">
        <f t="shared" si="120"/>
        <v>12.611111111111112</v>
      </c>
    </row>
    <row r="3794" spans="2:5">
      <c r="B3794" s="1115">
        <v>45080</v>
      </c>
      <c r="C3794" s="242">
        <f t="shared" si="119"/>
        <v>6</v>
      </c>
      <c r="D3794" s="242">
        <v>54.9</v>
      </c>
      <c r="E3794" s="845">
        <f t="shared" si="120"/>
        <v>12.722222222222221</v>
      </c>
    </row>
    <row r="3795" spans="2:5">
      <c r="B3795" s="1115">
        <v>45080</v>
      </c>
      <c r="C3795" s="242">
        <f t="shared" si="119"/>
        <v>6</v>
      </c>
      <c r="D3795" s="242">
        <v>54.9</v>
      </c>
      <c r="E3795" s="845">
        <f t="shared" si="120"/>
        <v>12.722222222222221</v>
      </c>
    </row>
    <row r="3796" spans="2:5">
      <c r="B3796" s="1115">
        <v>45080</v>
      </c>
      <c r="C3796" s="242">
        <f t="shared" si="119"/>
        <v>6</v>
      </c>
      <c r="D3796" s="242">
        <v>54.9</v>
      </c>
      <c r="E3796" s="845">
        <f t="shared" si="120"/>
        <v>12.722222222222221</v>
      </c>
    </row>
    <row r="3797" spans="2:5">
      <c r="B3797" s="1115">
        <v>45080</v>
      </c>
      <c r="C3797" s="242">
        <f t="shared" si="119"/>
        <v>6</v>
      </c>
      <c r="D3797" s="242">
        <v>55.2</v>
      </c>
      <c r="E3797" s="845">
        <f t="shared" si="120"/>
        <v>12.888888888888889</v>
      </c>
    </row>
    <row r="3798" spans="2:5">
      <c r="B3798" s="1115">
        <v>45080</v>
      </c>
      <c r="C3798" s="242">
        <f t="shared" si="119"/>
        <v>6</v>
      </c>
      <c r="D3798" s="242">
        <v>56.5</v>
      </c>
      <c r="E3798" s="845">
        <f t="shared" si="120"/>
        <v>13.611111111111111</v>
      </c>
    </row>
    <row r="3799" spans="2:5">
      <c r="B3799" s="1115">
        <v>45080</v>
      </c>
      <c r="C3799" s="242">
        <f t="shared" si="119"/>
        <v>6</v>
      </c>
      <c r="D3799" s="242">
        <v>57.7</v>
      </c>
      <c r="E3799" s="845">
        <f t="shared" si="120"/>
        <v>14.277777777777779</v>
      </c>
    </row>
    <row r="3800" spans="2:5">
      <c r="B3800" s="1115">
        <v>45080</v>
      </c>
      <c r="C3800" s="242">
        <f t="shared" si="119"/>
        <v>6</v>
      </c>
      <c r="D3800" s="242">
        <v>58.6</v>
      </c>
      <c r="E3800" s="845">
        <f t="shared" si="120"/>
        <v>14.777777777777779</v>
      </c>
    </row>
    <row r="3801" spans="2:5">
      <c r="B3801" s="1115">
        <v>45081</v>
      </c>
      <c r="C3801" s="242">
        <f t="shared" si="119"/>
        <v>6</v>
      </c>
      <c r="D3801" s="242">
        <v>58.6</v>
      </c>
      <c r="E3801" s="845">
        <f t="shared" si="120"/>
        <v>14.777777777777779</v>
      </c>
    </row>
    <row r="3802" spans="2:5">
      <c r="B3802" s="1115">
        <v>45081</v>
      </c>
      <c r="C3802" s="242">
        <f t="shared" si="119"/>
        <v>6</v>
      </c>
      <c r="D3802" s="242">
        <v>56.5</v>
      </c>
      <c r="E3802" s="845">
        <f t="shared" si="120"/>
        <v>13.611111111111111</v>
      </c>
    </row>
    <row r="3803" spans="2:5">
      <c r="B3803" s="1115">
        <v>45081</v>
      </c>
      <c r="C3803" s="242">
        <f t="shared" si="119"/>
        <v>6</v>
      </c>
      <c r="D3803" s="242">
        <v>55.6</v>
      </c>
      <c r="E3803" s="845">
        <f t="shared" si="120"/>
        <v>13.111111111111111</v>
      </c>
    </row>
    <row r="3804" spans="2:5">
      <c r="B3804" s="1115">
        <v>45081</v>
      </c>
      <c r="C3804" s="242">
        <f t="shared" si="119"/>
        <v>6</v>
      </c>
      <c r="D3804" s="242">
        <v>54.9</v>
      </c>
      <c r="E3804" s="845">
        <f t="shared" si="120"/>
        <v>12.722222222222221</v>
      </c>
    </row>
    <row r="3805" spans="2:5">
      <c r="B3805" s="1115">
        <v>45081</v>
      </c>
      <c r="C3805" s="242">
        <f t="shared" si="119"/>
        <v>6</v>
      </c>
      <c r="D3805" s="242">
        <v>54.5</v>
      </c>
      <c r="E3805" s="845">
        <f t="shared" si="120"/>
        <v>12.5</v>
      </c>
    </row>
    <row r="3806" spans="2:5">
      <c r="B3806" s="1115">
        <v>45081</v>
      </c>
      <c r="C3806" s="242">
        <f t="shared" si="119"/>
        <v>6</v>
      </c>
      <c r="D3806" s="242">
        <v>54.3</v>
      </c>
      <c r="E3806" s="845">
        <f t="shared" si="120"/>
        <v>12.388888888888888</v>
      </c>
    </row>
    <row r="3807" spans="2:5">
      <c r="B3807" s="1115">
        <v>45081</v>
      </c>
      <c r="C3807" s="242">
        <f t="shared" si="119"/>
        <v>6</v>
      </c>
      <c r="D3807" s="242">
        <v>54.1</v>
      </c>
      <c r="E3807" s="845">
        <f t="shared" si="120"/>
        <v>12.277777777777779</v>
      </c>
    </row>
    <row r="3808" spans="2:5">
      <c r="B3808" s="1115">
        <v>45081</v>
      </c>
      <c r="C3808" s="242">
        <f t="shared" si="119"/>
        <v>6</v>
      </c>
      <c r="D3808" s="242">
        <v>54.3</v>
      </c>
      <c r="E3808" s="845">
        <f t="shared" si="120"/>
        <v>12.388888888888888</v>
      </c>
    </row>
    <row r="3809" spans="2:5">
      <c r="B3809" s="1115">
        <v>45081</v>
      </c>
      <c r="C3809" s="242">
        <f t="shared" si="119"/>
        <v>6</v>
      </c>
      <c r="D3809" s="242" t="s">
        <v>1847</v>
      </c>
      <c r="E3809" s="845">
        <f t="shared" si="120"/>
        <v>12.777777777777777</v>
      </c>
    </row>
    <row r="3810" spans="2:5">
      <c r="B3810" s="1115">
        <v>45081</v>
      </c>
      <c r="C3810" s="242">
        <f t="shared" si="119"/>
        <v>6</v>
      </c>
      <c r="D3810" s="242">
        <v>56.3</v>
      </c>
      <c r="E3810" s="845">
        <f t="shared" si="120"/>
        <v>13.499999999999998</v>
      </c>
    </row>
    <row r="3811" spans="2:5">
      <c r="B3811" s="1115">
        <v>45081</v>
      </c>
      <c r="C3811" s="242">
        <f t="shared" si="119"/>
        <v>6</v>
      </c>
      <c r="D3811" s="242">
        <v>57.2</v>
      </c>
      <c r="E3811" s="845">
        <f t="shared" si="120"/>
        <v>14.000000000000002</v>
      </c>
    </row>
    <row r="3812" spans="2:5">
      <c r="B3812" s="1115">
        <v>45081</v>
      </c>
      <c r="C3812" s="242">
        <f t="shared" si="119"/>
        <v>6</v>
      </c>
      <c r="D3812" s="242">
        <v>58.1</v>
      </c>
      <c r="E3812" s="845">
        <f t="shared" si="120"/>
        <v>14.5</v>
      </c>
    </row>
    <row r="3813" spans="2:5">
      <c r="B3813" s="1115">
        <v>45081</v>
      </c>
      <c r="C3813" s="242">
        <f t="shared" si="119"/>
        <v>6</v>
      </c>
      <c r="D3813" s="242">
        <v>58.8</v>
      </c>
      <c r="E3813" s="845">
        <f t="shared" si="120"/>
        <v>14.888888888888888</v>
      </c>
    </row>
    <row r="3814" spans="2:5">
      <c r="B3814" s="1115">
        <v>45081</v>
      </c>
      <c r="C3814" s="242">
        <f t="shared" si="119"/>
        <v>6</v>
      </c>
      <c r="D3814" s="242">
        <v>58.8</v>
      </c>
      <c r="E3814" s="845">
        <f t="shared" si="120"/>
        <v>14.888888888888888</v>
      </c>
    </row>
    <row r="3815" spans="2:5">
      <c r="B3815" s="1115">
        <v>45081</v>
      </c>
      <c r="C3815" s="242">
        <f t="shared" si="119"/>
        <v>6</v>
      </c>
      <c r="D3815" s="242">
        <v>56.8</v>
      </c>
      <c r="E3815" s="845">
        <f t="shared" si="120"/>
        <v>13.777777777777775</v>
      </c>
    </row>
    <row r="3816" spans="2:5">
      <c r="B3816" s="1115">
        <v>45081</v>
      </c>
      <c r="C3816" s="242">
        <f t="shared" si="119"/>
        <v>6</v>
      </c>
      <c r="D3816" s="242">
        <v>55.4</v>
      </c>
      <c r="E3816" s="845">
        <f t="shared" si="120"/>
        <v>12.999999999999998</v>
      </c>
    </row>
    <row r="3817" spans="2:5">
      <c r="B3817" s="1115">
        <v>45081</v>
      </c>
      <c r="C3817" s="242">
        <f t="shared" si="119"/>
        <v>6</v>
      </c>
      <c r="D3817" s="242">
        <v>54.7</v>
      </c>
      <c r="E3817" s="845">
        <f t="shared" si="120"/>
        <v>12.611111111111112</v>
      </c>
    </row>
    <row r="3818" spans="2:5">
      <c r="B3818" s="1115">
        <v>45081</v>
      </c>
      <c r="C3818" s="242">
        <f t="shared" si="119"/>
        <v>6</v>
      </c>
      <c r="D3818" s="242">
        <v>54.5</v>
      </c>
      <c r="E3818" s="845">
        <f t="shared" si="120"/>
        <v>12.5</v>
      </c>
    </row>
    <row r="3819" spans="2:5">
      <c r="B3819" s="1115">
        <v>45081</v>
      </c>
      <c r="C3819" s="242">
        <f t="shared" si="119"/>
        <v>6</v>
      </c>
      <c r="D3819" s="242">
        <v>54.5</v>
      </c>
      <c r="E3819" s="845">
        <f t="shared" si="120"/>
        <v>12.5</v>
      </c>
    </row>
    <row r="3820" spans="2:5">
      <c r="B3820" s="1115">
        <v>45081</v>
      </c>
      <c r="C3820" s="242">
        <f t="shared" si="119"/>
        <v>6</v>
      </c>
      <c r="D3820" s="242">
        <v>54.7</v>
      </c>
      <c r="E3820" s="845">
        <f t="shared" si="120"/>
        <v>12.611111111111112</v>
      </c>
    </row>
    <row r="3821" spans="2:5">
      <c r="B3821" s="1115">
        <v>45081</v>
      </c>
      <c r="C3821" s="242">
        <f t="shared" si="119"/>
        <v>6</v>
      </c>
      <c r="D3821" s="242">
        <v>54.9</v>
      </c>
      <c r="E3821" s="845">
        <f t="shared" si="120"/>
        <v>12.722222222222221</v>
      </c>
    </row>
    <row r="3822" spans="2:5">
      <c r="B3822" s="1115">
        <v>45081</v>
      </c>
      <c r="C3822" s="242">
        <f t="shared" si="119"/>
        <v>6</v>
      </c>
      <c r="D3822" s="242">
        <v>55.6</v>
      </c>
      <c r="E3822" s="845">
        <f t="shared" si="120"/>
        <v>13.111111111111111</v>
      </c>
    </row>
    <row r="3823" spans="2:5">
      <c r="B3823" s="1115">
        <v>45081</v>
      </c>
      <c r="C3823" s="242">
        <f t="shared" si="119"/>
        <v>6</v>
      </c>
      <c r="D3823" s="242">
        <v>56.8</v>
      </c>
      <c r="E3823" s="845">
        <f t="shared" si="120"/>
        <v>13.777777777777775</v>
      </c>
    </row>
    <row r="3824" spans="2:5">
      <c r="B3824" s="1115">
        <v>45081</v>
      </c>
      <c r="C3824" s="242">
        <f t="shared" si="119"/>
        <v>6</v>
      </c>
      <c r="D3824" s="242">
        <v>57.6</v>
      </c>
      <c r="E3824" s="845">
        <f t="shared" si="120"/>
        <v>14.222222222222223</v>
      </c>
    </row>
    <row r="3825" spans="2:5">
      <c r="B3825" s="1115">
        <v>45082</v>
      </c>
      <c r="C3825" s="242">
        <f t="shared" si="119"/>
        <v>6</v>
      </c>
      <c r="D3825" s="242">
        <v>57.9</v>
      </c>
      <c r="E3825" s="845">
        <f t="shared" si="120"/>
        <v>14.388888888888888</v>
      </c>
    </row>
    <row r="3826" spans="2:5">
      <c r="B3826" s="1115">
        <v>45082</v>
      </c>
      <c r="C3826" s="242">
        <f t="shared" si="119"/>
        <v>6</v>
      </c>
      <c r="D3826" s="242">
        <v>57.7</v>
      </c>
      <c r="E3826" s="845">
        <f t="shared" si="120"/>
        <v>14.277777777777779</v>
      </c>
    </row>
    <row r="3827" spans="2:5">
      <c r="B3827" s="1115">
        <v>45082</v>
      </c>
      <c r="C3827" s="242">
        <f t="shared" si="119"/>
        <v>6</v>
      </c>
      <c r="D3827" s="242">
        <v>56.3</v>
      </c>
      <c r="E3827" s="845">
        <f t="shared" si="120"/>
        <v>13.499999999999998</v>
      </c>
    </row>
    <row r="3828" spans="2:5">
      <c r="B3828" s="1115">
        <v>45082</v>
      </c>
      <c r="C3828" s="242">
        <f t="shared" si="119"/>
        <v>6</v>
      </c>
      <c r="D3828" s="242">
        <v>55.2</v>
      </c>
      <c r="E3828" s="845">
        <f t="shared" si="120"/>
        <v>12.888888888888889</v>
      </c>
    </row>
    <row r="3829" spans="2:5">
      <c r="B3829" s="1115">
        <v>45082</v>
      </c>
      <c r="C3829" s="242">
        <f t="shared" si="119"/>
        <v>6</v>
      </c>
      <c r="D3829" s="242">
        <v>54.9</v>
      </c>
      <c r="E3829" s="845">
        <f t="shared" si="120"/>
        <v>12.722222222222221</v>
      </c>
    </row>
    <row r="3830" spans="2:5">
      <c r="B3830" s="1115">
        <v>45082</v>
      </c>
      <c r="C3830" s="242">
        <f t="shared" si="119"/>
        <v>6</v>
      </c>
      <c r="D3830" s="242">
        <v>54.9</v>
      </c>
      <c r="E3830" s="845">
        <f t="shared" si="120"/>
        <v>12.722222222222221</v>
      </c>
    </row>
    <row r="3831" spans="2:5">
      <c r="B3831" s="1115">
        <v>45082</v>
      </c>
      <c r="C3831" s="242">
        <f t="shared" si="119"/>
        <v>6</v>
      </c>
      <c r="D3831" s="242">
        <v>54.9</v>
      </c>
      <c r="E3831" s="845">
        <f t="shared" si="120"/>
        <v>12.722222222222221</v>
      </c>
    </row>
    <row r="3832" spans="2:5">
      <c r="B3832" s="1115">
        <v>45082</v>
      </c>
      <c r="C3832" s="242">
        <f t="shared" si="119"/>
        <v>6</v>
      </c>
      <c r="D3832" s="242">
        <v>54.9</v>
      </c>
      <c r="E3832" s="845">
        <f t="shared" si="120"/>
        <v>12.722222222222221</v>
      </c>
    </row>
    <row r="3833" spans="2:5">
      <c r="B3833" s="1115">
        <v>45082</v>
      </c>
      <c r="C3833" s="242">
        <f t="shared" si="119"/>
        <v>6</v>
      </c>
      <c r="D3833" s="242">
        <v>54.9</v>
      </c>
      <c r="E3833" s="845">
        <f t="shared" si="120"/>
        <v>12.722222222222221</v>
      </c>
    </row>
    <row r="3834" spans="2:5">
      <c r="B3834" s="1115">
        <v>45082</v>
      </c>
      <c r="C3834" s="242">
        <f t="shared" si="119"/>
        <v>6</v>
      </c>
      <c r="D3834" s="242">
        <v>55.4</v>
      </c>
      <c r="E3834" s="845">
        <f t="shared" si="120"/>
        <v>12.999999999999998</v>
      </c>
    </row>
    <row r="3835" spans="2:5">
      <c r="B3835" s="1115">
        <v>45082</v>
      </c>
      <c r="C3835" s="242">
        <f t="shared" si="119"/>
        <v>6</v>
      </c>
      <c r="D3835" s="242">
        <v>56.1</v>
      </c>
      <c r="E3835" s="845">
        <f t="shared" si="120"/>
        <v>13.388888888888889</v>
      </c>
    </row>
    <row r="3836" spans="2:5">
      <c r="B3836" s="1115">
        <v>45082</v>
      </c>
      <c r="C3836" s="242">
        <f t="shared" si="119"/>
        <v>6</v>
      </c>
      <c r="D3836" s="242">
        <v>56.8</v>
      </c>
      <c r="E3836" s="845">
        <f t="shared" si="120"/>
        <v>13.777777777777775</v>
      </c>
    </row>
    <row r="3837" spans="2:5">
      <c r="B3837" s="1115">
        <v>45082</v>
      </c>
      <c r="C3837" s="242">
        <f t="shared" si="119"/>
        <v>6</v>
      </c>
      <c r="D3837" s="242">
        <v>57.6</v>
      </c>
      <c r="E3837" s="845">
        <f t="shared" si="120"/>
        <v>14.222222222222223</v>
      </c>
    </row>
    <row r="3838" spans="2:5">
      <c r="B3838" s="1115">
        <v>45082</v>
      </c>
      <c r="C3838" s="242">
        <f t="shared" si="119"/>
        <v>6</v>
      </c>
      <c r="D3838" s="242">
        <v>57.9</v>
      </c>
      <c r="E3838" s="845">
        <f t="shared" si="120"/>
        <v>14.388888888888888</v>
      </c>
    </row>
    <row r="3839" spans="2:5">
      <c r="B3839" s="1115">
        <v>45082</v>
      </c>
      <c r="C3839" s="242">
        <f t="shared" si="119"/>
        <v>6</v>
      </c>
      <c r="D3839" s="242">
        <v>57.9</v>
      </c>
      <c r="E3839" s="845">
        <f t="shared" si="120"/>
        <v>14.388888888888888</v>
      </c>
    </row>
    <row r="3840" spans="2:5">
      <c r="B3840" s="1115">
        <v>45082</v>
      </c>
      <c r="C3840" s="242">
        <f t="shared" si="119"/>
        <v>6</v>
      </c>
      <c r="D3840" s="242">
        <v>56.5</v>
      </c>
      <c r="E3840" s="845">
        <f t="shared" si="120"/>
        <v>13.611111111111111</v>
      </c>
    </row>
    <row r="3841" spans="2:5">
      <c r="B3841" s="1115">
        <v>45082</v>
      </c>
      <c r="C3841" s="242">
        <f t="shared" si="119"/>
        <v>6</v>
      </c>
      <c r="D3841" s="242">
        <v>55.6</v>
      </c>
      <c r="E3841" s="845">
        <f t="shared" si="120"/>
        <v>13.111111111111111</v>
      </c>
    </row>
    <row r="3842" spans="2:5">
      <c r="B3842" s="1115">
        <v>45082</v>
      </c>
      <c r="C3842" s="242">
        <f t="shared" si="119"/>
        <v>6</v>
      </c>
      <c r="D3842" s="242">
        <v>55.2</v>
      </c>
      <c r="E3842" s="845">
        <f t="shared" si="120"/>
        <v>12.888888888888889</v>
      </c>
    </row>
    <row r="3843" spans="2:5">
      <c r="B3843" s="1115">
        <v>45082</v>
      </c>
      <c r="C3843" s="242">
        <f t="shared" si="119"/>
        <v>6</v>
      </c>
      <c r="D3843" s="242">
        <v>54.9</v>
      </c>
      <c r="E3843" s="845">
        <f t="shared" si="120"/>
        <v>12.722222222222221</v>
      </c>
    </row>
    <row r="3844" spans="2:5">
      <c r="B3844" s="1115">
        <v>45082</v>
      </c>
      <c r="C3844" s="242">
        <f t="shared" si="119"/>
        <v>6</v>
      </c>
      <c r="D3844" s="242">
        <v>54.9</v>
      </c>
      <c r="E3844" s="845">
        <f t="shared" si="120"/>
        <v>12.722222222222221</v>
      </c>
    </row>
    <row r="3845" spans="2:5">
      <c r="B3845" s="1115">
        <v>45082</v>
      </c>
      <c r="C3845" s="242">
        <f t="shared" si="119"/>
        <v>6</v>
      </c>
      <c r="D3845" s="242" t="s">
        <v>1847</v>
      </c>
      <c r="E3845" s="845">
        <f t="shared" si="120"/>
        <v>12.777777777777777</v>
      </c>
    </row>
    <row r="3846" spans="2:5">
      <c r="B3846" s="1115">
        <v>45082</v>
      </c>
      <c r="C3846" s="242">
        <f t="shared" si="119"/>
        <v>6</v>
      </c>
      <c r="D3846" s="242">
        <v>55.4</v>
      </c>
      <c r="E3846" s="845">
        <f t="shared" si="120"/>
        <v>12.999999999999998</v>
      </c>
    </row>
    <row r="3847" spans="2:5">
      <c r="B3847" s="1115">
        <v>45082</v>
      </c>
      <c r="C3847" s="242">
        <f t="shared" si="119"/>
        <v>6</v>
      </c>
      <c r="D3847" s="242">
        <v>56.1</v>
      </c>
      <c r="E3847" s="845">
        <f t="shared" si="120"/>
        <v>13.388888888888889</v>
      </c>
    </row>
    <row r="3848" spans="2:5">
      <c r="B3848" s="1115">
        <v>45082</v>
      </c>
      <c r="C3848" s="242">
        <f t="shared" si="119"/>
        <v>6</v>
      </c>
      <c r="D3848" s="242" t="s">
        <v>1848</v>
      </c>
      <c r="E3848" s="845">
        <f t="shared" si="120"/>
        <v>13.888888888888889</v>
      </c>
    </row>
    <row r="3849" spans="2:5">
      <c r="B3849" s="1115">
        <v>45083</v>
      </c>
      <c r="C3849" s="242">
        <f t="shared" si="119"/>
        <v>6</v>
      </c>
      <c r="D3849" s="242">
        <v>57.6</v>
      </c>
      <c r="E3849" s="845">
        <f t="shared" si="120"/>
        <v>14.222222222222223</v>
      </c>
    </row>
    <row r="3850" spans="2:5">
      <c r="B3850" s="1115">
        <v>45083</v>
      </c>
      <c r="C3850" s="242">
        <f t="shared" ref="C3850:C3913" si="121">MONTH(B3850)</f>
        <v>6</v>
      </c>
      <c r="D3850" s="242">
        <v>57.9</v>
      </c>
      <c r="E3850" s="845">
        <f t="shared" ref="E3850:E3913" si="122">CONVERT(D3850,"F","C")</f>
        <v>14.388888888888888</v>
      </c>
    </row>
    <row r="3851" spans="2:5">
      <c r="B3851" s="1115">
        <v>45083</v>
      </c>
      <c r="C3851" s="242">
        <f t="shared" si="121"/>
        <v>6</v>
      </c>
      <c r="D3851" s="242">
        <v>57.6</v>
      </c>
      <c r="E3851" s="845">
        <f t="shared" si="122"/>
        <v>14.222222222222223</v>
      </c>
    </row>
    <row r="3852" spans="2:5">
      <c r="B3852" s="1115">
        <v>45083</v>
      </c>
      <c r="C3852" s="242">
        <f t="shared" si="121"/>
        <v>6</v>
      </c>
      <c r="D3852" s="242">
        <v>56.5</v>
      </c>
      <c r="E3852" s="845">
        <f t="shared" si="122"/>
        <v>13.611111111111111</v>
      </c>
    </row>
    <row r="3853" spans="2:5">
      <c r="B3853" s="1115">
        <v>45083</v>
      </c>
      <c r="C3853" s="242">
        <f t="shared" si="121"/>
        <v>6</v>
      </c>
      <c r="D3853" s="242">
        <v>55.8</v>
      </c>
      <c r="E3853" s="845">
        <f t="shared" si="122"/>
        <v>13.22222222222222</v>
      </c>
    </row>
    <row r="3854" spans="2:5">
      <c r="B3854" s="1115">
        <v>45083</v>
      </c>
      <c r="C3854" s="242">
        <f t="shared" si="121"/>
        <v>6</v>
      </c>
      <c r="D3854" s="242">
        <v>55.4</v>
      </c>
      <c r="E3854" s="845">
        <f t="shared" si="122"/>
        <v>12.999999999999998</v>
      </c>
    </row>
    <row r="3855" spans="2:5">
      <c r="B3855" s="1115">
        <v>45083</v>
      </c>
      <c r="C3855" s="242">
        <f t="shared" si="121"/>
        <v>6</v>
      </c>
      <c r="D3855" s="242">
        <v>55.2</v>
      </c>
      <c r="E3855" s="845">
        <f t="shared" si="122"/>
        <v>12.888888888888889</v>
      </c>
    </row>
    <row r="3856" spans="2:5">
      <c r="B3856" s="1115">
        <v>45083</v>
      </c>
      <c r="C3856" s="242">
        <f t="shared" si="121"/>
        <v>6</v>
      </c>
      <c r="D3856" s="242">
        <v>55.2</v>
      </c>
      <c r="E3856" s="845">
        <f t="shared" si="122"/>
        <v>12.888888888888889</v>
      </c>
    </row>
    <row r="3857" spans="2:5">
      <c r="B3857" s="1115">
        <v>45083</v>
      </c>
      <c r="C3857" s="242">
        <f t="shared" si="121"/>
        <v>6</v>
      </c>
      <c r="D3857" s="242">
        <v>55.2</v>
      </c>
      <c r="E3857" s="845">
        <f t="shared" si="122"/>
        <v>12.888888888888889</v>
      </c>
    </row>
    <row r="3858" spans="2:5">
      <c r="B3858" s="1115">
        <v>45083</v>
      </c>
      <c r="C3858" s="242">
        <f t="shared" si="121"/>
        <v>6</v>
      </c>
      <c r="D3858" s="242">
        <v>55.4</v>
      </c>
      <c r="E3858" s="845">
        <f t="shared" si="122"/>
        <v>12.999999999999998</v>
      </c>
    </row>
    <row r="3859" spans="2:5">
      <c r="B3859" s="1115">
        <v>45083</v>
      </c>
      <c r="C3859" s="242">
        <f t="shared" si="121"/>
        <v>6</v>
      </c>
      <c r="D3859" s="242">
        <v>55.9</v>
      </c>
      <c r="E3859" s="845">
        <f t="shared" si="122"/>
        <v>13.277777777777777</v>
      </c>
    </row>
    <row r="3860" spans="2:5">
      <c r="B3860" s="1115">
        <v>45083</v>
      </c>
      <c r="C3860" s="242">
        <f t="shared" si="121"/>
        <v>6</v>
      </c>
      <c r="D3860" s="242">
        <v>56.7</v>
      </c>
      <c r="E3860" s="845">
        <f t="shared" si="122"/>
        <v>13.722222222222223</v>
      </c>
    </row>
    <row r="3861" spans="2:5">
      <c r="B3861" s="1115">
        <v>45083</v>
      </c>
      <c r="C3861" s="242">
        <f t="shared" si="121"/>
        <v>6</v>
      </c>
      <c r="D3861" s="242">
        <v>57.2</v>
      </c>
      <c r="E3861" s="845">
        <f t="shared" si="122"/>
        <v>14.000000000000002</v>
      </c>
    </row>
    <row r="3862" spans="2:5">
      <c r="B3862" s="1115">
        <v>45083</v>
      </c>
      <c r="C3862" s="242">
        <f t="shared" si="121"/>
        <v>6</v>
      </c>
      <c r="D3862" s="242">
        <v>57.7</v>
      </c>
      <c r="E3862" s="845">
        <f t="shared" si="122"/>
        <v>14.277777777777779</v>
      </c>
    </row>
    <row r="3863" spans="2:5">
      <c r="B3863" s="1115">
        <v>45083</v>
      </c>
      <c r="C3863" s="242">
        <f t="shared" si="121"/>
        <v>6</v>
      </c>
      <c r="D3863" s="242">
        <v>57.9</v>
      </c>
      <c r="E3863" s="845">
        <f t="shared" si="122"/>
        <v>14.388888888888888</v>
      </c>
    </row>
    <row r="3864" spans="2:5">
      <c r="B3864" s="1115">
        <v>45083</v>
      </c>
      <c r="C3864" s="242">
        <f t="shared" si="121"/>
        <v>6</v>
      </c>
      <c r="D3864" s="242">
        <v>57.9</v>
      </c>
      <c r="E3864" s="845">
        <f t="shared" si="122"/>
        <v>14.388888888888888</v>
      </c>
    </row>
    <row r="3865" spans="2:5">
      <c r="B3865" s="1115">
        <v>45083</v>
      </c>
      <c r="C3865" s="242">
        <f t="shared" si="121"/>
        <v>6</v>
      </c>
      <c r="D3865" s="242">
        <v>56.7</v>
      </c>
      <c r="E3865" s="845">
        <f t="shared" si="122"/>
        <v>13.722222222222223</v>
      </c>
    </row>
    <row r="3866" spans="2:5">
      <c r="B3866" s="1115">
        <v>45083</v>
      </c>
      <c r="C3866" s="242">
        <f t="shared" si="121"/>
        <v>6</v>
      </c>
      <c r="D3866" s="242">
        <v>56.1</v>
      </c>
      <c r="E3866" s="845">
        <f t="shared" si="122"/>
        <v>13.388888888888889</v>
      </c>
    </row>
    <row r="3867" spans="2:5">
      <c r="B3867" s="1115">
        <v>45083</v>
      </c>
      <c r="C3867" s="242">
        <f t="shared" si="121"/>
        <v>6</v>
      </c>
      <c r="D3867" s="242">
        <v>55.8</v>
      </c>
      <c r="E3867" s="845">
        <f t="shared" si="122"/>
        <v>13.22222222222222</v>
      </c>
    </row>
    <row r="3868" spans="2:5">
      <c r="B3868" s="1115">
        <v>45083</v>
      </c>
      <c r="C3868" s="242">
        <f t="shared" si="121"/>
        <v>6</v>
      </c>
      <c r="D3868" s="242">
        <v>55.6</v>
      </c>
      <c r="E3868" s="845">
        <f t="shared" si="122"/>
        <v>13.111111111111111</v>
      </c>
    </row>
    <row r="3869" spans="2:5">
      <c r="B3869" s="1115">
        <v>45083</v>
      </c>
      <c r="C3869" s="242">
        <f t="shared" si="121"/>
        <v>6</v>
      </c>
      <c r="D3869" s="242">
        <v>55.6</v>
      </c>
      <c r="E3869" s="845">
        <f t="shared" si="122"/>
        <v>13.111111111111111</v>
      </c>
    </row>
    <row r="3870" spans="2:5">
      <c r="B3870" s="1115">
        <v>45083</v>
      </c>
      <c r="C3870" s="242">
        <f t="shared" si="121"/>
        <v>6</v>
      </c>
      <c r="D3870" s="242">
        <v>55.8</v>
      </c>
      <c r="E3870" s="845">
        <f t="shared" si="122"/>
        <v>13.22222222222222</v>
      </c>
    </row>
    <row r="3871" spans="2:5">
      <c r="B3871" s="1115">
        <v>45083</v>
      </c>
      <c r="C3871" s="242">
        <f t="shared" si="121"/>
        <v>6</v>
      </c>
      <c r="D3871" s="242">
        <v>56.1</v>
      </c>
      <c r="E3871" s="845">
        <f t="shared" si="122"/>
        <v>13.388888888888889</v>
      </c>
    </row>
    <row r="3872" spans="2:5">
      <c r="B3872" s="1115">
        <v>45083</v>
      </c>
      <c r="C3872" s="242">
        <f t="shared" si="121"/>
        <v>6</v>
      </c>
      <c r="D3872" s="242">
        <v>56.8</v>
      </c>
      <c r="E3872" s="845">
        <f t="shared" si="122"/>
        <v>13.777777777777775</v>
      </c>
    </row>
    <row r="3873" spans="2:5">
      <c r="B3873" s="1115">
        <v>45084</v>
      </c>
      <c r="C3873" s="242">
        <f t="shared" si="121"/>
        <v>6</v>
      </c>
      <c r="D3873" s="242">
        <v>57.7</v>
      </c>
      <c r="E3873" s="845">
        <f t="shared" si="122"/>
        <v>14.277777777777779</v>
      </c>
    </row>
    <row r="3874" spans="2:5">
      <c r="B3874" s="1115">
        <v>45084</v>
      </c>
      <c r="C3874" s="242">
        <f t="shared" si="121"/>
        <v>6</v>
      </c>
      <c r="D3874" s="242">
        <v>58.1</v>
      </c>
      <c r="E3874" s="845">
        <f t="shared" si="122"/>
        <v>14.5</v>
      </c>
    </row>
    <row r="3875" spans="2:5">
      <c r="B3875" s="1115">
        <v>45084</v>
      </c>
      <c r="C3875" s="242">
        <f t="shared" si="121"/>
        <v>6</v>
      </c>
      <c r="D3875" s="242">
        <v>58.5</v>
      </c>
      <c r="E3875" s="845">
        <f t="shared" si="122"/>
        <v>14.722222222222221</v>
      </c>
    </row>
    <row r="3876" spans="2:5">
      <c r="B3876" s="1115">
        <v>45084</v>
      </c>
      <c r="C3876" s="242">
        <f t="shared" si="121"/>
        <v>6</v>
      </c>
      <c r="D3876" s="242">
        <v>58.1</v>
      </c>
      <c r="E3876" s="845">
        <f t="shared" si="122"/>
        <v>14.5</v>
      </c>
    </row>
    <row r="3877" spans="2:5">
      <c r="B3877" s="1115">
        <v>45084</v>
      </c>
      <c r="C3877" s="242">
        <f t="shared" si="121"/>
        <v>6</v>
      </c>
      <c r="D3877" s="242">
        <v>57.2</v>
      </c>
      <c r="E3877" s="845">
        <f t="shared" si="122"/>
        <v>14.000000000000002</v>
      </c>
    </row>
    <row r="3878" spans="2:5">
      <c r="B3878" s="1115">
        <v>45084</v>
      </c>
      <c r="C3878" s="242">
        <f t="shared" si="121"/>
        <v>6</v>
      </c>
      <c r="D3878" s="242">
        <v>56.1</v>
      </c>
      <c r="E3878" s="845">
        <f t="shared" si="122"/>
        <v>13.388888888888889</v>
      </c>
    </row>
    <row r="3879" spans="2:5">
      <c r="B3879" s="1115">
        <v>45084</v>
      </c>
      <c r="C3879" s="242">
        <f t="shared" si="121"/>
        <v>6</v>
      </c>
      <c r="D3879" s="242">
        <v>55.6</v>
      </c>
      <c r="E3879" s="845">
        <f t="shared" si="122"/>
        <v>13.111111111111111</v>
      </c>
    </row>
    <row r="3880" spans="2:5">
      <c r="B3880" s="1115">
        <v>45084</v>
      </c>
      <c r="C3880" s="242">
        <f t="shared" si="121"/>
        <v>6</v>
      </c>
      <c r="D3880" s="242">
        <v>55.4</v>
      </c>
      <c r="E3880" s="845">
        <f t="shared" si="122"/>
        <v>12.999999999999998</v>
      </c>
    </row>
    <row r="3881" spans="2:5">
      <c r="B3881" s="1115">
        <v>45084</v>
      </c>
      <c r="C3881" s="242">
        <f t="shared" si="121"/>
        <v>6</v>
      </c>
      <c r="D3881" s="242">
        <v>55.4</v>
      </c>
      <c r="E3881" s="845">
        <f t="shared" si="122"/>
        <v>12.999999999999998</v>
      </c>
    </row>
    <row r="3882" spans="2:5">
      <c r="B3882" s="1115">
        <v>45084</v>
      </c>
      <c r="C3882" s="242">
        <f t="shared" si="121"/>
        <v>6</v>
      </c>
      <c r="D3882" s="242">
        <v>55.4</v>
      </c>
      <c r="E3882" s="845">
        <f t="shared" si="122"/>
        <v>12.999999999999998</v>
      </c>
    </row>
    <row r="3883" spans="2:5">
      <c r="B3883" s="1115">
        <v>45084</v>
      </c>
      <c r="C3883" s="242">
        <f t="shared" si="121"/>
        <v>6</v>
      </c>
      <c r="D3883" s="242">
        <v>55.6</v>
      </c>
      <c r="E3883" s="845">
        <f t="shared" si="122"/>
        <v>13.111111111111111</v>
      </c>
    </row>
    <row r="3884" spans="2:5">
      <c r="B3884" s="1115">
        <v>45084</v>
      </c>
      <c r="C3884" s="242">
        <f t="shared" si="121"/>
        <v>6</v>
      </c>
      <c r="D3884" s="242">
        <v>56.3</v>
      </c>
      <c r="E3884" s="845">
        <f t="shared" si="122"/>
        <v>13.499999999999998</v>
      </c>
    </row>
    <row r="3885" spans="2:5">
      <c r="B3885" s="1115">
        <v>45084</v>
      </c>
      <c r="C3885" s="242">
        <f t="shared" si="121"/>
        <v>6</v>
      </c>
      <c r="D3885" s="242" t="s">
        <v>1848</v>
      </c>
      <c r="E3885" s="845">
        <f t="shared" si="122"/>
        <v>13.888888888888889</v>
      </c>
    </row>
    <row r="3886" spans="2:5">
      <c r="B3886" s="1115">
        <v>45084</v>
      </c>
      <c r="C3886" s="242">
        <f t="shared" si="121"/>
        <v>6</v>
      </c>
      <c r="D3886" s="242">
        <v>57.7</v>
      </c>
      <c r="E3886" s="845">
        <f t="shared" si="122"/>
        <v>14.277777777777779</v>
      </c>
    </row>
    <row r="3887" spans="2:5">
      <c r="B3887" s="1115">
        <v>45084</v>
      </c>
      <c r="C3887" s="242">
        <f t="shared" si="121"/>
        <v>6</v>
      </c>
      <c r="D3887" s="242">
        <v>58.3</v>
      </c>
      <c r="E3887" s="845">
        <f t="shared" si="122"/>
        <v>14.611111111111109</v>
      </c>
    </row>
    <row r="3888" spans="2:5">
      <c r="B3888" s="1115">
        <v>45084</v>
      </c>
      <c r="C3888" s="242">
        <f t="shared" si="121"/>
        <v>6</v>
      </c>
      <c r="D3888" s="242">
        <v>58.5</v>
      </c>
      <c r="E3888" s="845">
        <f t="shared" si="122"/>
        <v>14.722222222222221</v>
      </c>
    </row>
    <row r="3889" spans="2:5">
      <c r="B3889" s="1115">
        <v>45084</v>
      </c>
      <c r="C3889" s="242">
        <f t="shared" si="121"/>
        <v>6</v>
      </c>
      <c r="D3889" s="242">
        <v>58.1</v>
      </c>
      <c r="E3889" s="845">
        <f t="shared" si="122"/>
        <v>14.5</v>
      </c>
    </row>
    <row r="3890" spans="2:5">
      <c r="B3890" s="1115">
        <v>45084</v>
      </c>
      <c r="C3890" s="242">
        <f t="shared" si="121"/>
        <v>6</v>
      </c>
      <c r="D3890" s="242">
        <v>57.2</v>
      </c>
      <c r="E3890" s="845">
        <f t="shared" si="122"/>
        <v>14.000000000000002</v>
      </c>
    </row>
    <row r="3891" spans="2:5">
      <c r="B3891" s="1115">
        <v>45084</v>
      </c>
      <c r="C3891" s="242">
        <f t="shared" si="121"/>
        <v>6</v>
      </c>
      <c r="D3891" s="242">
        <v>56.3</v>
      </c>
      <c r="E3891" s="845">
        <f t="shared" si="122"/>
        <v>13.499999999999998</v>
      </c>
    </row>
    <row r="3892" spans="2:5">
      <c r="B3892" s="1115">
        <v>45084</v>
      </c>
      <c r="C3892" s="242">
        <f t="shared" si="121"/>
        <v>6</v>
      </c>
      <c r="D3892" s="242">
        <v>55.9</v>
      </c>
      <c r="E3892" s="845">
        <f t="shared" si="122"/>
        <v>13.277777777777777</v>
      </c>
    </row>
    <row r="3893" spans="2:5">
      <c r="B3893" s="1115">
        <v>45084</v>
      </c>
      <c r="C3893" s="242">
        <f t="shared" si="121"/>
        <v>6</v>
      </c>
      <c r="D3893" s="242">
        <v>55.8</v>
      </c>
      <c r="E3893" s="845">
        <f t="shared" si="122"/>
        <v>13.22222222222222</v>
      </c>
    </row>
    <row r="3894" spans="2:5">
      <c r="B3894" s="1115">
        <v>45084</v>
      </c>
      <c r="C3894" s="242">
        <f t="shared" si="121"/>
        <v>6</v>
      </c>
      <c r="D3894" s="242">
        <v>55.8</v>
      </c>
      <c r="E3894" s="845">
        <f t="shared" si="122"/>
        <v>13.22222222222222</v>
      </c>
    </row>
    <row r="3895" spans="2:5">
      <c r="B3895" s="1115">
        <v>45084</v>
      </c>
      <c r="C3895" s="242">
        <f t="shared" si="121"/>
        <v>6</v>
      </c>
      <c r="D3895" s="242">
        <v>55.9</v>
      </c>
      <c r="E3895" s="845">
        <f t="shared" si="122"/>
        <v>13.277777777777777</v>
      </c>
    </row>
    <row r="3896" spans="2:5">
      <c r="B3896" s="1115">
        <v>45084</v>
      </c>
      <c r="C3896" s="242">
        <f t="shared" si="121"/>
        <v>6</v>
      </c>
      <c r="D3896" s="242">
        <v>56.3</v>
      </c>
      <c r="E3896" s="845">
        <f t="shared" si="122"/>
        <v>13.499999999999998</v>
      </c>
    </row>
    <row r="3897" spans="2:5">
      <c r="B3897" s="1115">
        <v>45085</v>
      </c>
      <c r="C3897" s="242">
        <f t="shared" si="121"/>
        <v>6</v>
      </c>
      <c r="D3897" s="242" t="s">
        <v>1848</v>
      </c>
      <c r="E3897" s="845">
        <f t="shared" si="122"/>
        <v>13.888888888888889</v>
      </c>
    </row>
    <row r="3898" spans="2:5">
      <c r="B3898" s="1115">
        <v>45085</v>
      </c>
      <c r="C3898" s="242">
        <f t="shared" si="121"/>
        <v>6</v>
      </c>
      <c r="D3898" s="242">
        <v>57.7</v>
      </c>
      <c r="E3898" s="845">
        <f t="shared" si="122"/>
        <v>14.277777777777779</v>
      </c>
    </row>
    <row r="3899" spans="2:5">
      <c r="B3899" s="1115">
        <v>45085</v>
      </c>
      <c r="C3899" s="242">
        <f t="shared" si="121"/>
        <v>6</v>
      </c>
      <c r="D3899" s="242">
        <v>58.1</v>
      </c>
      <c r="E3899" s="845">
        <f t="shared" si="122"/>
        <v>14.5</v>
      </c>
    </row>
    <row r="3900" spans="2:5">
      <c r="B3900" s="1115">
        <v>45085</v>
      </c>
      <c r="C3900" s="242">
        <f t="shared" si="121"/>
        <v>6</v>
      </c>
      <c r="D3900" s="242">
        <v>58.3</v>
      </c>
      <c r="E3900" s="845">
        <f t="shared" si="122"/>
        <v>14.611111111111109</v>
      </c>
    </row>
    <row r="3901" spans="2:5">
      <c r="B3901" s="1115">
        <v>45085</v>
      </c>
      <c r="C3901" s="242">
        <f t="shared" si="121"/>
        <v>6</v>
      </c>
      <c r="D3901" s="242">
        <v>57.9</v>
      </c>
      <c r="E3901" s="845">
        <f t="shared" si="122"/>
        <v>14.388888888888888</v>
      </c>
    </row>
    <row r="3902" spans="2:5">
      <c r="B3902" s="1115">
        <v>45085</v>
      </c>
      <c r="C3902" s="242">
        <f t="shared" si="121"/>
        <v>6</v>
      </c>
      <c r="D3902" s="242" t="s">
        <v>1848</v>
      </c>
      <c r="E3902" s="845">
        <f t="shared" si="122"/>
        <v>13.888888888888889</v>
      </c>
    </row>
    <row r="3903" spans="2:5">
      <c r="B3903" s="1115">
        <v>45085</v>
      </c>
      <c r="C3903" s="242">
        <f t="shared" si="121"/>
        <v>6</v>
      </c>
      <c r="D3903" s="242">
        <v>56.1</v>
      </c>
      <c r="E3903" s="845">
        <f t="shared" si="122"/>
        <v>13.388888888888889</v>
      </c>
    </row>
    <row r="3904" spans="2:5">
      <c r="B3904" s="1115">
        <v>45085</v>
      </c>
      <c r="C3904" s="242">
        <f t="shared" si="121"/>
        <v>6</v>
      </c>
      <c r="D3904" s="242">
        <v>55.6</v>
      </c>
      <c r="E3904" s="845">
        <f t="shared" si="122"/>
        <v>13.111111111111111</v>
      </c>
    </row>
    <row r="3905" spans="2:5">
      <c r="B3905" s="1115">
        <v>45085</v>
      </c>
      <c r="C3905" s="242">
        <f t="shared" si="121"/>
        <v>6</v>
      </c>
      <c r="D3905" s="242">
        <v>55.6</v>
      </c>
      <c r="E3905" s="845">
        <f t="shared" si="122"/>
        <v>13.111111111111111</v>
      </c>
    </row>
    <row r="3906" spans="2:5">
      <c r="B3906" s="1115">
        <v>45085</v>
      </c>
      <c r="C3906" s="242">
        <f t="shared" si="121"/>
        <v>6</v>
      </c>
      <c r="D3906" s="242">
        <v>55.4</v>
      </c>
      <c r="E3906" s="845">
        <f t="shared" si="122"/>
        <v>12.999999999999998</v>
      </c>
    </row>
    <row r="3907" spans="2:5">
      <c r="B3907" s="1115">
        <v>45085</v>
      </c>
      <c r="C3907" s="242">
        <f t="shared" si="121"/>
        <v>6</v>
      </c>
      <c r="D3907" s="242">
        <v>55.6</v>
      </c>
      <c r="E3907" s="845">
        <f t="shared" si="122"/>
        <v>13.111111111111111</v>
      </c>
    </row>
    <row r="3908" spans="2:5">
      <c r="B3908" s="1115">
        <v>45085</v>
      </c>
      <c r="C3908" s="242">
        <f t="shared" si="121"/>
        <v>6</v>
      </c>
      <c r="D3908" s="242">
        <v>55.8</v>
      </c>
      <c r="E3908" s="845">
        <f t="shared" si="122"/>
        <v>13.22222222222222</v>
      </c>
    </row>
    <row r="3909" spans="2:5">
      <c r="B3909" s="1115">
        <v>45085</v>
      </c>
      <c r="C3909" s="242">
        <f t="shared" si="121"/>
        <v>6</v>
      </c>
      <c r="D3909" s="242">
        <v>56.5</v>
      </c>
      <c r="E3909" s="845">
        <f t="shared" si="122"/>
        <v>13.611111111111111</v>
      </c>
    </row>
    <row r="3910" spans="2:5">
      <c r="B3910" s="1115">
        <v>45085</v>
      </c>
      <c r="C3910" s="242">
        <f t="shared" si="121"/>
        <v>6</v>
      </c>
      <c r="D3910" s="242">
        <v>57.2</v>
      </c>
      <c r="E3910" s="845">
        <f t="shared" si="122"/>
        <v>14.000000000000002</v>
      </c>
    </row>
    <row r="3911" spans="2:5">
      <c r="B3911" s="1115">
        <v>45085</v>
      </c>
      <c r="C3911" s="242">
        <f t="shared" si="121"/>
        <v>6</v>
      </c>
      <c r="D3911" s="242">
        <v>57.7</v>
      </c>
      <c r="E3911" s="845">
        <f t="shared" si="122"/>
        <v>14.277777777777779</v>
      </c>
    </row>
    <row r="3912" spans="2:5">
      <c r="B3912" s="1115">
        <v>45085</v>
      </c>
      <c r="C3912" s="242">
        <f t="shared" si="121"/>
        <v>6</v>
      </c>
      <c r="D3912" s="242">
        <v>58.3</v>
      </c>
      <c r="E3912" s="845">
        <f t="shared" si="122"/>
        <v>14.611111111111109</v>
      </c>
    </row>
    <row r="3913" spans="2:5">
      <c r="B3913" s="1115">
        <v>45085</v>
      </c>
      <c r="C3913" s="242">
        <f t="shared" si="121"/>
        <v>6</v>
      </c>
      <c r="D3913" s="242">
        <v>58.6</v>
      </c>
      <c r="E3913" s="845">
        <f t="shared" si="122"/>
        <v>14.777777777777779</v>
      </c>
    </row>
    <row r="3914" spans="2:5">
      <c r="B3914" s="1115">
        <v>45085</v>
      </c>
      <c r="C3914" s="242">
        <f t="shared" ref="C3914:C3977" si="123">MONTH(B3914)</f>
        <v>6</v>
      </c>
      <c r="D3914" s="242">
        <v>58.1</v>
      </c>
      <c r="E3914" s="845">
        <f t="shared" ref="E3914:E3977" si="124">CONVERT(D3914,"F","C")</f>
        <v>14.5</v>
      </c>
    </row>
    <row r="3915" spans="2:5">
      <c r="B3915" s="1115">
        <v>45085</v>
      </c>
      <c r="C3915" s="242">
        <f t="shared" si="123"/>
        <v>6</v>
      </c>
      <c r="D3915" s="242">
        <v>57.4</v>
      </c>
      <c r="E3915" s="845">
        <f t="shared" si="124"/>
        <v>14.111111111111111</v>
      </c>
    </row>
    <row r="3916" spans="2:5">
      <c r="B3916" s="1115">
        <v>45085</v>
      </c>
      <c r="C3916" s="242">
        <f t="shared" si="123"/>
        <v>6</v>
      </c>
      <c r="D3916" s="242">
        <v>56.5</v>
      </c>
      <c r="E3916" s="845">
        <f t="shared" si="124"/>
        <v>13.611111111111111</v>
      </c>
    </row>
    <row r="3917" spans="2:5">
      <c r="B3917" s="1115">
        <v>45085</v>
      </c>
      <c r="C3917" s="242">
        <f t="shared" si="123"/>
        <v>6</v>
      </c>
      <c r="D3917" s="242">
        <v>56.1</v>
      </c>
      <c r="E3917" s="845">
        <f t="shared" si="124"/>
        <v>13.388888888888889</v>
      </c>
    </row>
    <row r="3918" spans="2:5">
      <c r="B3918" s="1115">
        <v>45085</v>
      </c>
      <c r="C3918" s="242">
        <f t="shared" si="123"/>
        <v>6</v>
      </c>
      <c r="D3918" s="242">
        <v>55.9</v>
      </c>
      <c r="E3918" s="845">
        <f t="shared" si="124"/>
        <v>13.277777777777777</v>
      </c>
    </row>
    <row r="3919" spans="2:5">
      <c r="B3919" s="1115">
        <v>45085</v>
      </c>
      <c r="C3919" s="242">
        <f t="shared" si="123"/>
        <v>6</v>
      </c>
      <c r="D3919" s="242">
        <v>56.1</v>
      </c>
      <c r="E3919" s="845">
        <f t="shared" si="124"/>
        <v>13.388888888888889</v>
      </c>
    </row>
    <row r="3920" spans="2:5">
      <c r="B3920" s="1115">
        <v>45085</v>
      </c>
      <c r="C3920" s="242">
        <f t="shared" si="123"/>
        <v>6</v>
      </c>
      <c r="D3920" s="242">
        <v>56.3</v>
      </c>
      <c r="E3920" s="845">
        <f t="shared" si="124"/>
        <v>13.499999999999998</v>
      </c>
    </row>
    <row r="3921" spans="2:5">
      <c r="B3921" s="1115">
        <v>45086</v>
      </c>
      <c r="C3921" s="242">
        <f t="shared" si="123"/>
        <v>6</v>
      </c>
      <c r="D3921" s="242">
        <v>56.7</v>
      </c>
      <c r="E3921" s="845">
        <f t="shared" si="124"/>
        <v>13.722222222222223</v>
      </c>
    </row>
    <row r="3922" spans="2:5">
      <c r="B3922" s="1115">
        <v>45086</v>
      </c>
      <c r="C3922" s="242">
        <f t="shared" si="123"/>
        <v>6</v>
      </c>
      <c r="D3922" s="242">
        <v>57.4</v>
      </c>
      <c r="E3922" s="845">
        <f t="shared" si="124"/>
        <v>14.111111111111111</v>
      </c>
    </row>
    <row r="3923" spans="2:5">
      <c r="B3923" s="1115">
        <v>45086</v>
      </c>
      <c r="C3923" s="242">
        <f t="shared" si="123"/>
        <v>6</v>
      </c>
      <c r="D3923" s="242">
        <v>57.9</v>
      </c>
      <c r="E3923" s="845">
        <f t="shared" si="124"/>
        <v>14.388888888888888</v>
      </c>
    </row>
    <row r="3924" spans="2:5">
      <c r="B3924" s="1115">
        <v>45086</v>
      </c>
      <c r="C3924" s="242">
        <f t="shared" si="123"/>
        <v>6</v>
      </c>
      <c r="D3924" s="242">
        <v>58.5</v>
      </c>
      <c r="E3924" s="845">
        <f t="shared" si="124"/>
        <v>14.722222222222221</v>
      </c>
    </row>
    <row r="3925" spans="2:5">
      <c r="B3925" s="1115">
        <v>45086</v>
      </c>
      <c r="C3925" s="242">
        <f t="shared" si="123"/>
        <v>6</v>
      </c>
      <c r="D3925" s="242">
        <v>58.6</v>
      </c>
      <c r="E3925" s="845">
        <f t="shared" si="124"/>
        <v>14.777777777777779</v>
      </c>
    </row>
    <row r="3926" spans="2:5">
      <c r="B3926" s="1115">
        <v>45086</v>
      </c>
      <c r="C3926" s="242">
        <f t="shared" si="123"/>
        <v>6</v>
      </c>
      <c r="D3926" s="242">
        <v>58.1</v>
      </c>
      <c r="E3926" s="845">
        <f t="shared" si="124"/>
        <v>14.5</v>
      </c>
    </row>
    <row r="3927" spans="2:5">
      <c r="B3927" s="1115">
        <v>45086</v>
      </c>
      <c r="C3927" s="242">
        <f t="shared" si="123"/>
        <v>6</v>
      </c>
      <c r="D3927" s="242">
        <v>57.4</v>
      </c>
      <c r="E3927" s="845">
        <f t="shared" si="124"/>
        <v>14.111111111111111</v>
      </c>
    </row>
    <row r="3928" spans="2:5">
      <c r="B3928" s="1115">
        <v>45086</v>
      </c>
      <c r="C3928" s="242">
        <f t="shared" si="123"/>
        <v>6</v>
      </c>
      <c r="D3928" s="242">
        <v>56.5</v>
      </c>
      <c r="E3928" s="845">
        <f t="shared" si="124"/>
        <v>13.611111111111111</v>
      </c>
    </row>
    <row r="3929" spans="2:5">
      <c r="B3929" s="1115">
        <v>45086</v>
      </c>
      <c r="C3929" s="242">
        <f t="shared" si="123"/>
        <v>6</v>
      </c>
      <c r="D3929" s="242">
        <v>56.1</v>
      </c>
      <c r="E3929" s="845">
        <f t="shared" si="124"/>
        <v>13.388888888888889</v>
      </c>
    </row>
    <row r="3930" spans="2:5">
      <c r="B3930" s="1115">
        <v>45086</v>
      </c>
      <c r="C3930" s="242">
        <f t="shared" si="123"/>
        <v>6</v>
      </c>
      <c r="D3930" s="242">
        <v>55.8</v>
      </c>
      <c r="E3930" s="845">
        <f t="shared" si="124"/>
        <v>13.22222222222222</v>
      </c>
    </row>
    <row r="3931" spans="2:5">
      <c r="B3931" s="1115">
        <v>45086</v>
      </c>
      <c r="C3931" s="242">
        <f t="shared" si="123"/>
        <v>6</v>
      </c>
      <c r="D3931" s="242">
        <v>55.8</v>
      </c>
      <c r="E3931" s="845">
        <f t="shared" si="124"/>
        <v>13.22222222222222</v>
      </c>
    </row>
    <row r="3932" spans="2:5">
      <c r="B3932" s="1115">
        <v>45086</v>
      </c>
      <c r="C3932" s="242">
        <f t="shared" si="123"/>
        <v>6</v>
      </c>
      <c r="D3932" s="242">
        <v>55.9</v>
      </c>
      <c r="E3932" s="845">
        <f t="shared" si="124"/>
        <v>13.277777777777777</v>
      </c>
    </row>
    <row r="3933" spans="2:5">
      <c r="B3933" s="1115">
        <v>45086</v>
      </c>
      <c r="C3933" s="242">
        <f t="shared" si="123"/>
        <v>6</v>
      </c>
      <c r="D3933" s="242">
        <v>56.1</v>
      </c>
      <c r="E3933" s="845">
        <f t="shared" si="124"/>
        <v>13.388888888888889</v>
      </c>
    </row>
    <row r="3934" spans="2:5">
      <c r="B3934" s="1115">
        <v>45086</v>
      </c>
      <c r="C3934" s="242">
        <f t="shared" si="123"/>
        <v>6</v>
      </c>
      <c r="D3934" s="242">
        <v>56.8</v>
      </c>
      <c r="E3934" s="845">
        <f t="shared" si="124"/>
        <v>13.777777777777775</v>
      </c>
    </row>
    <row r="3935" spans="2:5">
      <c r="B3935" s="1115">
        <v>45086</v>
      </c>
      <c r="C3935" s="242">
        <f t="shared" si="123"/>
        <v>6</v>
      </c>
      <c r="D3935" s="242">
        <v>57.6</v>
      </c>
      <c r="E3935" s="845">
        <f t="shared" si="124"/>
        <v>14.222222222222223</v>
      </c>
    </row>
    <row r="3936" spans="2:5">
      <c r="B3936" s="1115">
        <v>45086</v>
      </c>
      <c r="C3936" s="242">
        <f t="shared" si="123"/>
        <v>6</v>
      </c>
      <c r="D3936" s="242">
        <v>58.1</v>
      </c>
      <c r="E3936" s="845">
        <f t="shared" si="124"/>
        <v>14.5</v>
      </c>
    </row>
    <row r="3937" spans="2:5">
      <c r="B3937" s="1115">
        <v>45086</v>
      </c>
      <c r="C3937" s="242">
        <f t="shared" si="123"/>
        <v>6</v>
      </c>
      <c r="D3937" s="242">
        <v>58.6</v>
      </c>
      <c r="E3937" s="845">
        <f t="shared" si="124"/>
        <v>14.777777777777779</v>
      </c>
    </row>
    <row r="3938" spans="2:5">
      <c r="B3938" s="1115">
        <v>45086</v>
      </c>
      <c r="C3938" s="242">
        <f t="shared" si="123"/>
        <v>6</v>
      </c>
      <c r="D3938" s="242" t="s">
        <v>1849</v>
      </c>
      <c r="E3938" s="845">
        <f t="shared" si="124"/>
        <v>15</v>
      </c>
    </row>
    <row r="3939" spans="2:5">
      <c r="B3939" s="1115">
        <v>45086</v>
      </c>
      <c r="C3939" s="242">
        <f t="shared" si="123"/>
        <v>6</v>
      </c>
      <c r="D3939" s="242">
        <v>58.5</v>
      </c>
      <c r="E3939" s="845">
        <f t="shared" si="124"/>
        <v>14.722222222222221</v>
      </c>
    </row>
    <row r="3940" spans="2:5">
      <c r="B3940" s="1115">
        <v>45086</v>
      </c>
      <c r="C3940" s="242">
        <f t="shared" si="123"/>
        <v>6</v>
      </c>
      <c r="D3940" s="242">
        <v>57.6</v>
      </c>
      <c r="E3940" s="845">
        <f t="shared" si="124"/>
        <v>14.222222222222223</v>
      </c>
    </row>
    <row r="3941" spans="2:5">
      <c r="B3941" s="1115">
        <v>45086</v>
      </c>
      <c r="C3941" s="242">
        <f t="shared" si="123"/>
        <v>6</v>
      </c>
      <c r="D3941" s="242">
        <v>56.8</v>
      </c>
      <c r="E3941" s="845">
        <f t="shared" si="124"/>
        <v>13.777777777777775</v>
      </c>
    </row>
    <row r="3942" spans="2:5">
      <c r="B3942" s="1115">
        <v>45086</v>
      </c>
      <c r="C3942" s="242">
        <f t="shared" si="123"/>
        <v>6</v>
      </c>
      <c r="D3942" s="242">
        <v>56.5</v>
      </c>
      <c r="E3942" s="845">
        <f t="shared" si="124"/>
        <v>13.611111111111111</v>
      </c>
    </row>
    <row r="3943" spans="2:5">
      <c r="B3943" s="1115">
        <v>45086</v>
      </c>
      <c r="C3943" s="242">
        <f t="shared" si="123"/>
        <v>6</v>
      </c>
      <c r="D3943" s="242">
        <v>56.5</v>
      </c>
      <c r="E3943" s="845">
        <f t="shared" si="124"/>
        <v>13.611111111111111</v>
      </c>
    </row>
    <row r="3944" spans="2:5">
      <c r="B3944" s="1115">
        <v>45086</v>
      </c>
      <c r="C3944" s="242">
        <f t="shared" si="123"/>
        <v>6</v>
      </c>
      <c r="D3944" s="242">
        <v>56.5</v>
      </c>
      <c r="E3944" s="845">
        <f t="shared" si="124"/>
        <v>13.611111111111111</v>
      </c>
    </row>
    <row r="3945" spans="2:5">
      <c r="B3945" s="1115">
        <v>45087</v>
      </c>
      <c r="C3945" s="242">
        <f t="shared" si="123"/>
        <v>6</v>
      </c>
      <c r="D3945" s="242">
        <v>56.7</v>
      </c>
      <c r="E3945" s="845">
        <f t="shared" si="124"/>
        <v>13.722222222222223</v>
      </c>
    </row>
    <row r="3946" spans="2:5">
      <c r="B3946" s="1115">
        <v>45087</v>
      </c>
      <c r="C3946" s="242">
        <f t="shared" si="123"/>
        <v>6</v>
      </c>
      <c r="D3946" s="242">
        <v>56.8</v>
      </c>
      <c r="E3946" s="845">
        <f t="shared" si="124"/>
        <v>13.777777777777775</v>
      </c>
    </row>
    <row r="3947" spans="2:5">
      <c r="B3947" s="1115">
        <v>45087</v>
      </c>
      <c r="C3947" s="242">
        <f t="shared" si="123"/>
        <v>6</v>
      </c>
      <c r="D3947" s="242">
        <v>57.6</v>
      </c>
      <c r="E3947" s="845">
        <f t="shared" si="124"/>
        <v>14.222222222222223</v>
      </c>
    </row>
    <row r="3948" spans="2:5">
      <c r="B3948" s="1115">
        <v>45087</v>
      </c>
      <c r="C3948" s="242">
        <f t="shared" si="123"/>
        <v>6</v>
      </c>
      <c r="D3948" s="242">
        <v>58.1</v>
      </c>
      <c r="E3948" s="845">
        <f t="shared" si="124"/>
        <v>14.5</v>
      </c>
    </row>
    <row r="3949" spans="2:5">
      <c r="B3949" s="1115">
        <v>45087</v>
      </c>
      <c r="C3949" s="242">
        <f t="shared" si="123"/>
        <v>6</v>
      </c>
      <c r="D3949" s="242">
        <v>58.6</v>
      </c>
      <c r="E3949" s="845">
        <f t="shared" si="124"/>
        <v>14.777777777777779</v>
      </c>
    </row>
    <row r="3950" spans="2:5">
      <c r="B3950" s="1115">
        <v>45087</v>
      </c>
      <c r="C3950" s="242">
        <f t="shared" si="123"/>
        <v>6</v>
      </c>
      <c r="D3950" s="242">
        <v>58.8</v>
      </c>
      <c r="E3950" s="845">
        <f t="shared" si="124"/>
        <v>14.888888888888888</v>
      </c>
    </row>
    <row r="3951" spans="2:5">
      <c r="B3951" s="1115">
        <v>45087</v>
      </c>
      <c r="C3951" s="242">
        <f t="shared" si="123"/>
        <v>6</v>
      </c>
      <c r="D3951" s="242">
        <v>58.5</v>
      </c>
      <c r="E3951" s="845">
        <f t="shared" si="124"/>
        <v>14.722222222222221</v>
      </c>
    </row>
    <row r="3952" spans="2:5">
      <c r="B3952" s="1115">
        <v>45087</v>
      </c>
      <c r="C3952" s="242">
        <f t="shared" si="123"/>
        <v>6</v>
      </c>
      <c r="D3952" s="242">
        <v>57.7</v>
      </c>
      <c r="E3952" s="845">
        <f t="shared" si="124"/>
        <v>14.277777777777779</v>
      </c>
    </row>
    <row r="3953" spans="2:5">
      <c r="B3953" s="1115">
        <v>45087</v>
      </c>
      <c r="C3953" s="242">
        <f t="shared" si="123"/>
        <v>6</v>
      </c>
      <c r="D3953" s="242" t="s">
        <v>1848</v>
      </c>
      <c r="E3953" s="845">
        <f t="shared" si="124"/>
        <v>13.888888888888889</v>
      </c>
    </row>
    <row r="3954" spans="2:5">
      <c r="B3954" s="1115">
        <v>45087</v>
      </c>
      <c r="C3954" s="242">
        <f t="shared" si="123"/>
        <v>6</v>
      </c>
      <c r="D3954" s="242">
        <v>56.5</v>
      </c>
      <c r="E3954" s="845">
        <f t="shared" si="124"/>
        <v>13.611111111111111</v>
      </c>
    </row>
    <row r="3955" spans="2:5">
      <c r="B3955" s="1115">
        <v>45087</v>
      </c>
      <c r="C3955" s="242">
        <f t="shared" si="123"/>
        <v>6</v>
      </c>
      <c r="D3955" s="242">
        <v>56.3</v>
      </c>
      <c r="E3955" s="845">
        <f t="shared" si="124"/>
        <v>13.499999999999998</v>
      </c>
    </row>
    <row r="3956" spans="2:5">
      <c r="B3956" s="1115">
        <v>45087</v>
      </c>
      <c r="C3956" s="242">
        <f t="shared" si="123"/>
        <v>6</v>
      </c>
      <c r="D3956" s="242">
        <v>56.3</v>
      </c>
      <c r="E3956" s="845">
        <f t="shared" si="124"/>
        <v>13.499999999999998</v>
      </c>
    </row>
    <row r="3957" spans="2:5">
      <c r="B3957" s="1115">
        <v>45087</v>
      </c>
      <c r="C3957" s="242">
        <f t="shared" si="123"/>
        <v>6</v>
      </c>
      <c r="D3957" s="242">
        <v>56.3</v>
      </c>
      <c r="E3957" s="845">
        <f t="shared" si="124"/>
        <v>13.499999999999998</v>
      </c>
    </row>
    <row r="3958" spans="2:5">
      <c r="B3958" s="1115">
        <v>45087</v>
      </c>
      <c r="C3958" s="242">
        <f t="shared" si="123"/>
        <v>6</v>
      </c>
      <c r="D3958" s="242">
        <v>56.7</v>
      </c>
      <c r="E3958" s="845">
        <f t="shared" si="124"/>
        <v>13.722222222222223</v>
      </c>
    </row>
    <row r="3959" spans="2:5">
      <c r="B3959" s="1115">
        <v>45087</v>
      </c>
      <c r="C3959" s="242">
        <f t="shared" si="123"/>
        <v>6</v>
      </c>
      <c r="D3959" s="242">
        <v>57.4</v>
      </c>
      <c r="E3959" s="845">
        <f t="shared" si="124"/>
        <v>14.111111111111111</v>
      </c>
    </row>
    <row r="3960" spans="2:5">
      <c r="B3960" s="1115">
        <v>45087</v>
      </c>
      <c r="C3960" s="242">
        <f t="shared" si="123"/>
        <v>6</v>
      </c>
      <c r="D3960" s="242">
        <v>57.9</v>
      </c>
      <c r="E3960" s="845">
        <f t="shared" si="124"/>
        <v>14.388888888888888</v>
      </c>
    </row>
    <row r="3961" spans="2:5">
      <c r="B3961" s="1115">
        <v>45087</v>
      </c>
      <c r="C3961" s="242">
        <f t="shared" si="123"/>
        <v>6</v>
      </c>
      <c r="D3961" s="242">
        <v>58.6</v>
      </c>
      <c r="E3961" s="845">
        <f t="shared" si="124"/>
        <v>14.777777777777779</v>
      </c>
    </row>
    <row r="3962" spans="2:5">
      <c r="B3962" s="1115">
        <v>45087</v>
      </c>
      <c r="C3962" s="242">
        <f t="shared" si="123"/>
        <v>6</v>
      </c>
      <c r="D3962" s="242">
        <v>59.2</v>
      </c>
      <c r="E3962" s="845">
        <f t="shared" si="124"/>
        <v>15.111111111111112</v>
      </c>
    </row>
    <row r="3963" spans="2:5">
      <c r="B3963" s="1115">
        <v>45087</v>
      </c>
      <c r="C3963" s="242">
        <f t="shared" si="123"/>
        <v>6</v>
      </c>
      <c r="D3963" s="242">
        <v>59.2</v>
      </c>
      <c r="E3963" s="845">
        <f t="shared" si="124"/>
        <v>15.111111111111112</v>
      </c>
    </row>
    <row r="3964" spans="2:5">
      <c r="B3964" s="1115">
        <v>45087</v>
      </c>
      <c r="C3964" s="242">
        <f t="shared" si="123"/>
        <v>6</v>
      </c>
      <c r="D3964" s="242">
        <v>58.8</v>
      </c>
      <c r="E3964" s="845">
        <f t="shared" si="124"/>
        <v>14.888888888888888</v>
      </c>
    </row>
    <row r="3965" spans="2:5">
      <c r="B3965" s="1115">
        <v>45087</v>
      </c>
      <c r="C3965" s="242">
        <f t="shared" si="123"/>
        <v>6</v>
      </c>
      <c r="D3965" s="242">
        <v>58.1</v>
      </c>
      <c r="E3965" s="845">
        <f t="shared" si="124"/>
        <v>14.5</v>
      </c>
    </row>
    <row r="3966" spans="2:5">
      <c r="B3966" s="1115">
        <v>45087</v>
      </c>
      <c r="C3966" s="242">
        <f t="shared" si="123"/>
        <v>6</v>
      </c>
      <c r="D3966" s="242" t="s">
        <v>1848</v>
      </c>
      <c r="E3966" s="845">
        <f t="shared" si="124"/>
        <v>13.888888888888889</v>
      </c>
    </row>
    <row r="3967" spans="2:5">
      <c r="B3967" s="1115">
        <v>45087</v>
      </c>
      <c r="C3967" s="242">
        <f t="shared" si="123"/>
        <v>6</v>
      </c>
      <c r="D3967" s="242">
        <v>56.8</v>
      </c>
      <c r="E3967" s="845">
        <f t="shared" si="124"/>
        <v>13.777777777777775</v>
      </c>
    </row>
    <row r="3968" spans="2:5">
      <c r="B3968" s="1115">
        <v>45087</v>
      </c>
      <c r="C3968" s="242">
        <f t="shared" si="123"/>
        <v>6</v>
      </c>
      <c r="D3968" s="242">
        <v>56.7</v>
      </c>
      <c r="E3968" s="845">
        <f t="shared" si="124"/>
        <v>13.722222222222223</v>
      </c>
    </row>
    <row r="3969" spans="2:5">
      <c r="B3969" s="1115">
        <v>45088</v>
      </c>
      <c r="C3969" s="242">
        <f t="shared" si="123"/>
        <v>6</v>
      </c>
      <c r="D3969" s="242">
        <v>56.7</v>
      </c>
      <c r="E3969" s="845">
        <f t="shared" si="124"/>
        <v>13.722222222222223</v>
      </c>
    </row>
    <row r="3970" spans="2:5">
      <c r="B3970" s="1115">
        <v>45088</v>
      </c>
      <c r="C3970" s="242">
        <f t="shared" si="123"/>
        <v>6</v>
      </c>
      <c r="D3970" s="242">
        <v>56.8</v>
      </c>
      <c r="E3970" s="845">
        <f t="shared" si="124"/>
        <v>13.777777777777775</v>
      </c>
    </row>
    <row r="3971" spans="2:5">
      <c r="B3971" s="1115">
        <v>45088</v>
      </c>
      <c r="C3971" s="242">
        <f t="shared" si="123"/>
        <v>6</v>
      </c>
      <c r="D3971" s="242">
        <v>57.2</v>
      </c>
      <c r="E3971" s="845">
        <f t="shared" si="124"/>
        <v>14.000000000000002</v>
      </c>
    </row>
    <row r="3972" spans="2:5">
      <c r="B3972" s="1115">
        <v>45088</v>
      </c>
      <c r="C3972" s="242">
        <f t="shared" si="123"/>
        <v>6</v>
      </c>
      <c r="D3972" s="242">
        <v>58.1</v>
      </c>
      <c r="E3972" s="845">
        <f t="shared" si="124"/>
        <v>14.5</v>
      </c>
    </row>
    <row r="3973" spans="2:5">
      <c r="B3973" s="1115">
        <v>45088</v>
      </c>
      <c r="C3973" s="242">
        <f t="shared" si="123"/>
        <v>6</v>
      </c>
      <c r="D3973" s="242">
        <v>58.6</v>
      </c>
      <c r="E3973" s="845">
        <f t="shared" si="124"/>
        <v>14.777777777777779</v>
      </c>
    </row>
    <row r="3974" spans="2:5">
      <c r="B3974" s="1115">
        <v>45088</v>
      </c>
      <c r="C3974" s="242">
        <f t="shared" si="123"/>
        <v>6</v>
      </c>
      <c r="D3974" s="242">
        <v>59.2</v>
      </c>
      <c r="E3974" s="845">
        <f t="shared" si="124"/>
        <v>15.111111111111112</v>
      </c>
    </row>
    <row r="3975" spans="2:5">
      <c r="B3975" s="1115">
        <v>45088</v>
      </c>
      <c r="C3975" s="242">
        <f t="shared" si="123"/>
        <v>6</v>
      </c>
      <c r="D3975" s="242">
        <v>59.4</v>
      </c>
      <c r="E3975" s="845">
        <f t="shared" si="124"/>
        <v>15.222222222222221</v>
      </c>
    </row>
    <row r="3976" spans="2:5">
      <c r="B3976" s="1115">
        <v>45088</v>
      </c>
      <c r="C3976" s="242">
        <f t="shared" si="123"/>
        <v>6</v>
      </c>
      <c r="D3976" s="242">
        <v>59.2</v>
      </c>
      <c r="E3976" s="845">
        <f t="shared" si="124"/>
        <v>15.111111111111112</v>
      </c>
    </row>
    <row r="3977" spans="2:5">
      <c r="B3977" s="1115">
        <v>45088</v>
      </c>
      <c r="C3977" s="242">
        <f t="shared" si="123"/>
        <v>6</v>
      </c>
      <c r="D3977" s="242">
        <v>58.3</v>
      </c>
      <c r="E3977" s="845">
        <f t="shared" si="124"/>
        <v>14.611111111111109</v>
      </c>
    </row>
    <row r="3978" spans="2:5">
      <c r="B3978" s="1115">
        <v>45088</v>
      </c>
      <c r="C3978" s="242">
        <f t="shared" ref="C3978:C4041" si="125">MONTH(B3978)</f>
        <v>6</v>
      </c>
      <c r="D3978" s="242">
        <v>57.4</v>
      </c>
      <c r="E3978" s="845">
        <f t="shared" ref="E3978:E4041" si="126">CONVERT(D3978,"F","C")</f>
        <v>14.111111111111111</v>
      </c>
    </row>
    <row r="3979" spans="2:5">
      <c r="B3979" s="1115">
        <v>45088</v>
      </c>
      <c r="C3979" s="242">
        <f t="shared" si="125"/>
        <v>6</v>
      </c>
      <c r="D3979" s="242">
        <v>56.3</v>
      </c>
      <c r="E3979" s="845">
        <f t="shared" si="126"/>
        <v>13.499999999999998</v>
      </c>
    </row>
    <row r="3980" spans="2:5">
      <c r="B3980" s="1115">
        <v>45088</v>
      </c>
      <c r="C3980" s="242">
        <f t="shared" si="125"/>
        <v>6</v>
      </c>
      <c r="D3980" s="242">
        <v>56.1</v>
      </c>
      <c r="E3980" s="845">
        <f t="shared" si="126"/>
        <v>13.388888888888889</v>
      </c>
    </row>
    <row r="3981" spans="2:5">
      <c r="B3981" s="1115">
        <v>45088</v>
      </c>
      <c r="C3981" s="242">
        <f t="shared" si="125"/>
        <v>6</v>
      </c>
      <c r="D3981" s="242">
        <v>55.9</v>
      </c>
      <c r="E3981" s="845">
        <f t="shared" si="126"/>
        <v>13.277777777777777</v>
      </c>
    </row>
    <row r="3982" spans="2:5">
      <c r="B3982" s="1115">
        <v>45088</v>
      </c>
      <c r="C3982" s="242">
        <f t="shared" si="125"/>
        <v>6</v>
      </c>
      <c r="D3982" s="242">
        <v>56.1</v>
      </c>
      <c r="E3982" s="845">
        <f t="shared" si="126"/>
        <v>13.388888888888889</v>
      </c>
    </row>
    <row r="3983" spans="2:5">
      <c r="B3983" s="1115">
        <v>45088</v>
      </c>
      <c r="C3983" s="242">
        <f t="shared" si="125"/>
        <v>6</v>
      </c>
      <c r="D3983" s="242">
        <v>56.8</v>
      </c>
      <c r="E3983" s="845">
        <f t="shared" si="126"/>
        <v>13.777777777777775</v>
      </c>
    </row>
    <row r="3984" spans="2:5">
      <c r="B3984" s="1115">
        <v>45088</v>
      </c>
      <c r="C3984" s="242">
        <f t="shared" si="125"/>
        <v>6</v>
      </c>
      <c r="D3984" s="242">
        <v>57.7</v>
      </c>
      <c r="E3984" s="845">
        <f t="shared" si="126"/>
        <v>14.277777777777779</v>
      </c>
    </row>
    <row r="3985" spans="2:5">
      <c r="B3985" s="1115">
        <v>45088</v>
      </c>
      <c r="C3985" s="242">
        <f t="shared" si="125"/>
        <v>6</v>
      </c>
      <c r="D3985" s="242">
        <v>58.6</v>
      </c>
      <c r="E3985" s="845">
        <f t="shared" si="126"/>
        <v>14.777777777777779</v>
      </c>
    </row>
    <row r="3986" spans="2:5">
      <c r="B3986" s="1115">
        <v>45088</v>
      </c>
      <c r="C3986" s="242">
        <f t="shared" si="125"/>
        <v>6</v>
      </c>
      <c r="D3986" s="242">
        <v>59.5</v>
      </c>
      <c r="E3986" s="845">
        <f t="shared" si="126"/>
        <v>15.277777777777777</v>
      </c>
    </row>
    <row r="3987" spans="2:5">
      <c r="B3987" s="1115">
        <v>45088</v>
      </c>
      <c r="C3987" s="242">
        <f t="shared" si="125"/>
        <v>6</v>
      </c>
      <c r="D3987" s="242">
        <v>60.1</v>
      </c>
      <c r="E3987" s="845">
        <f t="shared" si="126"/>
        <v>15.611111111111111</v>
      </c>
    </row>
    <row r="3988" spans="2:5">
      <c r="B3988" s="1115">
        <v>45088</v>
      </c>
      <c r="C3988" s="242">
        <f t="shared" si="125"/>
        <v>6</v>
      </c>
      <c r="D3988" s="242">
        <v>60.4</v>
      </c>
      <c r="E3988" s="845">
        <f t="shared" si="126"/>
        <v>15.777777777777777</v>
      </c>
    </row>
    <row r="3989" spans="2:5">
      <c r="B3989" s="1115">
        <v>45088</v>
      </c>
      <c r="C3989" s="242">
        <f t="shared" si="125"/>
        <v>6</v>
      </c>
      <c r="D3989" s="242">
        <v>59.2</v>
      </c>
      <c r="E3989" s="845">
        <f t="shared" si="126"/>
        <v>15.111111111111112</v>
      </c>
    </row>
    <row r="3990" spans="2:5">
      <c r="B3990" s="1115">
        <v>45088</v>
      </c>
      <c r="C3990" s="242">
        <f t="shared" si="125"/>
        <v>6</v>
      </c>
      <c r="D3990" s="242">
        <v>58.3</v>
      </c>
      <c r="E3990" s="845">
        <f t="shared" si="126"/>
        <v>14.611111111111109</v>
      </c>
    </row>
    <row r="3991" spans="2:5">
      <c r="B3991" s="1115">
        <v>45088</v>
      </c>
      <c r="C3991" s="242">
        <f t="shared" si="125"/>
        <v>6</v>
      </c>
      <c r="D3991" s="242" t="s">
        <v>1848</v>
      </c>
      <c r="E3991" s="845">
        <f t="shared" si="126"/>
        <v>13.888888888888889</v>
      </c>
    </row>
    <row r="3992" spans="2:5">
      <c r="B3992" s="1115">
        <v>45088</v>
      </c>
      <c r="C3992" s="242">
        <f t="shared" si="125"/>
        <v>6</v>
      </c>
      <c r="D3992" s="242">
        <v>56.3</v>
      </c>
      <c r="E3992" s="845">
        <f t="shared" si="126"/>
        <v>13.499999999999998</v>
      </c>
    </row>
    <row r="3993" spans="2:5">
      <c r="B3993" s="1115">
        <v>45089</v>
      </c>
      <c r="C3993" s="242">
        <f t="shared" si="125"/>
        <v>6</v>
      </c>
      <c r="D3993" s="242">
        <v>56.3</v>
      </c>
      <c r="E3993" s="845">
        <f t="shared" si="126"/>
        <v>13.499999999999998</v>
      </c>
    </row>
    <row r="3994" spans="2:5">
      <c r="B3994" s="1115">
        <v>45089</v>
      </c>
      <c r="C3994" s="242">
        <f t="shared" si="125"/>
        <v>6</v>
      </c>
      <c r="D3994" s="242">
        <v>56.7</v>
      </c>
      <c r="E3994" s="845">
        <f t="shared" si="126"/>
        <v>13.722222222222223</v>
      </c>
    </row>
    <row r="3995" spans="2:5">
      <c r="B3995" s="1115">
        <v>45089</v>
      </c>
      <c r="C3995" s="242">
        <f t="shared" si="125"/>
        <v>6</v>
      </c>
      <c r="D3995" s="242">
        <v>56.8</v>
      </c>
      <c r="E3995" s="845">
        <f t="shared" si="126"/>
        <v>13.777777777777775</v>
      </c>
    </row>
    <row r="3996" spans="2:5">
      <c r="B3996" s="1115">
        <v>45089</v>
      </c>
      <c r="C3996" s="242">
        <f t="shared" si="125"/>
        <v>6</v>
      </c>
      <c r="D3996" s="242">
        <v>57.2</v>
      </c>
      <c r="E3996" s="845">
        <f t="shared" si="126"/>
        <v>14.000000000000002</v>
      </c>
    </row>
    <row r="3997" spans="2:5">
      <c r="B3997" s="1115">
        <v>45089</v>
      </c>
      <c r="C3997" s="242">
        <f t="shared" si="125"/>
        <v>6</v>
      </c>
      <c r="D3997" s="242">
        <v>58.3</v>
      </c>
      <c r="E3997" s="845">
        <f t="shared" si="126"/>
        <v>14.611111111111109</v>
      </c>
    </row>
    <row r="3998" spans="2:5">
      <c r="B3998" s="1115">
        <v>45089</v>
      </c>
      <c r="C3998" s="242">
        <f t="shared" si="125"/>
        <v>6</v>
      </c>
      <c r="D3998" s="242">
        <v>59.2</v>
      </c>
      <c r="E3998" s="845">
        <f t="shared" si="126"/>
        <v>15.111111111111112</v>
      </c>
    </row>
    <row r="3999" spans="2:5">
      <c r="B3999" s="1115">
        <v>45089</v>
      </c>
      <c r="C3999" s="242">
        <f t="shared" si="125"/>
        <v>6</v>
      </c>
      <c r="D3999" s="242">
        <v>59.9</v>
      </c>
      <c r="E3999" s="845">
        <f t="shared" si="126"/>
        <v>15.499999999999998</v>
      </c>
    </row>
    <row r="4000" spans="2:5">
      <c r="B4000" s="1115">
        <v>45089</v>
      </c>
      <c r="C4000" s="242">
        <f t="shared" si="125"/>
        <v>6</v>
      </c>
      <c r="D4000" s="242">
        <v>60.3</v>
      </c>
      <c r="E4000" s="845">
        <f t="shared" si="126"/>
        <v>15.72222222222222</v>
      </c>
    </row>
    <row r="4001" spans="2:5">
      <c r="B4001" s="1115">
        <v>45089</v>
      </c>
      <c r="C4001" s="242">
        <f t="shared" si="125"/>
        <v>6</v>
      </c>
      <c r="D4001" s="242">
        <v>60.1</v>
      </c>
      <c r="E4001" s="845">
        <f t="shared" si="126"/>
        <v>15.611111111111111</v>
      </c>
    </row>
    <row r="4002" spans="2:5">
      <c r="B4002" s="1115">
        <v>45089</v>
      </c>
      <c r="C4002" s="242">
        <f t="shared" si="125"/>
        <v>6</v>
      </c>
      <c r="D4002" s="242">
        <v>58.8</v>
      </c>
      <c r="E4002" s="845">
        <f t="shared" si="126"/>
        <v>14.888888888888888</v>
      </c>
    </row>
    <row r="4003" spans="2:5">
      <c r="B4003" s="1115">
        <v>45089</v>
      </c>
      <c r="C4003" s="242">
        <f t="shared" si="125"/>
        <v>6</v>
      </c>
      <c r="D4003" s="242">
        <v>57.4</v>
      </c>
      <c r="E4003" s="845">
        <f t="shared" si="126"/>
        <v>14.111111111111111</v>
      </c>
    </row>
    <row r="4004" spans="2:5">
      <c r="B4004" s="1115">
        <v>45089</v>
      </c>
      <c r="C4004" s="242">
        <f t="shared" si="125"/>
        <v>6</v>
      </c>
      <c r="D4004" s="242">
        <v>55.9</v>
      </c>
      <c r="E4004" s="845">
        <f t="shared" si="126"/>
        <v>13.277777777777777</v>
      </c>
    </row>
    <row r="4005" spans="2:5">
      <c r="B4005" s="1115">
        <v>45089</v>
      </c>
      <c r="C4005" s="242">
        <f t="shared" si="125"/>
        <v>6</v>
      </c>
      <c r="D4005" s="242">
        <v>55.6</v>
      </c>
      <c r="E4005" s="845">
        <f t="shared" si="126"/>
        <v>13.111111111111111</v>
      </c>
    </row>
    <row r="4006" spans="2:5">
      <c r="B4006" s="1115">
        <v>45089</v>
      </c>
      <c r="C4006" s="242">
        <f t="shared" si="125"/>
        <v>6</v>
      </c>
      <c r="D4006" s="242">
        <v>55.4</v>
      </c>
      <c r="E4006" s="845">
        <f t="shared" si="126"/>
        <v>12.999999999999998</v>
      </c>
    </row>
    <row r="4007" spans="2:5">
      <c r="B4007" s="1115">
        <v>45089</v>
      </c>
      <c r="C4007" s="242">
        <f t="shared" si="125"/>
        <v>6</v>
      </c>
      <c r="D4007" s="242">
        <v>55.9</v>
      </c>
      <c r="E4007" s="845">
        <f t="shared" si="126"/>
        <v>13.277777777777777</v>
      </c>
    </row>
    <row r="4008" spans="2:5">
      <c r="B4008" s="1115">
        <v>45089</v>
      </c>
      <c r="C4008" s="242">
        <f t="shared" si="125"/>
        <v>6</v>
      </c>
      <c r="D4008" s="242">
        <v>56.5</v>
      </c>
      <c r="E4008" s="845">
        <f t="shared" si="126"/>
        <v>13.611111111111111</v>
      </c>
    </row>
    <row r="4009" spans="2:5">
      <c r="B4009" s="1115">
        <v>45089</v>
      </c>
      <c r="C4009" s="242">
        <f t="shared" si="125"/>
        <v>6</v>
      </c>
      <c r="D4009" s="242">
        <v>57.7</v>
      </c>
      <c r="E4009" s="845">
        <f t="shared" si="126"/>
        <v>14.277777777777779</v>
      </c>
    </row>
    <row r="4010" spans="2:5">
      <c r="B4010" s="1115">
        <v>45089</v>
      </c>
      <c r="C4010" s="242">
        <f t="shared" si="125"/>
        <v>6</v>
      </c>
      <c r="D4010" s="242">
        <v>59.2</v>
      </c>
      <c r="E4010" s="845">
        <f t="shared" si="126"/>
        <v>15.111111111111112</v>
      </c>
    </row>
    <row r="4011" spans="2:5">
      <c r="B4011" s="1115">
        <v>45089</v>
      </c>
      <c r="C4011" s="242">
        <f t="shared" si="125"/>
        <v>6</v>
      </c>
      <c r="D4011" s="242">
        <v>60.1</v>
      </c>
      <c r="E4011" s="845">
        <f t="shared" si="126"/>
        <v>15.611111111111111</v>
      </c>
    </row>
    <row r="4012" spans="2:5">
      <c r="B4012" s="1115">
        <v>45089</v>
      </c>
      <c r="C4012" s="242">
        <f t="shared" si="125"/>
        <v>6</v>
      </c>
      <c r="D4012" s="242">
        <v>60.8</v>
      </c>
      <c r="E4012" s="845">
        <f t="shared" si="126"/>
        <v>15.999999999999998</v>
      </c>
    </row>
    <row r="4013" spans="2:5">
      <c r="B4013" s="1115">
        <v>45089</v>
      </c>
      <c r="C4013" s="242">
        <f t="shared" si="125"/>
        <v>6</v>
      </c>
      <c r="D4013" s="242">
        <v>61.2</v>
      </c>
      <c r="E4013" s="845">
        <f t="shared" si="126"/>
        <v>16.222222222222225</v>
      </c>
    </row>
    <row r="4014" spans="2:5">
      <c r="B4014" s="1115">
        <v>45089</v>
      </c>
      <c r="C4014" s="242">
        <f t="shared" si="125"/>
        <v>6</v>
      </c>
      <c r="D4014" s="242">
        <v>59.7</v>
      </c>
      <c r="E4014" s="845">
        <f t="shared" si="126"/>
        <v>15.388888888888889</v>
      </c>
    </row>
    <row r="4015" spans="2:5">
      <c r="B4015" s="1115">
        <v>45089</v>
      </c>
      <c r="C4015" s="242">
        <f t="shared" si="125"/>
        <v>6</v>
      </c>
      <c r="D4015" s="242">
        <v>58.5</v>
      </c>
      <c r="E4015" s="845">
        <f t="shared" si="126"/>
        <v>14.722222222222221</v>
      </c>
    </row>
    <row r="4016" spans="2:5">
      <c r="B4016" s="1115">
        <v>45089</v>
      </c>
      <c r="C4016" s="242">
        <f t="shared" si="125"/>
        <v>6</v>
      </c>
      <c r="D4016" s="242">
        <v>56.7</v>
      </c>
      <c r="E4016" s="845">
        <f t="shared" si="126"/>
        <v>13.722222222222223</v>
      </c>
    </row>
    <row r="4017" spans="2:5">
      <c r="B4017" s="1115">
        <v>45090</v>
      </c>
      <c r="C4017" s="242">
        <f t="shared" si="125"/>
        <v>6</v>
      </c>
      <c r="D4017" s="242">
        <v>55.8</v>
      </c>
      <c r="E4017" s="845">
        <f t="shared" si="126"/>
        <v>13.22222222222222</v>
      </c>
    </row>
    <row r="4018" spans="2:5">
      <c r="B4018" s="1115">
        <v>45090</v>
      </c>
      <c r="C4018" s="242">
        <f t="shared" si="125"/>
        <v>6</v>
      </c>
      <c r="D4018" s="242">
        <v>55.8</v>
      </c>
      <c r="E4018" s="845">
        <f t="shared" si="126"/>
        <v>13.22222222222222</v>
      </c>
    </row>
    <row r="4019" spans="2:5">
      <c r="B4019" s="1115">
        <v>45090</v>
      </c>
      <c r="C4019" s="242">
        <f t="shared" si="125"/>
        <v>6</v>
      </c>
      <c r="D4019" s="242">
        <v>56.1</v>
      </c>
      <c r="E4019" s="845">
        <f t="shared" si="126"/>
        <v>13.388888888888889</v>
      </c>
    </row>
    <row r="4020" spans="2:5">
      <c r="B4020" s="1115">
        <v>45090</v>
      </c>
      <c r="C4020" s="242">
        <f t="shared" si="125"/>
        <v>6</v>
      </c>
      <c r="D4020" s="242">
        <v>56.5</v>
      </c>
      <c r="E4020" s="845">
        <f t="shared" si="126"/>
        <v>13.611111111111111</v>
      </c>
    </row>
    <row r="4021" spans="2:5">
      <c r="B4021" s="1115">
        <v>45090</v>
      </c>
      <c r="C4021" s="242">
        <f t="shared" si="125"/>
        <v>6</v>
      </c>
      <c r="D4021" s="242" t="s">
        <v>1848</v>
      </c>
      <c r="E4021" s="845">
        <f t="shared" si="126"/>
        <v>13.888888888888889</v>
      </c>
    </row>
    <row r="4022" spans="2:5">
      <c r="B4022" s="1115">
        <v>45090</v>
      </c>
      <c r="C4022" s="242">
        <f t="shared" si="125"/>
        <v>6</v>
      </c>
      <c r="D4022" s="242">
        <v>58.3</v>
      </c>
      <c r="E4022" s="845">
        <f t="shared" si="126"/>
        <v>14.611111111111109</v>
      </c>
    </row>
    <row r="4023" spans="2:5">
      <c r="B4023" s="1115">
        <v>45090</v>
      </c>
      <c r="C4023" s="242">
        <f t="shared" si="125"/>
        <v>6</v>
      </c>
      <c r="D4023" s="242">
        <v>59.4</v>
      </c>
      <c r="E4023" s="845">
        <f t="shared" si="126"/>
        <v>15.222222222222221</v>
      </c>
    </row>
    <row r="4024" spans="2:5">
      <c r="B4024" s="1115">
        <v>45090</v>
      </c>
      <c r="C4024" s="242">
        <f t="shared" si="125"/>
        <v>6</v>
      </c>
      <c r="D4024" s="242">
        <v>60.4</v>
      </c>
      <c r="E4024" s="845">
        <f t="shared" si="126"/>
        <v>15.777777777777777</v>
      </c>
    </row>
    <row r="4025" spans="2:5">
      <c r="B4025" s="1115">
        <v>45090</v>
      </c>
      <c r="C4025" s="242">
        <f t="shared" si="125"/>
        <v>6</v>
      </c>
      <c r="D4025" s="242" t="s">
        <v>1850</v>
      </c>
      <c r="E4025" s="845">
        <f t="shared" si="126"/>
        <v>16.111111111111111</v>
      </c>
    </row>
    <row r="4026" spans="2:5">
      <c r="B4026" s="1115">
        <v>45090</v>
      </c>
      <c r="C4026" s="242">
        <f t="shared" si="125"/>
        <v>6</v>
      </c>
      <c r="D4026" s="242">
        <v>60.8</v>
      </c>
      <c r="E4026" s="845">
        <f t="shared" si="126"/>
        <v>15.999999999999998</v>
      </c>
    </row>
    <row r="4027" spans="2:5">
      <c r="B4027" s="1115">
        <v>45090</v>
      </c>
      <c r="C4027" s="242">
        <f t="shared" si="125"/>
        <v>6</v>
      </c>
      <c r="D4027" s="242" t="s">
        <v>1849</v>
      </c>
      <c r="E4027" s="845">
        <f t="shared" si="126"/>
        <v>15</v>
      </c>
    </row>
    <row r="4028" spans="2:5">
      <c r="B4028" s="1115">
        <v>45090</v>
      </c>
      <c r="C4028" s="242">
        <f t="shared" si="125"/>
        <v>6</v>
      </c>
      <c r="D4028" s="242">
        <v>58.3</v>
      </c>
      <c r="E4028" s="845">
        <f t="shared" si="126"/>
        <v>14.611111111111109</v>
      </c>
    </row>
    <row r="4029" spans="2:5">
      <c r="B4029" s="1115">
        <v>45090</v>
      </c>
      <c r="C4029" s="242">
        <f t="shared" si="125"/>
        <v>6</v>
      </c>
      <c r="D4029" s="242">
        <v>57.2</v>
      </c>
      <c r="E4029" s="845">
        <f t="shared" si="126"/>
        <v>14.000000000000002</v>
      </c>
    </row>
    <row r="4030" spans="2:5">
      <c r="B4030" s="1115">
        <v>45090</v>
      </c>
      <c r="C4030" s="242">
        <f t="shared" si="125"/>
        <v>6</v>
      </c>
      <c r="D4030" s="242">
        <v>56.5</v>
      </c>
      <c r="E4030" s="845">
        <f t="shared" si="126"/>
        <v>13.611111111111111</v>
      </c>
    </row>
    <row r="4031" spans="2:5">
      <c r="B4031" s="1115">
        <v>45090</v>
      </c>
      <c r="C4031" s="242">
        <f t="shared" si="125"/>
        <v>6</v>
      </c>
      <c r="D4031" s="242">
        <v>56.3</v>
      </c>
      <c r="E4031" s="845">
        <f t="shared" si="126"/>
        <v>13.499999999999998</v>
      </c>
    </row>
    <row r="4032" spans="2:5">
      <c r="B4032" s="1115">
        <v>45090</v>
      </c>
      <c r="C4032" s="242">
        <f t="shared" si="125"/>
        <v>6</v>
      </c>
      <c r="D4032" s="242">
        <v>56.8</v>
      </c>
      <c r="E4032" s="845">
        <f t="shared" si="126"/>
        <v>13.777777777777775</v>
      </c>
    </row>
    <row r="4033" spans="2:5">
      <c r="B4033" s="1115">
        <v>45090</v>
      </c>
      <c r="C4033" s="242">
        <f t="shared" si="125"/>
        <v>6</v>
      </c>
      <c r="D4033" s="242" t="s">
        <v>1848</v>
      </c>
      <c r="E4033" s="845">
        <f t="shared" si="126"/>
        <v>13.888888888888889</v>
      </c>
    </row>
    <row r="4034" spans="2:5">
      <c r="B4034" s="1115">
        <v>45090</v>
      </c>
      <c r="C4034" s="242">
        <f t="shared" si="125"/>
        <v>6</v>
      </c>
      <c r="D4034" s="242">
        <v>58.1</v>
      </c>
      <c r="E4034" s="845">
        <f t="shared" si="126"/>
        <v>14.5</v>
      </c>
    </row>
    <row r="4035" spans="2:5">
      <c r="B4035" s="1115">
        <v>45090</v>
      </c>
      <c r="C4035" s="242">
        <f t="shared" si="125"/>
        <v>6</v>
      </c>
      <c r="D4035" s="242">
        <v>59.4</v>
      </c>
      <c r="E4035" s="845">
        <f t="shared" si="126"/>
        <v>15.222222222222221</v>
      </c>
    </row>
    <row r="4036" spans="2:5">
      <c r="B4036" s="1115">
        <v>45090</v>
      </c>
      <c r="C4036" s="242">
        <f t="shared" si="125"/>
        <v>6</v>
      </c>
      <c r="D4036" s="242">
        <v>60.3</v>
      </c>
      <c r="E4036" s="845">
        <f t="shared" si="126"/>
        <v>15.72222222222222</v>
      </c>
    </row>
    <row r="4037" spans="2:5">
      <c r="B4037" s="1115">
        <v>45090</v>
      </c>
      <c r="C4037" s="242">
        <f t="shared" si="125"/>
        <v>6</v>
      </c>
      <c r="D4037" s="242">
        <v>60.8</v>
      </c>
      <c r="E4037" s="845">
        <f t="shared" si="126"/>
        <v>15.999999999999998</v>
      </c>
    </row>
    <row r="4038" spans="2:5">
      <c r="B4038" s="1115">
        <v>45090</v>
      </c>
      <c r="C4038" s="242">
        <f t="shared" si="125"/>
        <v>6</v>
      </c>
      <c r="D4038" s="242" t="s">
        <v>1850</v>
      </c>
      <c r="E4038" s="845">
        <f t="shared" si="126"/>
        <v>16.111111111111111</v>
      </c>
    </row>
    <row r="4039" spans="2:5">
      <c r="B4039" s="1115">
        <v>45090</v>
      </c>
      <c r="C4039" s="242">
        <f t="shared" si="125"/>
        <v>6</v>
      </c>
      <c r="D4039" s="242">
        <v>59.5</v>
      </c>
      <c r="E4039" s="845">
        <f t="shared" si="126"/>
        <v>15.277777777777777</v>
      </c>
    </row>
    <row r="4040" spans="2:5">
      <c r="B4040" s="1115">
        <v>45090</v>
      </c>
      <c r="C4040" s="242">
        <f t="shared" si="125"/>
        <v>6</v>
      </c>
      <c r="D4040" s="242">
        <v>58.8</v>
      </c>
      <c r="E4040" s="845">
        <f t="shared" si="126"/>
        <v>14.888888888888888</v>
      </c>
    </row>
    <row r="4041" spans="2:5">
      <c r="B4041" s="1115">
        <v>45091</v>
      </c>
      <c r="C4041" s="242">
        <f t="shared" si="125"/>
        <v>6</v>
      </c>
      <c r="D4041" s="242">
        <v>57.7</v>
      </c>
      <c r="E4041" s="845">
        <f t="shared" si="126"/>
        <v>14.277777777777779</v>
      </c>
    </row>
    <row r="4042" spans="2:5">
      <c r="B4042" s="1115">
        <v>45091</v>
      </c>
      <c r="C4042" s="242">
        <f t="shared" ref="C4042:C4105" si="127">MONTH(B4042)</f>
        <v>6</v>
      </c>
      <c r="D4042" s="242">
        <v>56.8</v>
      </c>
      <c r="E4042" s="845">
        <f t="shared" ref="E4042:E4105" si="128">CONVERT(D4042,"F","C")</f>
        <v>13.777777777777775</v>
      </c>
    </row>
    <row r="4043" spans="2:5">
      <c r="B4043" s="1115">
        <v>45091</v>
      </c>
      <c r="C4043" s="242">
        <f t="shared" si="127"/>
        <v>6</v>
      </c>
      <c r="D4043" s="242">
        <v>56.5</v>
      </c>
      <c r="E4043" s="845">
        <f t="shared" si="128"/>
        <v>13.611111111111111</v>
      </c>
    </row>
    <row r="4044" spans="2:5">
      <c r="B4044" s="1115">
        <v>45091</v>
      </c>
      <c r="C4044" s="242">
        <f t="shared" si="127"/>
        <v>6</v>
      </c>
      <c r="D4044" s="242">
        <v>56.3</v>
      </c>
      <c r="E4044" s="845">
        <f t="shared" si="128"/>
        <v>13.499999999999998</v>
      </c>
    </row>
    <row r="4045" spans="2:5">
      <c r="B4045" s="1115">
        <v>45091</v>
      </c>
      <c r="C4045" s="242">
        <f t="shared" si="127"/>
        <v>6</v>
      </c>
      <c r="D4045" s="242">
        <v>56.7</v>
      </c>
      <c r="E4045" s="845">
        <f t="shared" si="128"/>
        <v>13.722222222222223</v>
      </c>
    </row>
    <row r="4046" spans="2:5">
      <c r="B4046" s="1115">
        <v>45091</v>
      </c>
      <c r="C4046" s="242">
        <f t="shared" si="127"/>
        <v>6</v>
      </c>
      <c r="D4046" s="242">
        <v>57.6</v>
      </c>
      <c r="E4046" s="845">
        <f t="shared" si="128"/>
        <v>14.222222222222223</v>
      </c>
    </row>
    <row r="4047" spans="2:5">
      <c r="B4047" s="1115">
        <v>45091</v>
      </c>
      <c r="C4047" s="242">
        <f t="shared" si="127"/>
        <v>6</v>
      </c>
      <c r="D4047" s="242" t="s">
        <v>1849</v>
      </c>
      <c r="E4047" s="845">
        <f t="shared" si="128"/>
        <v>15</v>
      </c>
    </row>
    <row r="4048" spans="2:5">
      <c r="B4048" s="1115">
        <v>45091</v>
      </c>
      <c r="C4048" s="242">
        <f t="shared" si="127"/>
        <v>6</v>
      </c>
      <c r="D4048" s="242">
        <v>59.7</v>
      </c>
      <c r="E4048" s="845">
        <f t="shared" si="128"/>
        <v>15.388888888888889</v>
      </c>
    </row>
    <row r="4049" spans="2:5">
      <c r="B4049" s="1115">
        <v>45091</v>
      </c>
      <c r="C4049" s="242">
        <f t="shared" si="127"/>
        <v>6</v>
      </c>
      <c r="D4049" s="242">
        <v>60.3</v>
      </c>
      <c r="E4049" s="845">
        <f t="shared" si="128"/>
        <v>15.72222222222222</v>
      </c>
    </row>
    <row r="4050" spans="2:5">
      <c r="B4050" s="1115">
        <v>45091</v>
      </c>
      <c r="C4050" s="242">
        <f t="shared" si="127"/>
        <v>6</v>
      </c>
      <c r="D4050" s="242">
        <v>60.8</v>
      </c>
      <c r="E4050" s="845">
        <f t="shared" si="128"/>
        <v>15.999999999999998</v>
      </c>
    </row>
    <row r="4051" spans="2:5">
      <c r="B4051" s="1115">
        <v>45091</v>
      </c>
      <c r="C4051" s="242">
        <f t="shared" si="127"/>
        <v>6</v>
      </c>
      <c r="D4051" s="242">
        <v>60.6</v>
      </c>
      <c r="E4051" s="845">
        <f t="shared" si="128"/>
        <v>15.888888888888889</v>
      </c>
    </row>
    <row r="4052" spans="2:5">
      <c r="B4052" s="1115">
        <v>45091</v>
      </c>
      <c r="C4052" s="242">
        <f t="shared" si="127"/>
        <v>6</v>
      </c>
      <c r="D4052" s="242">
        <v>59.2</v>
      </c>
      <c r="E4052" s="845">
        <f t="shared" si="128"/>
        <v>15.111111111111112</v>
      </c>
    </row>
    <row r="4053" spans="2:5">
      <c r="B4053" s="1115">
        <v>45091</v>
      </c>
      <c r="C4053" s="242">
        <f t="shared" si="127"/>
        <v>6</v>
      </c>
      <c r="D4053" s="242">
        <v>58.3</v>
      </c>
      <c r="E4053" s="845">
        <f t="shared" si="128"/>
        <v>14.611111111111109</v>
      </c>
    </row>
    <row r="4054" spans="2:5">
      <c r="B4054" s="1115">
        <v>45091</v>
      </c>
      <c r="C4054" s="242">
        <f t="shared" si="127"/>
        <v>6</v>
      </c>
      <c r="D4054" s="242">
        <v>58.1</v>
      </c>
      <c r="E4054" s="845">
        <f t="shared" si="128"/>
        <v>14.5</v>
      </c>
    </row>
    <row r="4055" spans="2:5">
      <c r="B4055" s="1115">
        <v>45091</v>
      </c>
      <c r="C4055" s="242">
        <f t="shared" si="127"/>
        <v>6</v>
      </c>
      <c r="D4055" s="242">
        <v>57.9</v>
      </c>
      <c r="E4055" s="845">
        <f t="shared" si="128"/>
        <v>14.388888888888888</v>
      </c>
    </row>
    <row r="4056" spans="2:5">
      <c r="B4056" s="1115">
        <v>45091</v>
      </c>
      <c r="C4056" s="242">
        <f t="shared" si="127"/>
        <v>6</v>
      </c>
      <c r="D4056" s="242">
        <v>57.9</v>
      </c>
      <c r="E4056" s="845">
        <f t="shared" si="128"/>
        <v>14.388888888888888</v>
      </c>
    </row>
    <row r="4057" spans="2:5">
      <c r="B4057" s="1115">
        <v>45091</v>
      </c>
      <c r="C4057" s="242">
        <f t="shared" si="127"/>
        <v>6</v>
      </c>
      <c r="D4057" s="242">
        <v>58.1</v>
      </c>
      <c r="E4057" s="845">
        <f t="shared" si="128"/>
        <v>14.5</v>
      </c>
    </row>
    <row r="4058" spans="2:5">
      <c r="B4058" s="1115">
        <v>45091</v>
      </c>
      <c r="C4058" s="242">
        <f t="shared" si="127"/>
        <v>6</v>
      </c>
      <c r="D4058" s="242">
        <v>58.5</v>
      </c>
      <c r="E4058" s="845">
        <f t="shared" si="128"/>
        <v>14.722222222222221</v>
      </c>
    </row>
    <row r="4059" spans="2:5">
      <c r="B4059" s="1115">
        <v>45091</v>
      </c>
      <c r="C4059" s="242">
        <f t="shared" si="127"/>
        <v>6</v>
      </c>
      <c r="D4059" s="242">
        <v>59.2</v>
      </c>
      <c r="E4059" s="845">
        <f t="shared" si="128"/>
        <v>15.111111111111112</v>
      </c>
    </row>
    <row r="4060" spans="2:5">
      <c r="B4060" s="1115">
        <v>45091</v>
      </c>
      <c r="C4060" s="242">
        <f t="shared" si="127"/>
        <v>6</v>
      </c>
      <c r="D4060" s="242">
        <v>60.3</v>
      </c>
      <c r="E4060" s="845">
        <f t="shared" si="128"/>
        <v>15.72222222222222</v>
      </c>
    </row>
    <row r="4061" spans="2:5">
      <c r="B4061" s="1115">
        <v>45091</v>
      </c>
      <c r="C4061" s="242">
        <f t="shared" si="127"/>
        <v>6</v>
      </c>
      <c r="D4061" s="242">
        <v>60.8</v>
      </c>
      <c r="E4061" s="845">
        <f t="shared" si="128"/>
        <v>15.999999999999998</v>
      </c>
    </row>
    <row r="4062" spans="2:5">
      <c r="B4062" s="1115">
        <v>45091</v>
      </c>
      <c r="C4062" s="242">
        <f t="shared" si="127"/>
        <v>6</v>
      </c>
      <c r="D4062" s="242">
        <v>61.3</v>
      </c>
      <c r="E4062" s="845">
        <f t="shared" si="128"/>
        <v>16.277777777777775</v>
      </c>
    </row>
    <row r="4063" spans="2:5">
      <c r="B4063" s="1115">
        <v>45091</v>
      </c>
      <c r="C4063" s="242">
        <f t="shared" si="127"/>
        <v>6</v>
      </c>
      <c r="D4063" s="242">
        <v>61.5</v>
      </c>
      <c r="E4063" s="845">
        <f t="shared" si="128"/>
        <v>16.388888888888889</v>
      </c>
    </row>
    <row r="4064" spans="2:5">
      <c r="B4064" s="1115">
        <v>45091</v>
      </c>
      <c r="C4064" s="242">
        <f t="shared" si="127"/>
        <v>6</v>
      </c>
      <c r="D4064" s="242">
        <v>60.3</v>
      </c>
      <c r="E4064" s="845">
        <f t="shared" si="128"/>
        <v>15.72222222222222</v>
      </c>
    </row>
    <row r="4065" spans="2:5">
      <c r="B4065" s="1115">
        <v>45092</v>
      </c>
      <c r="C4065" s="242">
        <f t="shared" si="127"/>
        <v>6</v>
      </c>
      <c r="D4065" s="242">
        <v>59.7</v>
      </c>
      <c r="E4065" s="845">
        <f t="shared" si="128"/>
        <v>15.388888888888889</v>
      </c>
    </row>
    <row r="4066" spans="2:5">
      <c r="B4066" s="1115">
        <v>45092</v>
      </c>
      <c r="C4066" s="242">
        <f t="shared" si="127"/>
        <v>6</v>
      </c>
      <c r="D4066" s="242">
        <v>58.1</v>
      </c>
      <c r="E4066" s="845">
        <f t="shared" si="128"/>
        <v>14.5</v>
      </c>
    </row>
    <row r="4067" spans="2:5">
      <c r="B4067" s="1115">
        <v>45092</v>
      </c>
      <c r="C4067" s="242">
        <f t="shared" si="127"/>
        <v>6</v>
      </c>
      <c r="D4067" s="242">
        <v>57.6</v>
      </c>
      <c r="E4067" s="845">
        <f t="shared" si="128"/>
        <v>14.222222222222223</v>
      </c>
    </row>
    <row r="4068" spans="2:5">
      <c r="B4068" s="1115">
        <v>45092</v>
      </c>
      <c r="C4068" s="242">
        <f t="shared" si="127"/>
        <v>6</v>
      </c>
      <c r="D4068" s="242">
        <v>57.2</v>
      </c>
      <c r="E4068" s="845">
        <f t="shared" si="128"/>
        <v>14.000000000000002</v>
      </c>
    </row>
    <row r="4069" spans="2:5">
      <c r="B4069" s="1115">
        <v>45092</v>
      </c>
      <c r="C4069" s="242">
        <f t="shared" si="127"/>
        <v>6</v>
      </c>
      <c r="D4069" s="242">
        <v>57.6</v>
      </c>
      <c r="E4069" s="845">
        <f t="shared" si="128"/>
        <v>14.222222222222223</v>
      </c>
    </row>
    <row r="4070" spans="2:5">
      <c r="B4070" s="1115">
        <v>45092</v>
      </c>
      <c r="C4070" s="242">
        <f t="shared" si="127"/>
        <v>6</v>
      </c>
      <c r="D4070" s="242">
        <v>57.7</v>
      </c>
      <c r="E4070" s="845">
        <f t="shared" si="128"/>
        <v>14.277777777777779</v>
      </c>
    </row>
    <row r="4071" spans="2:5">
      <c r="B4071" s="1115">
        <v>45092</v>
      </c>
      <c r="C4071" s="242">
        <f t="shared" si="127"/>
        <v>6</v>
      </c>
      <c r="D4071" s="242">
        <v>58.3</v>
      </c>
      <c r="E4071" s="845">
        <f t="shared" si="128"/>
        <v>14.611111111111109</v>
      </c>
    </row>
    <row r="4072" spans="2:5">
      <c r="B4072" s="1115">
        <v>45092</v>
      </c>
      <c r="C4072" s="242">
        <f t="shared" si="127"/>
        <v>6</v>
      </c>
      <c r="D4072" s="242">
        <v>59.5</v>
      </c>
      <c r="E4072" s="845">
        <f t="shared" si="128"/>
        <v>15.277777777777777</v>
      </c>
    </row>
    <row r="4073" spans="2:5">
      <c r="B4073" s="1115">
        <v>45092</v>
      </c>
      <c r="C4073" s="242">
        <f t="shared" si="127"/>
        <v>6</v>
      </c>
      <c r="D4073" s="242">
        <v>60.4</v>
      </c>
      <c r="E4073" s="845">
        <f t="shared" si="128"/>
        <v>15.777777777777777</v>
      </c>
    </row>
    <row r="4074" spans="2:5">
      <c r="B4074" s="1115">
        <v>45092</v>
      </c>
      <c r="C4074" s="242">
        <f t="shared" si="127"/>
        <v>6</v>
      </c>
      <c r="D4074" s="242">
        <v>61.2</v>
      </c>
      <c r="E4074" s="845">
        <f t="shared" si="128"/>
        <v>16.222222222222225</v>
      </c>
    </row>
    <row r="4075" spans="2:5">
      <c r="B4075" s="1115">
        <v>45092</v>
      </c>
      <c r="C4075" s="242">
        <f t="shared" si="127"/>
        <v>6</v>
      </c>
      <c r="D4075" s="242">
        <v>61.5</v>
      </c>
      <c r="E4075" s="845">
        <f t="shared" si="128"/>
        <v>16.388888888888889</v>
      </c>
    </row>
    <row r="4076" spans="2:5">
      <c r="B4076" s="1115">
        <v>45092</v>
      </c>
      <c r="C4076" s="242">
        <f t="shared" si="127"/>
        <v>6</v>
      </c>
      <c r="D4076" s="242">
        <v>61.5</v>
      </c>
      <c r="E4076" s="845">
        <f t="shared" si="128"/>
        <v>16.388888888888889</v>
      </c>
    </row>
    <row r="4077" spans="2:5">
      <c r="B4077" s="1115">
        <v>45092</v>
      </c>
      <c r="C4077" s="242">
        <f t="shared" si="127"/>
        <v>6</v>
      </c>
      <c r="D4077" s="242">
        <v>60.3</v>
      </c>
      <c r="E4077" s="845">
        <f t="shared" si="128"/>
        <v>15.72222222222222</v>
      </c>
    </row>
    <row r="4078" spans="2:5">
      <c r="B4078" s="1115">
        <v>45092</v>
      </c>
      <c r="C4078" s="242">
        <f t="shared" si="127"/>
        <v>6</v>
      </c>
      <c r="D4078" s="242">
        <v>58.8</v>
      </c>
      <c r="E4078" s="845">
        <f t="shared" si="128"/>
        <v>14.888888888888888</v>
      </c>
    </row>
    <row r="4079" spans="2:5">
      <c r="B4079" s="1115">
        <v>45092</v>
      </c>
      <c r="C4079" s="242">
        <f t="shared" si="127"/>
        <v>6</v>
      </c>
      <c r="D4079" s="242">
        <v>58.1</v>
      </c>
      <c r="E4079" s="845">
        <f t="shared" si="128"/>
        <v>14.5</v>
      </c>
    </row>
    <row r="4080" spans="2:5">
      <c r="B4080" s="1115">
        <v>45092</v>
      </c>
      <c r="C4080" s="242">
        <f t="shared" si="127"/>
        <v>6</v>
      </c>
      <c r="D4080" s="242">
        <v>57.7</v>
      </c>
      <c r="E4080" s="845">
        <f t="shared" si="128"/>
        <v>14.277777777777779</v>
      </c>
    </row>
    <row r="4081" spans="2:5">
      <c r="B4081" s="1115">
        <v>45092</v>
      </c>
      <c r="C4081" s="242">
        <f t="shared" si="127"/>
        <v>6</v>
      </c>
      <c r="D4081" s="242">
        <v>57.4</v>
      </c>
      <c r="E4081" s="845">
        <f t="shared" si="128"/>
        <v>14.111111111111111</v>
      </c>
    </row>
    <row r="4082" spans="2:5">
      <c r="B4082" s="1115">
        <v>45092</v>
      </c>
      <c r="C4082" s="242">
        <f t="shared" si="127"/>
        <v>6</v>
      </c>
      <c r="D4082" s="242">
        <v>57.7</v>
      </c>
      <c r="E4082" s="845">
        <f t="shared" si="128"/>
        <v>14.277777777777779</v>
      </c>
    </row>
    <row r="4083" spans="2:5">
      <c r="B4083" s="1115">
        <v>45092</v>
      </c>
      <c r="C4083" s="242">
        <f t="shared" si="127"/>
        <v>6</v>
      </c>
      <c r="D4083" s="242">
        <v>58.5</v>
      </c>
      <c r="E4083" s="845">
        <f t="shared" si="128"/>
        <v>14.722222222222221</v>
      </c>
    </row>
    <row r="4084" spans="2:5">
      <c r="B4084" s="1115">
        <v>45092</v>
      </c>
      <c r="C4084" s="242">
        <f t="shared" si="127"/>
        <v>6</v>
      </c>
      <c r="D4084" s="242">
        <v>59.5</v>
      </c>
      <c r="E4084" s="845">
        <f t="shared" si="128"/>
        <v>15.277777777777777</v>
      </c>
    </row>
    <row r="4085" spans="2:5">
      <c r="B4085" s="1115">
        <v>45092</v>
      </c>
      <c r="C4085" s="242">
        <f t="shared" si="127"/>
        <v>6</v>
      </c>
      <c r="D4085" s="242" t="s">
        <v>1850</v>
      </c>
      <c r="E4085" s="845">
        <f t="shared" si="128"/>
        <v>16.111111111111111</v>
      </c>
    </row>
    <row r="4086" spans="2:5">
      <c r="B4086" s="1115">
        <v>45092</v>
      </c>
      <c r="C4086" s="242">
        <f t="shared" si="127"/>
        <v>6</v>
      </c>
      <c r="D4086" s="242">
        <v>61.7</v>
      </c>
      <c r="E4086" s="845">
        <f t="shared" si="128"/>
        <v>16.5</v>
      </c>
    </row>
    <row r="4087" spans="2:5">
      <c r="B4087" s="1115">
        <v>45092</v>
      </c>
      <c r="C4087" s="242">
        <f t="shared" si="127"/>
        <v>6</v>
      </c>
      <c r="D4087" s="242">
        <v>62.2</v>
      </c>
      <c r="E4087" s="845">
        <f t="shared" si="128"/>
        <v>16.777777777777779</v>
      </c>
    </row>
    <row r="4088" spans="2:5">
      <c r="B4088" s="1115">
        <v>45092</v>
      </c>
      <c r="C4088" s="242">
        <f t="shared" si="127"/>
        <v>6</v>
      </c>
      <c r="D4088" s="242">
        <v>62.1</v>
      </c>
      <c r="E4088" s="845">
        <f t="shared" si="128"/>
        <v>16.722222222222221</v>
      </c>
    </row>
    <row r="4089" spans="2:5">
      <c r="B4089" s="1115">
        <v>45093</v>
      </c>
      <c r="C4089" s="242">
        <f t="shared" si="127"/>
        <v>6</v>
      </c>
      <c r="D4089" s="242">
        <v>60.3</v>
      </c>
      <c r="E4089" s="845">
        <f t="shared" si="128"/>
        <v>15.72222222222222</v>
      </c>
    </row>
    <row r="4090" spans="2:5">
      <c r="B4090" s="1115">
        <v>45093</v>
      </c>
      <c r="C4090" s="242">
        <f t="shared" si="127"/>
        <v>6</v>
      </c>
      <c r="D4090" s="242">
        <v>59.7</v>
      </c>
      <c r="E4090" s="845">
        <f t="shared" si="128"/>
        <v>15.388888888888889</v>
      </c>
    </row>
    <row r="4091" spans="2:5">
      <c r="B4091" s="1115">
        <v>45093</v>
      </c>
      <c r="C4091" s="242">
        <f t="shared" si="127"/>
        <v>6</v>
      </c>
      <c r="D4091" s="242">
        <v>59.4</v>
      </c>
      <c r="E4091" s="845">
        <f t="shared" si="128"/>
        <v>15.222222222222221</v>
      </c>
    </row>
    <row r="4092" spans="2:5">
      <c r="B4092" s="1115">
        <v>45093</v>
      </c>
      <c r="C4092" s="242">
        <f t="shared" si="127"/>
        <v>6</v>
      </c>
      <c r="D4092" s="242">
        <v>59.2</v>
      </c>
      <c r="E4092" s="845">
        <f t="shared" si="128"/>
        <v>15.111111111111112</v>
      </c>
    </row>
    <row r="4093" spans="2:5">
      <c r="B4093" s="1115">
        <v>45093</v>
      </c>
      <c r="C4093" s="242">
        <f t="shared" si="127"/>
        <v>6</v>
      </c>
      <c r="D4093" s="242" t="s">
        <v>1849</v>
      </c>
      <c r="E4093" s="845">
        <f t="shared" si="128"/>
        <v>15</v>
      </c>
    </row>
    <row r="4094" spans="2:5">
      <c r="B4094" s="1115">
        <v>45093</v>
      </c>
      <c r="C4094" s="242">
        <f t="shared" si="127"/>
        <v>6</v>
      </c>
      <c r="D4094" s="242" t="s">
        <v>1849</v>
      </c>
      <c r="E4094" s="845">
        <f t="shared" si="128"/>
        <v>15</v>
      </c>
    </row>
    <row r="4095" spans="2:5">
      <c r="B4095" s="1115">
        <v>45093</v>
      </c>
      <c r="C4095" s="242">
        <f t="shared" si="127"/>
        <v>6</v>
      </c>
      <c r="D4095" s="242">
        <v>59.4</v>
      </c>
      <c r="E4095" s="845">
        <f t="shared" si="128"/>
        <v>15.222222222222221</v>
      </c>
    </row>
    <row r="4096" spans="2:5">
      <c r="B4096" s="1115">
        <v>45093</v>
      </c>
      <c r="C4096" s="242">
        <f t="shared" si="127"/>
        <v>6</v>
      </c>
      <c r="D4096" s="242">
        <v>59.9</v>
      </c>
      <c r="E4096" s="845">
        <f t="shared" si="128"/>
        <v>15.499999999999998</v>
      </c>
    </row>
    <row r="4097" spans="2:5">
      <c r="B4097" s="1115">
        <v>45093</v>
      </c>
      <c r="C4097" s="242">
        <f t="shared" si="127"/>
        <v>6</v>
      </c>
      <c r="D4097" s="242">
        <v>60.8</v>
      </c>
      <c r="E4097" s="845">
        <f t="shared" si="128"/>
        <v>15.999999999999998</v>
      </c>
    </row>
    <row r="4098" spans="2:5">
      <c r="B4098" s="1115">
        <v>45093</v>
      </c>
      <c r="C4098" s="242">
        <f t="shared" si="127"/>
        <v>6</v>
      </c>
      <c r="D4098" s="242">
        <v>61.5</v>
      </c>
      <c r="E4098" s="845">
        <f t="shared" si="128"/>
        <v>16.388888888888889</v>
      </c>
    </row>
    <row r="4099" spans="2:5">
      <c r="B4099" s="1115">
        <v>45093</v>
      </c>
      <c r="C4099" s="242">
        <f t="shared" si="127"/>
        <v>6</v>
      </c>
      <c r="D4099" s="242">
        <v>62.2</v>
      </c>
      <c r="E4099" s="845">
        <f t="shared" si="128"/>
        <v>16.777777777777779</v>
      </c>
    </row>
    <row r="4100" spans="2:5">
      <c r="B4100" s="1115">
        <v>45093</v>
      </c>
      <c r="C4100" s="242">
        <f t="shared" si="127"/>
        <v>6</v>
      </c>
      <c r="D4100" s="242">
        <v>62.6</v>
      </c>
      <c r="E4100" s="845">
        <f t="shared" si="128"/>
        <v>17</v>
      </c>
    </row>
    <row r="4101" spans="2:5">
      <c r="B4101" s="1115">
        <v>45093</v>
      </c>
      <c r="C4101" s="242">
        <f t="shared" si="127"/>
        <v>6</v>
      </c>
      <c r="D4101" s="242">
        <v>62.4</v>
      </c>
      <c r="E4101" s="845">
        <f t="shared" si="128"/>
        <v>16.888888888888889</v>
      </c>
    </row>
    <row r="4102" spans="2:5">
      <c r="B4102" s="1115">
        <v>45093</v>
      </c>
      <c r="C4102" s="242">
        <f t="shared" si="127"/>
        <v>6</v>
      </c>
      <c r="D4102" s="242">
        <v>61.2</v>
      </c>
      <c r="E4102" s="845">
        <f t="shared" si="128"/>
        <v>16.222222222222225</v>
      </c>
    </row>
    <row r="4103" spans="2:5">
      <c r="B4103" s="1115">
        <v>45093</v>
      </c>
      <c r="C4103" s="242">
        <f t="shared" si="127"/>
        <v>6</v>
      </c>
      <c r="D4103" s="242">
        <v>59.7</v>
      </c>
      <c r="E4103" s="845">
        <f t="shared" si="128"/>
        <v>15.388888888888889</v>
      </c>
    </row>
    <row r="4104" spans="2:5">
      <c r="B4104" s="1115">
        <v>45093</v>
      </c>
      <c r="C4104" s="242">
        <f t="shared" si="127"/>
        <v>6</v>
      </c>
      <c r="D4104" s="242">
        <v>58.5</v>
      </c>
      <c r="E4104" s="845">
        <f t="shared" si="128"/>
        <v>14.722222222222221</v>
      </c>
    </row>
    <row r="4105" spans="2:5">
      <c r="B4105" s="1115">
        <v>45093</v>
      </c>
      <c r="C4105" s="242">
        <f t="shared" si="127"/>
        <v>6</v>
      </c>
      <c r="D4105" s="242">
        <v>58.3</v>
      </c>
      <c r="E4105" s="845">
        <f t="shared" si="128"/>
        <v>14.611111111111109</v>
      </c>
    </row>
    <row r="4106" spans="2:5">
      <c r="B4106" s="1115">
        <v>45093</v>
      </c>
      <c r="C4106" s="242">
        <f t="shared" ref="C4106:C4169" si="129">MONTH(B4106)</f>
        <v>6</v>
      </c>
      <c r="D4106" s="242">
        <v>58.3</v>
      </c>
      <c r="E4106" s="845">
        <f t="shared" ref="E4106:E4169" si="130">CONVERT(D4106,"F","C")</f>
        <v>14.611111111111109</v>
      </c>
    </row>
    <row r="4107" spans="2:5">
      <c r="B4107" s="1115">
        <v>45093</v>
      </c>
      <c r="C4107" s="242">
        <f t="shared" si="129"/>
        <v>6</v>
      </c>
      <c r="D4107" s="242">
        <v>58.6</v>
      </c>
      <c r="E4107" s="845">
        <f t="shared" si="130"/>
        <v>14.777777777777779</v>
      </c>
    </row>
    <row r="4108" spans="2:5">
      <c r="B4108" s="1115">
        <v>45093</v>
      </c>
      <c r="C4108" s="242">
        <f t="shared" si="129"/>
        <v>6</v>
      </c>
      <c r="D4108" s="242">
        <v>59.5</v>
      </c>
      <c r="E4108" s="845">
        <f t="shared" si="130"/>
        <v>15.277777777777777</v>
      </c>
    </row>
    <row r="4109" spans="2:5">
      <c r="B4109" s="1115">
        <v>45093</v>
      </c>
      <c r="C4109" s="242">
        <f t="shared" si="129"/>
        <v>6</v>
      </c>
      <c r="D4109" s="242">
        <v>60.6</v>
      </c>
      <c r="E4109" s="845">
        <f t="shared" si="130"/>
        <v>15.888888888888889</v>
      </c>
    </row>
    <row r="4110" spans="2:5">
      <c r="B4110" s="1115">
        <v>45093</v>
      </c>
      <c r="C4110" s="242">
        <f t="shared" si="129"/>
        <v>6</v>
      </c>
      <c r="D4110" s="242">
        <v>62.2</v>
      </c>
      <c r="E4110" s="845">
        <f t="shared" si="130"/>
        <v>16.777777777777779</v>
      </c>
    </row>
    <row r="4111" spans="2:5">
      <c r="B4111" s="1115">
        <v>45093</v>
      </c>
      <c r="C4111" s="242">
        <f t="shared" si="129"/>
        <v>6</v>
      </c>
      <c r="D4111" s="242">
        <v>63.1</v>
      </c>
      <c r="E4111" s="845">
        <f t="shared" si="130"/>
        <v>17.277777777777779</v>
      </c>
    </row>
    <row r="4112" spans="2:5">
      <c r="B4112" s="1115">
        <v>45093</v>
      </c>
      <c r="C4112" s="242">
        <f t="shared" si="129"/>
        <v>6</v>
      </c>
      <c r="D4112" s="242">
        <v>63.5</v>
      </c>
      <c r="E4112" s="845">
        <f t="shared" si="130"/>
        <v>17.5</v>
      </c>
    </row>
    <row r="4113" spans="2:5">
      <c r="B4113" s="1115">
        <v>45094</v>
      </c>
      <c r="C4113" s="242">
        <f t="shared" si="129"/>
        <v>6</v>
      </c>
      <c r="D4113" s="242" t="s">
        <v>1851</v>
      </c>
      <c r="E4113" s="845">
        <f t="shared" si="130"/>
        <v>17.222222222222221</v>
      </c>
    </row>
    <row r="4114" spans="2:5">
      <c r="B4114" s="1115">
        <v>45094</v>
      </c>
      <c r="C4114" s="242">
        <f t="shared" si="129"/>
        <v>6</v>
      </c>
      <c r="D4114" s="242">
        <v>61.3</v>
      </c>
      <c r="E4114" s="845">
        <f t="shared" si="130"/>
        <v>16.277777777777775</v>
      </c>
    </row>
    <row r="4115" spans="2:5">
      <c r="B4115" s="1115">
        <v>45094</v>
      </c>
      <c r="C4115" s="242">
        <f t="shared" si="129"/>
        <v>6</v>
      </c>
      <c r="D4115" s="242">
        <v>60.4</v>
      </c>
      <c r="E4115" s="845">
        <f t="shared" si="130"/>
        <v>15.777777777777777</v>
      </c>
    </row>
    <row r="4116" spans="2:5">
      <c r="B4116" s="1115">
        <v>45094</v>
      </c>
      <c r="C4116" s="242">
        <f t="shared" si="129"/>
        <v>6</v>
      </c>
      <c r="D4116" s="242">
        <v>59.7</v>
      </c>
      <c r="E4116" s="845">
        <f t="shared" si="130"/>
        <v>15.388888888888889</v>
      </c>
    </row>
    <row r="4117" spans="2:5">
      <c r="B4117" s="1115">
        <v>45094</v>
      </c>
      <c r="C4117" s="242">
        <f t="shared" si="129"/>
        <v>6</v>
      </c>
      <c r="D4117" s="242">
        <v>59.2</v>
      </c>
      <c r="E4117" s="845">
        <f t="shared" si="130"/>
        <v>15.111111111111112</v>
      </c>
    </row>
    <row r="4118" spans="2:5">
      <c r="B4118" s="1115">
        <v>45094</v>
      </c>
      <c r="C4118" s="242">
        <f t="shared" si="129"/>
        <v>6</v>
      </c>
      <c r="D4118" s="242">
        <v>58.6</v>
      </c>
      <c r="E4118" s="845">
        <f t="shared" si="130"/>
        <v>14.777777777777779</v>
      </c>
    </row>
    <row r="4119" spans="2:5">
      <c r="B4119" s="1115">
        <v>45094</v>
      </c>
      <c r="C4119" s="242">
        <f t="shared" si="129"/>
        <v>6</v>
      </c>
      <c r="D4119" s="242">
        <v>58.8</v>
      </c>
      <c r="E4119" s="845">
        <f t="shared" si="130"/>
        <v>14.888888888888888</v>
      </c>
    </row>
    <row r="4120" spans="2:5">
      <c r="B4120" s="1115">
        <v>45094</v>
      </c>
      <c r="C4120" s="242">
        <f t="shared" si="129"/>
        <v>6</v>
      </c>
      <c r="D4120" s="242">
        <v>59.5</v>
      </c>
      <c r="E4120" s="845">
        <f t="shared" si="130"/>
        <v>15.277777777777777</v>
      </c>
    </row>
    <row r="4121" spans="2:5">
      <c r="B4121" s="1115">
        <v>45094</v>
      </c>
      <c r="C4121" s="242">
        <f t="shared" si="129"/>
        <v>6</v>
      </c>
      <c r="D4121" s="242">
        <v>60.8</v>
      </c>
      <c r="E4121" s="845">
        <f t="shared" si="130"/>
        <v>15.999999999999998</v>
      </c>
    </row>
    <row r="4122" spans="2:5">
      <c r="B4122" s="1115">
        <v>45094</v>
      </c>
      <c r="C4122" s="242">
        <f t="shared" si="129"/>
        <v>6</v>
      </c>
      <c r="D4122" s="242">
        <v>61.7</v>
      </c>
      <c r="E4122" s="845">
        <f t="shared" si="130"/>
        <v>16.5</v>
      </c>
    </row>
    <row r="4123" spans="2:5">
      <c r="B4123" s="1115">
        <v>45094</v>
      </c>
      <c r="C4123" s="242">
        <f t="shared" si="129"/>
        <v>6</v>
      </c>
      <c r="D4123" s="242">
        <v>62.6</v>
      </c>
      <c r="E4123" s="845">
        <f t="shared" si="130"/>
        <v>17</v>
      </c>
    </row>
    <row r="4124" spans="2:5">
      <c r="B4124" s="1115">
        <v>45094</v>
      </c>
      <c r="C4124" s="242">
        <f t="shared" si="129"/>
        <v>6</v>
      </c>
      <c r="D4124" s="242">
        <v>63.3</v>
      </c>
      <c r="E4124" s="845">
        <f t="shared" si="130"/>
        <v>17.388888888888886</v>
      </c>
    </row>
    <row r="4125" spans="2:5">
      <c r="B4125" s="1115">
        <v>45094</v>
      </c>
      <c r="C4125" s="242">
        <f t="shared" si="129"/>
        <v>6</v>
      </c>
      <c r="D4125" s="242">
        <v>63.7</v>
      </c>
      <c r="E4125" s="845">
        <f t="shared" si="130"/>
        <v>17.611111111111111</v>
      </c>
    </row>
    <row r="4126" spans="2:5">
      <c r="B4126" s="1115">
        <v>45094</v>
      </c>
      <c r="C4126" s="242">
        <f t="shared" si="129"/>
        <v>6</v>
      </c>
      <c r="D4126" s="242" t="s">
        <v>1851</v>
      </c>
      <c r="E4126" s="845">
        <f t="shared" si="130"/>
        <v>17.222222222222221</v>
      </c>
    </row>
    <row r="4127" spans="2:5">
      <c r="B4127" s="1115">
        <v>45094</v>
      </c>
      <c r="C4127" s="242">
        <f t="shared" si="129"/>
        <v>6</v>
      </c>
      <c r="D4127" s="242">
        <v>61.7</v>
      </c>
      <c r="E4127" s="845">
        <f t="shared" si="130"/>
        <v>16.5</v>
      </c>
    </row>
    <row r="4128" spans="2:5">
      <c r="B4128" s="1115">
        <v>45094</v>
      </c>
      <c r="C4128" s="242">
        <f t="shared" si="129"/>
        <v>6</v>
      </c>
      <c r="D4128" s="242">
        <v>60.8</v>
      </c>
      <c r="E4128" s="845">
        <f t="shared" si="130"/>
        <v>15.999999999999998</v>
      </c>
    </row>
    <row r="4129" spans="2:5">
      <c r="B4129" s="1115">
        <v>45094</v>
      </c>
      <c r="C4129" s="242">
        <f t="shared" si="129"/>
        <v>6</v>
      </c>
      <c r="D4129" s="242">
        <v>60.6</v>
      </c>
      <c r="E4129" s="845">
        <f t="shared" si="130"/>
        <v>15.888888888888889</v>
      </c>
    </row>
    <row r="4130" spans="2:5">
      <c r="B4130" s="1115">
        <v>45094</v>
      </c>
      <c r="C4130" s="242">
        <f t="shared" si="129"/>
        <v>6</v>
      </c>
      <c r="D4130" s="242">
        <v>60.3</v>
      </c>
      <c r="E4130" s="845">
        <f t="shared" si="130"/>
        <v>15.72222222222222</v>
      </c>
    </row>
    <row r="4131" spans="2:5">
      <c r="B4131" s="1115">
        <v>45094</v>
      </c>
      <c r="C4131" s="242">
        <f t="shared" si="129"/>
        <v>6</v>
      </c>
      <c r="D4131" s="242">
        <v>60.3</v>
      </c>
      <c r="E4131" s="845">
        <f t="shared" si="130"/>
        <v>15.72222222222222</v>
      </c>
    </row>
    <row r="4132" spans="2:5">
      <c r="B4132" s="1115">
        <v>45094</v>
      </c>
      <c r="C4132" s="242">
        <f t="shared" si="129"/>
        <v>6</v>
      </c>
      <c r="D4132" s="242">
        <v>60.3</v>
      </c>
      <c r="E4132" s="845">
        <f t="shared" si="130"/>
        <v>15.72222222222222</v>
      </c>
    </row>
    <row r="4133" spans="2:5">
      <c r="B4133" s="1115">
        <v>45094</v>
      </c>
      <c r="C4133" s="242">
        <f t="shared" si="129"/>
        <v>6</v>
      </c>
      <c r="D4133" s="242">
        <v>60.8</v>
      </c>
      <c r="E4133" s="845">
        <f t="shared" si="130"/>
        <v>15.999999999999998</v>
      </c>
    </row>
    <row r="4134" spans="2:5">
      <c r="B4134" s="1115">
        <v>45094</v>
      </c>
      <c r="C4134" s="242">
        <f t="shared" si="129"/>
        <v>6</v>
      </c>
      <c r="D4134" s="242">
        <v>61.5</v>
      </c>
      <c r="E4134" s="845">
        <f t="shared" si="130"/>
        <v>16.388888888888889</v>
      </c>
    </row>
    <row r="4135" spans="2:5">
      <c r="B4135" s="1115">
        <v>45094</v>
      </c>
      <c r="C4135" s="242">
        <f t="shared" si="129"/>
        <v>6</v>
      </c>
      <c r="D4135" s="242">
        <v>62.4</v>
      </c>
      <c r="E4135" s="845">
        <f t="shared" si="130"/>
        <v>16.888888888888889</v>
      </c>
    </row>
    <row r="4136" spans="2:5">
      <c r="B4136" s="1115">
        <v>45094</v>
      </c>
      <c r="C4136" s="242">
        <f t="shared" si="129"/>
        <v>6</v>
      </c>
      <c r="D4136" s="242">
        <v>62.8</v>
      </c>
      <c r="E4136" s="845">
        <f t="shared" si="130"/>
        <v>17.111111111111111</v>
      </c>
    </row>
    <row r="4137" spans="2:5">
      <c r="B4137" s="1115">
        <v>45095</v>
      </c>
      <c r="C4137" s="242">
        <f t="shared" si="129"/>
        <v>6</v>
      </c>
      <c r="D4137" s="242" t="s">
        <v>1851</v>
      </c>
      <c r="E4137" s="845">
        <f t="shared" si="130"/>
        <v>17.222222222222221</v>
      </c>
    </row>
    <row r="4138" spans="2:5">
      <c r="B4138" s="1115">
        <v>45095</v>
      </c>
      <c r="C4138" s="242">
        <f t="shared" si="129"/>
        <v>6</v>
      </c>
      <c r="D4138" s="242">
        <v>62.1</v>
      </c>
      <c r="E4138" s="845">
        <f t="shared" si="130"/>
        <v>16.722222222222221</v>
      </c>
    </row>
    <row r="4139" spans="2:5">
      <c r="B4139" s="1115">
        <v>45095</v>
      </c>
      <c r="C4139" s="242">
        <f t="shared" si="129"/>
        <v>6</v>
      </c>
      <c r="D4139" s="242">
        <v>61.3</v>
      </c>
      <c r="E4139" s="845">
        <f t="shared" si="130"/>
        <v>16.277777777777775</v>
      </c>
    </row>
    <row r="4140" spans="2:5">
      <c r="B4140" s="1115">
        <v>45095</v>
      </c>
      <c r="C4140" s="242">
        <f t="shared" si="129"/>
        <v>6</v>
      </c>
      <c r="D4140" s="242">
        <v>60.6</v>
      </c>
      <c r="E4140" s="845">
        <f t="shared" si="130"/>
        <v>15.888888888888889</v>
      </c>
    </row>
    <row r="4141" spans="2:5">
      <c r="B4141" s="1115">
        <v>45095</v>
      </c>
      <c r="C4141" s="242">
        <f t="shared" si="129"/>
        <v>6</v>
      </c>
      <c r="D4141" s="242">
        <v>60.4</v>
      </c>
      <c r="E4141" s="845">
        <f t="shared" si="130"/>
        <v>15.777777777777777</v>
      </c>
    </row>
    <row r="4142" spans="2:5">
      <c r="B4142" s="1115">
        <v>45095</v>
      </c>
      <c r="C4142" s="242">
        <f t="shared" si="129"/>
        <v>6</v>
      </c>
      <c r="D4142" s="242">
        <v>60.4</v>
      </c>
      <c r="E4142" s="845">
        <f t="shared" si="130"/>
        <v>15.777777777777777</v>
      </c>
    </row>
    <row r="4143" spans="2:5">
      <c r="B4143" s="1115">
        <v>45095</v>
      </c>
      <c r="C4143" s="242">
        <f t="shared" si="129"/>
        <v>6</v>
      </c>
      <c r="D4143" s="242">
        <v>60.4</v>
      </c>
      <c r="E4143" s="845">
        <f t="shared" si="130"/>
        <v>15.777777777777777</v>
      </c>
    </row>
    <row r="4144" spans="2:5">
      <c r="B4144" s="1115">
        <v>45095</v>
      </c>
      <c r="C4144" s="242">
        <f t="shared" si="129"/>
        <v>6</v>
      </c>
      <c r="D4144" s="242">
        <v>60.4</v>
      </c>
      <c r="E4144" s="845">
        <f t="shared" si="130"/>
        <v>15.777777777777777</v>
      </c>
    </row>
    <row r="4145" spans="2:5">
      <c r="B4145" s="1115">
        <v>45095</v>
      </c>
      <c r="C4145" s="242">
        <f t="shared" si="129"/>
        <v>6</v>
      </c>
      <c r="D4145" s="242">
        <v>60.8</v>
      </c>
      <c r="E4145" s="845">
        <f t="shared" si="130"/>
        <v>15.999999999999998</v>
      </c>
    </row>
    <row r="4146" spans="2:5">
      <c r="B4146" s="1115">
        <v>45095</v>
      </c>
      <c r="C4146" s="242">
        <f t="shared" si="129"/>
        <v>6</v>
      </c>
      <c r="D4146" s="242">
        <v>61.5</v>
      </c>
      <c r="E4146" s="845">
        <f t="shared" si="130"/>
        <v>16.388888888888889</v>
      </c>
    </row>
    <row r="4147" spans="2:5">
      <c r="B4147" s="1115">
        <v>45095</v>
      </c>
      <c r="C4147" s="242">
        <f t="shared" si="129"/>
        <v>6</v>
      </c>
      <c r="D4147" s="242">
        <v>62.1</v>
      </c>
      <c r="E4147" s="845">
        <f t="shared" si="130"/>
        <v>16.722222222222221</v>
      </c>
    </row>
    <row r="4148" spans="2:5">
      <c r="B4148" s="1115">
        <v>45095</v>
      </c>
      <c r="C4148" s="242">
        <f t="shared" si="129"/>
        <v>6</v>
      </c>
      <c r="D4148" s="242">
        <v>62.6</v>
      </c>
      <c r="E4148" s="845">
        <f t="shared" si="130"/>
        <v>17</v>
      </c>
    </row>
    <row r="4149" spans="2:5">
      <c r="B4149" s="1115">
        <v>45095</v>
      </c>
      <c r="C4149" s="242">
        <f t="shared" si="129"/>
        <v>6</v>
      </c>
      <c r="D4149" s="242">
        <v>63.1</v>
      </c>
      <c r="E4149" s="845">
        <f t="shared" si="130"/>
        <v>17.277777777777779</v>
      </c>
    </row>
    <row r="4150" spans="2:5">
      <c r="B4150" s="1115">
        <v>45095</v>
      </c>
      <c r="C4150" s="242">
        <f t="shared" si="129"/>
        <v>6</v>
      </c>
      <c r="D4150" s="242">
        <v>63.3</v>
      </c>
      <c r="E4150" s="845">
        <f t="shared" si="130"/>
        <v>17.388888888888886</v>
      </c>
    </row>
    <row r="4151" spans="2:5">
      <c r="B4151" s="1115">
        <v>45095</v>
      </c>
      <c r="C4151" s="242">
        <f t="shared" si="129"/>
        <v>6</v>
      </c>
      <c r="D4151" s="242">
        <v>62.4</v>
      </c>
      <c r="E4151" s="845">
        <f t="shared" si="130"/>
        <v>16.888888888888889</v>
      </c>
    </row>
    <row r="4152" spans="2:5">
      <c r="B4152" s="1115">
        <v>45095</v>
      </c>
      <c r="C4152" s="242">
        <f t="shared" si="129"/>
        <v>6</v>
      </c>
      <c r="D4152" s="242">
        <v>61.9</v>
      </c>
      <c r="E4152" s="845">
        <f t="shared" si="130"/>
        <v>16.611111111111111</v>
      </c>
    </row>
    <row r="4153" spans="2:5">
      <c r="B4153" s="1115">
        <v>45095</v>
      </c>
      <c r="C4153" s="242">
        <f t="shared" si="129"/>
        <v>6</v>
      </c>
      <c r="D4153" s="242" t="s">
        <v>1850</v>
      </c>
      <c r="E4153" s="845">
        <f t="shared" si="130"/>
        <v>16.111111111111111</v>
      </c>
    </row>
    <row r="4154" spans="2:5">
      <c r="B4154" s="1115">
        <v>45095</v>
      </c>
      <c r="C4154" s="242">
        <f t="shared" si="129"/>
        <v>6</v>
      </c>
      <c r="D4154" s="242">
        <v>60.4</v>
      </c>
      <c r="E4154" s="845">
        <f t="shared" si="130"/>
        <v>15.777777777777777</v>
      </c>
    </row>
    <row r="4155" spans="2:5">
      <c r="B4155" s="1115">
        <v>45095</v>
      </c>
      <c r="C4155" s="242">
        <f t="shared" si="129"/>
        <v>6</v>
      </c>
      <c r="D4155" s="242">
        <v>60.3</v>
      </c>
      <c r="E4155" s="845">
        <f t="shared" si="130"/>
        <v>15.72222222222222</v>
      </c>
    </row>
    <row r="4156" spans="2:5">
      <c r="B4156" s="1115">
        <v>45095</v>
      </c>
      <c r="C4156" s="242">
        <f t="shared" si="129"/>
        <v>6</v>
      </c>
      <c r="D4156" s="242">
        <v>60.8</v>
      </c>
      <c r="E4156" s="845">
        <f t="shared" si="130"/>
        <v>15.999999999999998</v>
      </c>
    </row>
    <row r="4157" spans="2:5">
      <c r="B4157" s="1115">
        <v>45095</v>
      </c>
      <c r="C4157" s="242">
        <f t="shared" si="129"/>
        <v>6</v>
      </c>
      <c r="D4157" s="242">
        <v>60.6</v>
      </c>
      <c r="E4157" s="845">
        <f t="shared" si="130"/>
        <v>15.888888888888889</v>
      </c>
    </row>
    <row r="4158" spans="2:5">
      <c r="B4158" s="1115">
        <v>45095</v>
      </c>
      <c r="C4158" s="242">
        <f t="shared" si="129"/>
        <v>6</v>
      </c>
      <c r="D4158" s="242">
        <v>61.5</v>
      </c>
      <c r="E4158" s="845">
        <f t="shared" si="130"/>
        <v>16.388888888888889</v>
      </c>
    </row>
    <row r="4159" spans="2:5">
      <c r="B4159" s="1115">
        <v>45095</v>
      </c>
      <c r="C4159" s="242">
        <f t="shared" si="129"/>
        <v>6</v>
      </c>
      <c r="D4159" s="242">
        <v>62.4</v>
      </c>
      <c r="E4159" s="845">
        <f t="shared" si="130"/>
        <v>16.888888888888889</v>
      </c>
    </row>
    <row r="4160" spans="2:5">
      <c r="B4160" s="1115">
        <v>45095</v>
      </c>
      <c r="C4160" s="242">
        <f t="shared" si="129"/>
        <v>6</v>
      </c>
      <c r="D4160" s="242">
        <v>63.1</v>
      </c>
      <c r="E4160" s="845">
        <f t="shared" si="130"/>
        <v>17.277777777777779</v>
      </c>
    </row>
    <row r="4161" spans="2:5">
      <c r="B4161" s="1115">
        <v>45096</v>
      </c>
      <c r="C4161" s="242">
        <f t="shared" si="129"/>
        <v>6</v>
      </c>
      <c r="D4161" s="242">
        <v>63.5</v>
      </c>
      <c r="E4161" s="845">
        <f t="shared" si="130"/>
        <v>17.5</v>
      </c>
    </row>
    <row r="4162" spans="2:5">
      <c r="B4162" s="1115">
        <v>45096</v>
      </c>
      <c r="C4162" s="242">
        <f t="shared" si="129"/>
        <v>6</v>
      </c>
      <c r="D4162" s="242">
        <v>63.5</v>
      </c>
      <c r="E4162" s="845">
        <f t="shared" si="130"/>
        <v>17.5</v>
      </c>
    </row>
    <row r="4163" spans="2:5">
      <c r="B4163" s="1115">
        <v>45096</v>
      </c>
      <c r="C4163" s="242">
        <f t="shared" si="129"/>
        <v>6</v>
      </c>
      <c r="D4163" s="242">
        <v>62.4</v>
      </c>
      <c r="E4163" s="845">
        <f t="shared" si="130"/>
        <v>16.888888888888889</v>
      </c>
    </row>
    <row r="4164" spans="2:5">
      <c r="B4164" s="1115">
        <v>45096</v>
      </c>
      <c r="C4164" s="242">
        <f t="shared" si="129"/>
        <v>6</v>
      </c>
      <c r="D4164" s="242">
        <v>61.7</v>
      </c>
      <c r="E4164" s="845">
        <f t="shared" si="130"/>
        <v>16.5</v>
      </c>
    </row>
    <row r="4165" spans="2:5">
      <c r="B4165" s="1115">
        <v>45096</v>
      </c>
      <c r="C4165" s="242">
        <f t="shared" si="129"/>
        <v>6</v>
      </c>
      <c r="D4165" s="242">
        <v>61.3</v>
      </c>
      <c r="E4165" s="845">
        <f t="shared" si="130"/>
        <v>16.277777777777775</v>
      </c>
    </row>
    <row r="4166" spans="2:5">
      <c r="B4166" s="1115">
        <v>45096</v>
      </c>
      <c r="C4166" s="242">
        <f t="shared" si="129"/>
        <v>6</v>
      </c>
      <c r="D4166" s="242" t="s">
        <v>1850</v>
      </c>
      <c r="E4166" s="845">
        <f t="shared" si="130"/>
        <v>16.111111111111111</v>
      </c>
    </row>
    <row r="4167" spans="2:5">
      <c r="B4167" s="1115">
        <v>45096</v>
      </c>
      <c r="C4167" s="242">
        <f t="shared" si="129"/>
        <v>6</v>
      </c>
      <c r="D4167" s="242">
        <v>60.8</v>
      </c>
      <c r="E4167" s="845">
        <f t="shared" si="130"/>
        <v>15.999999999999998</v>
      </c>
    </row>
    <row r="4168" spans="2:5">
      <c r="B4168" s="1115">
        <v>45096</v>
      </c>
      <c r="C4168" s="242">
        <f t="shared" si="129"/>
        <v>6</v>
      </c>
      <c r="D4168" s="242">
        <v>60.8</v>
      </c>
      <c r="E4168" s="845">
        <f t="shared" si="130"/>
        <v>15.999999999999998</v>
      </c>
    </row>
    <row r="4169" spans="2:5">
      <c r="B4169" s="1115">
        <v>45096</v>
      </c>
      <c r="C4169" s="242">
        <f t="shared" si="129"/>
        <v>6</v>
      </c>
      <c r="D4169" s="242">
        <v>60.8</v>
      </c>
      <c r="E4169" s="845">
        <f t="shared" si="130"/>
        <v>15.999999999999998</v>
      </c>
    </row>
    <row r="4170" spans="2:5">
      <c r="B4170" s="1115">
        <v>45096</v>
      </c>
      <c r="C4170" s="242">
        <f t="shared" ref="C4170:C4233" si="131">MONTH(B4170)</f>
        <v>6</v>
      </c>
      <c r="D4170" s="242">
        <v>61.3</v>
      </c>
      <c r="E4170" s="845">
        <f t="shared" ref="E4170:E4233" si="132">CONVERT(D4170,"F","C")</f>
        <v>16.277777777777775</v>
      </c>
    </row>
    <row r="4171" spans="2:5">
      <c r="B4171" s="1115">
        <v>45096</v>
      </c>
      <c r="C4171" s="242">
        <f t="shared" si="131"/>
        <v>6</v>
      </c>
      <c r="D4171" s="242">
        <v>62.2</v>
      </c>
      <c r="E4171" s="845">
        <f t="shared" si="132"/>
        <v>16.777777777777779</v>
      </c>
    </row>
    <row r="4172" spans="2:5">
      <c r="B4172" s="1115">
        <v>45096</v>
      </c>
      <c r="C4172" s="242">
        <f t="shared" si="131"/>
        <v>6</v>
      </c>
      <c r="D4172" s="242">
        <v>62.8</v>
      </c>
      <c r="E4172" s="845">
        <f t="shared" si="132"/>
        <v>17.111111111111111</v>
      </c>
    </row>
    <row r="4173" spans="2:5">
      <c r="B4173" s="1115">
        <v>45096</v>
      </c>
      <c r="C4173" s="242">
        <f t="shared" si="131"/>
        <v>6</v>
      </c>
      <c r="D4173" s="242">
        <v>63.3</v>
      </c>
      <c r="E4173" s="845">
        <f t="shared" si="132"/>
        <v>17.388888888888886</v>
      </c>
    </row>
    <row r="4174" spans="2:5">
      <c r="B4174" s="1115">
        <v>45096</v>
      </c>
      <c r="C4174" s="242">
        <f t="shared" si="131"/>
        <v>6</v>
      </c>
      <c r="D4174" s="242">
        <v>63.7</v>
      </c>
      <c r="E4174" s="845">
        <f t="shared" si="132"/>
        <v>17.611111111111111</v>
      </c>
    </row>
    <row r="4175" spans="2:5">
      <c r="B4175" s="1115">
        <v>45096</v>
      </c>
      <c r="C4175" s="242">
        <f t="shared" si="131"/>
        <v>6</v>
      </c>
      <c r="D4175" s="242">
        <v>63.9</v>
      </c>
      <c r="E4175" s="845">
        <f t="shared" si="132"/>
        <v>17.722222222222221</v>
      </c>
    </row>
    <row r="4176" spans="2:5">
      <c r="B4176" s="1115">
        <v>45096</v>
      </c>
      <c r="C4176" s="242">
        <f t="shared" si="131"/>
        <v>6</v>
      </c>
      <c r="D4176" s="242" t="s">
        <v>1851</v>
      </c>
      <c r="E4176" s="845">
        <f t="shared" si="132"/>
        <v>17.222222222222221</v>
      </c>
    </row>
    <row r="4177" spans="2:5">
      <c r="B4177" s="1115">
        <v>45096</v>
      </c>
      <c r="C4177" s="242">
        <f t="shared" si="131"/>
        <v>6</v>
      </c>
      <c r="D4177" s="242">
        <v>62.1</v>
      </c>
      <c r="E4177" s="845">
        <f t="shared" si="132"/>
        <v>16.722222222222221</v>
      </c>
    </row>
    <row r="4178" spans="2:5">
      <c r="B4178" s="1115">
        <v>45096</v>
      </c>
      <c r="C4178" s="242">
        <f t="shared" si="131"/>
        <v>6</v>
      </c>
      <c r="D4178" s="242">
        <v>61.2</v>
      </c>
      <c r="E4178" s="845">
        <f t="shared" si="132"/>
        <v>16.222222222222225</v>
      </c>
    </row>
    <row r="4179" spans="2:5">
      <c r="B4179" s="1115">
        <v>45096</v>
      </c>
      <c r="C4179" s="242">
        <f t="shared" si="131"/>
        <v>6</v>
      </c>
      <c r="D4179" s="242" t="s">
        <v>1850</v>
      </c>
      <c r="E4179" s="845">
        <f t="shared" si="132"/>
        <v>16.111111111111111</v>
      </c>
    </row>
    <row r="4180" spans="2:5">
      <c r="B4180" s="1115">
        <v>45096</v>
      </c>
      <c r="C4180" s="242">
        <f t="shared" si="131"/>
        <v>6</v>
      </c>
      <c r="D4180" s="242" t="s">
        <v>1850</v>
      </c>
      <c r="E4180" s="845">
        <f t="shared" si="132"/>
        <v>16.111111111111111</v>
      </c>
    </row>
    <row r="4181" spans="2:5">
      <c r="B4181" s="1115">
        <v>45096</v>
      </c>
      <c r="C4181" s="242">
        <f t="shared" si="131"/>
        <v>6</v>
      </c>
      <c r="D4181" s="242">
        <v>61.3</v>
      </c>
      <c r="E4181" s="845">
        <f t="shared" si="132"/>
        <v>16.277777777777775</v>
      </c>
    </row>
    <row r="4182" spans="2:5">
      <c r="B4182" s="1115">
        <v>45096</v>
      </c>
      <c r="C4182" s="242">
        <f t="shared" si="131"/>
        <v>6</v>
      </c>
      <c r="D4182" s="242">
        <v>61.7</v>
      </c>
      <c r="E4182" s="845">
        <f t="shared" si="132"/>
        <v>16.5</v>
      </c>
    </row>
    <row r="4183" spans="2:5">
      <c r="B4183" s="1115">
        <v>45096</v>
      </c>
      <c r="C4183" s="242">
        <f t="shared" si="131"/>
        <v>6</v>
      </c>
      <c r="D4183" s="242">
        <v>62.4</v>
      </c>
      <c r="E4183" s="845">
        <f t="shared" si="132"/>
        <v>16.888888888888889</v>
      </c>
    </row>
    <row r="4184" spans="2:5">
      <c r="B4184" s="1115">
        <v>45096</v>
      </c>
      <c r="C4184" s="242">
        <f t="shared" si="131"/>
        <v>6</v>
      </c>
      <c r="D4184" s="242">
        <v>63.5</v>
      </c>
      <c r="E4184" s="845">
        <f t="shared" si="132"/>
        <v>17.5</v>
      </c>
    </row>
    <row r="4185" spans="2:5">
      <c r="B4185" s="1115">
        <v>45097</v>
      </c>
      <c r="C4185" s="242">
        <f t="shared" si="131"/>
        <v>6</v>
      </c>
      <c r="D4185" s="242" t="s">
        <v>1852</v>
      </c>
      <c r="E4185" s="845">
        <f t="shared" si="132"/>
        <v>17.777777777777779</v>
      </c>
    </row>
    <row r="4186" spans="2:5">
      <c r="B4186" s="1115">
        <v>45097</v>
      </c>
      <c r="C4186" s="242">
        <f t="shared" si="131"/>
        <v>6</v>
      </c>
      <c r="D4186" s="242">
        <v>64.400000000000006</v>
      </c>
      <c r="E4186" s="845">
        <f t="shared" si="132"/>
        <v>18.000000000000004</v>
      </c>
    </row>
    <row r="4187" spans="2:5">
      <c r="B4187" s="1115">
        <v>45097</v>
      </c>
      <c r="C4187" s="242">
        <f t="shared" si="131"/>
        <v>6</v>
      </c>
      <c r="D4187" s="242" t="s">
        <v>1852</v>
      </c>
      <c r="E4187" s="845">
        <f t="shared" si="132"/>
        <v>17.777777777777779</v>
      </c>
    </row>
    <row r="4188" spans="2:5">
      <c r="B4188" s="1115">
        <v>45097</v>
      </c>
      <c r="C4188" s="242">
        <f t="shared" si="131"/>
        <v>6</v>
      </c>
      <c r="D4188" s="242" t="s">
        <v>1851</v>
      </c>
      <c r="E4188" s="845">
        <f t="shared" si="132"/>
        <v>17.222222222222221</v>
      </c>
    </row>
    <row r="4189" spans="2:5">
      <c r="B4189" s="1115">
        <v>45097</v>
      </c>
      <c r="C4189" s="242">
        <f t="shared" si="131"/>
        <v>6</v>
      </c>
      <c r="D4189" s="242">
        <v>62.2</v>
      </c>
      <c r="E4189" s="845">
        <f t="shared" si="132"/>
        <v>16.777777777777779</v>
      </c>
    </row>
    <row r="4190" spans="2:5">
      <c r="B4190" s="1115">
        <v>45097</v>
      </c>
      <c r="C4190" s="242">
        <f t="shared" si="131"/>
        <v>6</v>
      </c>
      <c r="D4190" s="242">
        <v>61.3</v>
      </c>
      <c r="E4190" s="845">
        <f t="shared" si="132"/>
        <v>16.277777777777775</v>
      </c>
    </row>
    <row r="4191" spans="2:5">
      <c r="B4191" s="1115">
        <v>45097</v>
      </c>
      <c r="C4191" s="242">
        <f t="shared" si="131"/>
        <v>6</v>
      </c>
      <c r="D4191" s="242" t="s">
        <v>1850</v>
      </c>
      <c r="E4191" s="845">
        <f t="shared" si="132"/>
        <v>16.111111111111111</v>
      </c>
    </row>
    <row r="4192" spans="2:5">
      <c r="B4192" s="1115">
        <v>45097</v>
      </c>
      <c r="C4192" s="242">
        <f t="shared" si="131"/>
        <v>6</v>
      </c>
      <c r="D4192" s="242">
        <v>60.6</v>
      </c>
      <c r="E4192" s="845">
        <f t="shared" si="132"/>
        <v>15.888888888888889</v>
      </c>
    </row>
    <row r="4193" spans="2:5">
      <c r="B4193" s="1115">
        <v>45097</v>
      </c>
      <c r="C4193" s="242">
        <f t="shared" si="131"/>
        <v>6</v>
      </c>
      <c r="D4193" s="242">
        <v>60.8</v>
      </c>
      <c r="E4193" s="845">
        <f t="shared" si="132"/>
        <v>15.999999999999998</v>
      </c>
    </row>
    <row r="4194" spans="2:5">
      <c r="B4194" s="1115">
        <v>45097</v>
      </c>
      <c r="C4194" s="242">
        <f t="shared" si="131"/>
        <v>6</v>
      </c>
      <c r="D4194" s="242">
        <v>61.3</v>
      </c>
      <c r="E4194" s="845">
        <f t="shared" si="132"/>
        <v>16.277777777777775</v>
      </c>
    </row>
    <row r="4195" spans="2:5">
      <c r="B4195" s="1115">
        <v>45097</v>
      </c>
      <c r="C4195" s="242">
        <f t="shared" si="131"/>
        <v>6</v>
      </c>
      <c r="D4195" s="242">
        <v>62.1</v>
      </c>
      <c r="E4195" s="845">
        <f t="shared" si="132"/>
        <v>16.722222222222221</v>
      </c>
    </row>
    <row r="4196" spans="2:5">
      <c r="B4196" s="1115">
        <v>45097</v>
      </c>
      <c r="C4196" s="242">
        <f t="shared" si="131"/>
        <v>6</v>
      </c>
      <c r="D4196" s="242">
        <v>63.1</v>
      </c>
      <c r="E4196" s="845">
        <f t="shared" si="132"/>
        <v>17.277777777777779</v>
      </c>
    </row>
    <row r="4197" spans="2:5">
      <c r="B4197" s="1115">
        <v>45097</v>
      </c>
      <c r="C4197" s="242">
        <f t="shared" si="131"/>
        <v>6</v>
      </c>
      <c r="D4197" s="242">
        <v>63.7</v>
      </c>
      <c r="E4197" s="845">
        <f t="shared" si="132"/>
        <v>17.611111111111111</v>
      </c>
    </row>
    <row r="4198" spans="2:5">
      <c r="B4198" s="1115">
        <v>45097</v>
      </c>
      <c r="C4198" s="242">
        <f t="shared" si="131"/>
        <v>6</v>
      </c>
      <c r="D4198" s="242">
        <v>64.2</v>
      </c>
      <c r="E4198" s="845">
        <f t="shared" si="132"/>
        <v>17.888888888888889</v>
      </c>
    </row>
    <row r="4199" spans="2:5">
      <c r="B4199" s="1115">
        <v>45097</v>
      </c>
      <c r="C4199" s="242">
        <f t="shared" si="131"/>
        <v>6</v>
      </c>
      <c r="D4199" s="242">
        <v>64.400000000000006</v>
      </c>
      <c r="E4199" s="845">
        <f t="shared" si="132"/>
        <v>18.000000000000004</v>
      </c>
    </row>
    <row r="4200" spans="2:5">
      <c r="B4200" s="1115">
        <v>45097</v>
      </c>
      <c r="C4200" s="242">
        <f t="shared" si="131"/>
        <v>6</v>
      </c>
      <c r="D4200" s="242">
        <v>64.2</v>
      </c>
      <c r="E4200" s="845">
        <f t="shared" si="132"/>
        <v>17.888888888888889</v>
      </c>
    </row>
    <row r="4201" spans="2:5">
      <c r="B4201" s="1115">
        <v>45097</v>
      </c>
      <c r="C4201" s="242">
        <f t="shared" si="131"/>
        <v>6</v>
      </c>
      <c r="D4201" s="242">
        <v>63.1</v>
      </c>
      <c r="E4201" s="845">
        <f t="shared" si="132"/>
        <v>17.277777777777779</v>
      </c>
    </row>
    <row r="4202" spans="2:5">
      <c r="B4202" s="1115">
        <v>45097</v>
      </c>
      <c r="C4202" s="242">
        <f t="shared" si="131"/>
        <v>6</v>
      </c>
      <c r="D4202" s="242">
        <v>61.9</v>
      </c>
      <c r="E4202" s="845">
        <f t="shared" si="132"/>
        <v>16.611111111111111</v>
      </c>
    </row>
    <row r="4203" spans="2:5">
      <c r="B4203" s="1115">
        <v>45097</v>
      </c>
      <c r="C4203" s="242">
        <f t="shared" si="131"/>
        <v>6</v>
      </c>
      <c r="D4203" s="242">
        <v>60.1</v>
      </c>
      <c r="E4203" s="845">
        <f t="shared" si="132"/>
        <v>15.611111111111111</v>
      </c>
    </row>
    <row r="4204" spans="2:5">
      <c r="B4204" s="1115">
        <v>45097</v>
      </c>
      <c r="C4204" s="242">
        <f t="shared" si="131"/>
        <v>6</v>
      </c>
      <c r="D4204" s="242">
        <v>59.7</v>
      </c>
      <c r="E4204" s="845">
        <f t="shared" si="132"/>
        <v>15.388888888888889</v>
      </c>
    </row>
    <row r="4205" spans="2:5">
      <c r="B4205" s="1115">
        <v>45097</v>
      </c>
      <c r="C4205" s="242">
        <f t="shared" si="131"/>
        <v>6</v>
      </c>
      <c r="D4205" s="242">
        <v>59.2</v>
      </c>
      <c r="E4205" s="845">
        <f t="shared" si="132"/>
        <v>15.111111111111112</v>
      </c>
    </row>
    <row r="4206" spans="2:5">
      <c r="B4206" s="1115">
        <v>45097</v>
      </c>
      <c r="C4206" s="242">
        <f t="shared" si="131"/>
        <v>6</v>
      </c>
      <c r="D4206" s="242">
        <v>59.9</v>
      </c>
      <c r="E4206" s="845">
        <f t="shared" si="132"/>
        <v>15.499999999999998</v>
      </c>
    </row>
    <row r="4207" spans="2:5">
      <c r="B4207" s="1115">
        <v>45097</v>
      </c>
      <c r="C4207" s="242">
        <f t="shared" si="131"/>
        <v>6</v>
      </c>
      <c r="D4207" s="242" t="s">
        <v>1850</v>
      </c>
      <c r="E4207" s="845">
        <f t="shared" si="132"/>
        <v>16.111111111111111</v>
      </c>
    </row>
    <row r="4208" spans="2:5">
      <c r="B4208" s="1115">
        <v>45097</v>
      </c>
      <c r="C4208" s="242">
        <f t="shared" si="131"/>
        <v>6</v>
      </c>
      <c r="D4208" s="242">
        <v>62.1</v>
      </c>
      <c r="E4208" s="845">
        <f t="shared" si="132"/>
        <v>16.722222222222221</v>
      </c>
    </row>
    <row r="4209" spans="2:5">
      <c r="B4209" s="1115">
        <v>45098</v>
      </c>
      <c r="C4209" s="242">
        <f t="shared" si="131"/>
        <v>6</v>
      </c>
      <c r="D4209" s="242">
        <v>63.7</v>
      </c>
      <c r="E4209" s="845">
        <f t="shared" si="132"/>
        <v>17.611111111111111</v>
      </c>
    </row>
    <row r="4210" spans="2:5">
      <c r="B4210" s="1115">
        <v>45098</v>
      </c>
      <c r="C4210" s="242">
        <f t="shared" si="131"/>
        <v>6</v>
      </c>
      <c r="D4210" s="242">
        <v>64.2</v>
      </c>
      <c r="E4210" s="845">
        <f t="shared" si="132"/>
        <v>17.888888888888889</v>
      </c>
    </row>
    <row r="4211" spans="2:5">
      <c r="B4211" s="1115">
        <v>45098</v>
      </c>
      <c r="C4211" s="242">
        <f t="shared" si="131"/>
        <v>6</v>
      </c>
      <c r="D4211" s="242">
        <v>64.400000000000006</v>
      </c>
      <c r="E4211" s="845">
        <f t="shared" si="132"/>
        <v>18.000000000000004</v>
      </c>
    </row>
    <row r="4212" spans="2:5">
      <c r="B4212" s="1115">
        <v>45098</v>
      </c>
      <c r="C4212" s="242">
        <f t="shared" si="131"/>
        <v>6</v>
      </c>
      <c r="D4212" s="242">
        <v>63.9</v>
      </c>
      <c r="E4212" s="845">
        <f t="shared" si="132"/>
        <v>17.722222222222221</v>
      </c>
    </row>
    <row r="4213" spans="2:5">
      <c r="B4213" s="1115">
        <v>45098</v>
      </c>
      <c r="C4213" s="242">
        <f t="shared" si="131"/>
        <v>6</v>
      </c>
      <c r="D4213" s="242">
        <v>62.1</v>
      </c>
      <c r="E4213" s="845">
        <f t="shared" si="132"/>
        <v>16.722222222222221</v>
      </c>
    </row>
    <row r="4214" spans="2:5">
      <c r="B4214" s="1115">
        <v>45098</v>
      </c>
      <c r="C4214" s="242">
        <f t="shared" si="131"/>
        <v>6</v>
      </c>
      <c r="D4214" s="242">
        <v>60.8</v>
      </c>
      <c r="E4214" s="845">
        <f t="shared" si="132"/>
        <v>15.999999999999998</v>
      </c>
    </row>
    <row r="4215" spans="2:5">
      <c r="B4215" s="1115">
        <v>45098</v>
      </c>
      <c r="C4215" s="242">
        <f t="shared" si="131"/>
        <v>6</v>
      </c>
      <c r="D4215" s="242">
        <v>59.5</v>
      </c>
      <c r="E4215" s="845">
        <f t="shared" si="132"/>
        <v>15.277777777777777</v>
      </c>
    </row>
    <row r="4216" spans="2:5">
      <c r="B4216" s="1115">
        <v>45098</v>
      </c>
      <c r="C4216" s="242">
        <f t="shared" si="131"/>
        <v>6</v>
      </c>
      <c r="D4216" s="242">
        <v>58.8</v>
      </c>
      <c r="E4216" s="845">
        <f t="shared" si="132"/>
        <v>14.888888888888888</v>
      </c>
    </row>
    <row r="4217" spans="2:5">
      <c r="B4217" s="1115">
        <v>45098</v>
      </c>
      <c r="C4217" s="242">
        <f t="shared" si="131"/>
        <v>6</v>
      </c>
      <c r="D4217" s="242">
        <v>58.8</v>
      </c>
      <c r="E4217" s="845">
        <f t="shared" si="132"/>
        <v>14.888888888888888</v>
      </c>
    </row>
    <row r="4218" spans="2:5">
      <c r="B4218" s="1115">
        <v>45098</v>
      </c>
      <c r="C4218" s="242">
        <f t="shared" si="131"/>
        <v>6</v>
      </c>
      <c r="D4218" s="242" t="s">
        <v>1849</v>
      </c>
      <c r="E4218" s="845">
        <f t="shared" si="132"/>
        <v>15</v>
      </c>
    </row>
    <row r="4219" spans="2:5">
      <c r="B4219" s="1115">
        <v>45098</v>
      </c>
      <c r="C4219" s="242">
        <f t="shared" si="131"/>
        <v>6</v>
      </c>
      <c r="D4219" s="242">
        <v>59.9</v>
      </c>
      <c r="E4219" s="845">
        <f t="shared" si="132"/>
        <v>15.499999999999998</v>
      </c>
    </row>
    <row r="4220" spans="2:5">
      <c r="B4220" s="1115">
        <v>45098</v>
      </c>
      <c r="C4220" s="242">
        <f t="shared" si="131"/>
        <v>6</v>
      </c>
      <c r="D4220" s="242">
        <v>61.3</v>
      </c>
      <c r="E4220" s="845">
        <f t="shared" si="132"/>
        <v>16.277777777777775</v>
      </c>
    </row>
    <row r="4221" spans="2:5">
      <c r="B4221" s="1115">
        <v>45098</v>
      </c>
      <c r="C4221" s="242">
        <f t="shared" si="131"/>
        <v>6</v>
      </c>
      <c r="D4221" s="242" t="s">
        <v>1851</v>
      </c>
      <c r="E4221" s="845">
        <f t="shared" si="132"/>
        <v>17.222222222222221</v>
      </c>
    </row>
    <row r="4222" spans="2:5">
      <c r="B4222" s="1115">
        <v>45098</v>
      </c>
      <c r="C4222" s="242">
        <f t="shared" si="131"/>
        <v>6</v>
      </c>
      <c r="D4222" s="242">
        <v>63.7</v>
      </c>
      <c r="E4222" s="845">
        <f t="shared" si="132"/>
        <v>17.611111111111111</v>
      </c>
    </row>
    <row r="4223" spans="2:5">
      <c r="B4223" s="1115">
        <v>45098</v>
      </c>
      <c r="C4223" s="242">
        <f t="shared" si="131"/>
        <v>6</v>
      </c>
      <c r="D4223" s="242">
        <v>64.400000000000006</v>
      </c>
      <c r="E4223" s="845">
        <f t="shared" si="132"/>
        <v>18.000000000000004</v>
      </c>
    </row>
    <row r="4224" spans="2:5">
      <c r="B4224" s="1115">
        <v>45098</v>
      </c>
      <c r="C4224" s="242">
        <f t="shared" si="131"/>
        <v>6</v>
      </c>
      <c r="D4224" s="242">
        <v>64.8</v>
      </c>
      <c r="E4224" s="845">
        <f t="shared" si="132"/>
        <v>18.222222222222221</v>
      </c>
    </row>
    <row r="4225" spans="2:5">
      <c r="B4225" s="1115">
        <v>45098</v>
      </c>
      <c r="C4225" s="242">
        <f t="shared" si="131"/>
        <v>6</v>
      </c>
      <c r="D4225" s="242">
        <v>63.3</v>
      </c>
      <c r="E4225" s="845">
        <f t="shared" si="132"/>
        <v>17.388888888888886</v>
      </c>
    </row>
    <row r="4226" spans="2:5">
      <c r="B4226" s="1115">
        <v>45098</v>
      </c>
      <c r="C4226" s="242">
        <f t="shared" si="131"/>
        <v>6</v>
      </c>
      <c r="D4226" s="242">
        <v>62.4</v>
      </c>
      <c r="E4226" s="845">
        <f t="shared" si="132"/>
        <v>16.888888888888889</v>
      </c>
    </row>
    <row r="4227" spans="2:5">
      <c r="B4227" s="1115">
        <v>45098</v>
      </c>
      <c r="C4227" s="242">
        <f t="shared" si="131"/>
        <v>6</v>
      </c>
      <c r="D4227" s="242" t="s">
        <v>1850</v>
      </c>
      <c r="E4227" s="845">
        <f t="shared" si="132"/>
        <v>16.111111111111111</v>
      </c>
    </row>
    <row r="4228" spans="2:5">
      <c r="B4228" s="1115">
        <v>45098</v>
      </c>
      <c r="C4228" s="242">
        <f t="shared" si="131"/>
        <v>6</v>
      </c>
      <c r="D4228" s="242">
        <v>59.5</v>
      </c>
      <c r="E4228" s="845">
        <f t="shared" si="132"/>
        <v>15.277777777777777</v>
      </c>
    </row>
    <row r="4229" spans="2:5">
      <c r="B4229" s="1115">
        <v>45098</v>
      </c>
      <c r="C4229" s="242">
        <f t="shared" si="131"/>
        <v>6</v>
      </c>
      <c r="D4229" s="242">
        <v>59.4</v>
      </c>
      <c r="E4229" s="845">
        <f t="shared" si="132"/>
        <v>15.222222222222221</v>
      </c>
    </row>
    <row r="4230" spans="2:5">
      <c r="B4230" s="1115">
        <v>45098</v>
      </c>
      <c r="C4230" s="242">
        <f t="shared" si="131"/>
        <v>6</v>
      </c>
      <c r="D4230" s="242">
        <v>60.1</v>
      </c>
      <c r="E4230" s="845">
        <f t="shared" si="132"/>
        <v>15.611111111111111</v>
      </c>
    </row>
    <row r="4231" spans="2:5">
      <c r="B4231" s="1115">
        <v>45098</v>
      </c>
      <c r="C4231" s="242">
        <f t="shared" si="131"/>
        <v>6</v>
      </c>
      <c r="D4231" s="242">
        <v>59.5</v>
      </c>
      <c r="E4231" s="845">
        <f t="shared" si="132"/>
        <v>15.277777777777777</v>
      </c>
    </row>
    <row r="4232" spans="2:5">
      <c r="B4232" s="1115">
        <v>45098</v>
      </c>
      <c r="C4232" s="242">
        <f t="shared" si="131"/>
        <v>6</v>
      </c>
      <c r="D4232" s="242" t="s">
        <v>1850</v>
      </c>
      <c r="E4232" s="845">
        <f t="shared" si="132"/>
        <v>16.111111111111111</v>
      </c>
    </row>
    <row r="4233" spans="2:5">
      <c r="B4233" s="1115">
        <v>45099</v>
      </c>
      <c r="C4233" s="242">
        <f t="shared" si="131"/>
        <v>6</v>
      </c>
      <c r="D4233" s="242">
        <v>62.4</v>
      </c>
      <c r="E4233" s="845">
        <f t="shared" si="132"/>
        <v>16.888888888888889</v>
      </c>
    </row>
    <row r="4234" spans="2:5">
      <c r="B4234" s="1115">
        <v>45099</v>
      </c>
      <c r="C4234" s="242">
        <f t="shared" ref="C4234:C4297" si="133">MONTH(B4234)</f>
        <v>6</v>
      </c>
      <c r="D4234" s="242">
        <v>63.9</v>
      </c>
      <c r="E4234" s="845">
        <f t="shared" ref="E4234:E4297" si="134">CONVERT(D4234,"F","C")</f>
        <v>17.722222222222221</v>
      </c>
    </row>
    <row r="4235" spans="2:5">
      <c r="B4235" s="1115">
        <v>45099</v>
      </c>
      <c r="C4235" s="242">
        <f t="shared" si="133"/>
        <v>6</v>
      </c>
      <c r="D4235" s="242">
        <v>64.400000000000006</v>
      </c>
      <c r="E4235" s="845">
        <f t="shared" si="134"/>
        <v>18.000000000000004</v>
      </c>
    </row>
    <row r="4236" spans="2:5">
      <c r="B4236" s="1115">
        <v>45099</v>
      </c>
      <c r="C4236" s="242">
        <f t="shared" si="133"/>
        <v>6</v>
      </c>
      <c r="D4236" s="242">
        <v>64.400000000000006</v>
      </c>
      <c r="E4236" s="845">
        <f t="shared" si="134"/>
        <v>18.000000000000004</v>
      </c>
    </row>
    <row r="4237" spans="2:5">
      <c r="B4237" s="1115">
        <v>45099</v>
      </c>
      <c r="C4237" s="242">
        <f t="shared" si="133"/>
        <v>6</v>
      </c>
      <c r="D4237" s="242">
        <v>62.6</v>
      </c>
      <c r="E4237" s="845">
        <f t="shared" si="134"/>
        <v>17</v>
      </c>
    </row>
    <row r="4238" spans="2:5">
      <c r="B4238" s="1115">
        <v>45099</v>
      </c>
      <c r="C4238" s="242">
        <f t="shared" si="133"/>
        <v>6</v>
      </c>
      <c r="D4238" s="242">
        <v>61.7</v>
      </c>
      <c r="E4238" s="845">
        <f t="shared" si="134"/>
        <v>16.5</v>
      </c>
    </row>
    <row r="4239" spans="2:5">
      <c r="B4239" s="1115">
        <v>45099</v>
      </c>
      <c r="C4239" s="242">
        <f t="shared" si="133"/>
        <v>6</v>
      </c>
      <c r="D4239" s="242">
        <v>60.4</v>
      </c>
      <c r="E4239" s="845">
        <f t="shared" si="134"/>
        <v>15.777777777777777</v>
      </c>
    </row>
    <row r="4240" spans="2:5">
      <c r="B4240" s="1115">
        <v>45099</v>
      </c>
      <c r="C4240" s="242">
        <f t="shared" si="133"/>
        <v>6</v>
      </c>
      <c r="D4240" s="242">
        <v>59.4</v>
      </c>
      <c r="E4240" s="845">
        <f t="shared" si="134"/>
        <v>15.222222222222221</v>
      </c>
    </row>
    <row r="4241" spans="2:5">
      <c r="B4241" s="1115">
        <v>45099</v>
      </c>
      <c r="C4241" s="242">
        <f t="shared" si="133"/>
        <v>6</v>
      </c>
      <c r="D4241" s="242">
        <v>58.8</v>
      </c>
      <c r="E4241" s="845">
        <f t="shared" si="134"/>
        <v>14.888888888888888</v>
      </c>
    </row>
    <row r="4242" spans="2:5">
      <c r="B4242" s="1115">
        <v>45099</v>
      </c>
      <c r="C4242" s="242">
        <f t="shared" si="133"/>
        <v>6</v>
      </c>
      <c r="D4242" s="242">
        <v>58.6</v>
      </c>
      <c r="E4242" s="845">
        <f t="shared" si="134"/>
        <v>14.777777777777779</v>
      </c>
    </row>
    <row r="4243" spans="2:5">
      <c r="B4243" s="1115">
        <v>45099</v>
      </c>
      <c r="C4243" s="242">
        <f t="shared" si="133"/>
        <v>6</v>
      </c>
      <c r="D4243" s="242">
        <v>58.6</v>
      </c>
      <c r="E4243" s="845">
        <f t="shared" si="134"/>
        <v>14.777777777777779</v>
      </c>
    </row>
    <row r="4244" spans="2:5">
      <c r="B4244" s="1115">
        <v>45099</v>
      </c>
      <c r="C4244" s="242">
        <f t="shared" si="133"/>
        <v>6</v>
      </c>
      <c r="D4244" s="242">
        <v>60.1</v>
      </c>
      <c r="E4244" s="845">
        <f t="shared" si="134"/>
        <v>15.611111111111111</v>
      </c>
    </row>
    <row r="4245" spans="2:5">
      <c r="B4245" s="1115">
        <v>45099</v>
      </c>
      <c r="C4245" s="242">
        <f t="shared" si="133"/>
        <v>6</v>
      </c>
      <c r="D4245" s="242">
        <v>61.7</v>
      </c>
      <c r="E4245" s="845">
        <f t="shared" si="134"/>
        <v>16.5</v>
      </c>
    </row>
    <row r="4246" spans="2:5">
      <c r="B4246" s="1115">
        <v>45099</v>
      </c>
      <c r="C4246" s="242">
        <f t="shared" si="133"/>
        <v>6</v>
      </c>
      <c r="D4246" s="242">
        <v>63.1</v>
      </c>
      <c r="E4246" s="845">
        <f t="shared" si="134"/>
        <v>17.277777777777779</v>
      </c>
    </row>
    <row r="4247" spans="2:5">
      <c r="B4247" s="1115">
        <v>45099</v>
      </c>
      <c r="C4247" s="242">
        <f t="shared" si="133"/>
        <v>6</v>
      </c>
      <c r="D4247" s="242" t="s">
        <v>1852</v>
      </c>
      <c r="E4247" s="845">
        <f t="shared" si="134"/>
        <v>17.777777777777779</v>
      </c>
    </row>
    <row r="4248" spans="2:5">
      <c r="B4248" s="1115">
        <v>45099</v>
      </c>
      <c r="C4248" s="242">
        <f t="shared" si="133"/>
        <v>6</v>
      </c>
      <c r="D4248" s="242">
        <v>64.8</v>
      </c>
      <c r="E4248" s="845">
        <f t="shared" si="134"/>
        <v>18.222222222222221</v>
      </c>
    </row>
    <row r="4249" spans="2:5">
      <c r="B4249" s="1115">
        <v>45099</v>
      </c>
      <c r="C4249" s="242">
        <f t="shared" si="133"/>
        <v>6</v>
      </c>
      <c r="D4249" s="242">
        <v>64.400000000000006</v>
      </c>
      <c r="E4249" s="845">
        <f t="shared" si="134"/>
        <v>18.000000000000004</v>
      </c>
    </row>
    <row r="4250" spans="2:5">
      <c r="B4250" s="1115">
        <v>45099</v>
      </c>
      <c r="C4250" s="242">
        <f t="shared" si="133"/>
        <v>6</v>
      </c>
      <c r="D4250" s="242" t="s">
        <v>1851</v>
      </c>
      <c r="E4250" s="845">
        <f t="shared" si="134"/>
        <v>17.222222222222221</v>
      </c>
    </row>
    <row r="4251" spans="2:5">
      <c r="B4251" s="1115">
        <v>45099</v>
      </c>
      <c r="C4251" s="242">
        <f t="shared" si="133"/>
        <v>6</v>
      </c>
      <c r="D4251" s="242">
        <v>61.7</v>
      </c>
      <c r="E4251" s="845">
        <f t="shared" si="134"/>
        <v>16.5</v>
      </c>
    </row>
    <row r="4252" spans="2:5">
      <c r="B4252" s="1115">
        <v>45099</v>
      </c>
      <c r="C4252" s="242">
        <f t="shared" si="133"/>
        <v>6</v>
      </c>
      <c r="D4252" s="242">
        <v>60.1</v>
      </c>
      <c r="E4252" s="845">
        <f t="shared" si="134"/>
        <v>15.611111111111111</v>
      </c>
    </row>
    <row r="4253" spans="2:5">
      <c r="B4253" s="1115">
        <v>45099</v>
      </c>
      <c r="C4253" s="242">
        <f t="shared" si="133"/>
        <v>6</v>
      </c>
      <c r="D4253" s="242">
        <v>59.4</v>
      </c>
      <c r="E4253" s="845">
        <f t="shared" si="134"/>
        <v>15.222222222222221</v>
      </c>
    </row>
    <row r="4254" spans="2:5">
      <c r="B4254" s="1115">
        <v>45099</v>
      </c>
      <c r="C4254" s="242">
        <f t="shared" si="133"/>
        <v>6</v>
      </c>
      <c r="D4254" s="242">
        <v>58.8</v>
      </c>
      <c r="E4254" s="845">
        <f t="shared" si="134"/>
        <v>14.888888888888888</v>
      </c>
    </row>
    <row r="4255" spans="2:5">
      <c r="B4255" s="1115">
        <v>45099</v>
      </c>
      <c r="C4255" s="242">
        <f t="shared" si="133"/>
        <v>6</v>
      </c>
      <c r="D4255" s="242" t="s">
        <v>1849</v>
      </c>
      <c r="E4255" s="845">
        <f t="shared" si="134"/>
        <v>15</v>
      </c>
    </row>
    <row r="4256" spans="2:5">
      <c r="B4256" s="1115">
        <v>45099</v>
      </c>
      <c r="C4256" s="242">
        <f t="shared" si="133"/>
        <v>6</v>
      </c>
      <c r="D4256" s="242">
        <v>59.7</v>
      </c>
      <c r="E4256" s="845">
        <f t="shared" si="134"/>
        <v>15.388888888888889</v>
      </c>
    </row>
    <row r="4257" spans="2:5">
      <c r="B4257" s="1115">
        <v>45100</v>
      </c>
      <c r="C4257" s="242">
        <f t="shared" si="133"/>
        <v>6</v>
      </c>
      <c r="D4257" s="242">
        <v>60.8</v>
      </c>
      <c r="E4257" s="845">
        <f t="shared" si="134"/>
        <v>15.999999999999998</v>
      </c>
    </row>
    <row r="4258" spans="2:5">
      <c r="B4258" s="1115">
        <v>45100</v>
      </c>
      <c r="C4258" s="242">
        <f t="shared" si="133"/>
        <v>6</v>
      </c>
      <c r="D4258" s="242">
        <v>62.4</v>
      </c>
      <c r="E4258" s="845">
        <f t="shared" si="134"/>
        <v>16.888888888888889</v>
      </c>
    </row>
    <row r="4259" spans="2:5">
      <c r="B4259" s="1115">
        <v>45100</v>
      </c>
      <c r="C4259" s="242">
        <f t="shared" si="133"/>
        <v>6</v>
      </c>
      <c r="D4259" s="242">
        <v>63.9</v>
      </c>
      <c r="E4259" s="845">
        <f t="shared" si="134"/>
        <v>17.722222222222221</v>
      </c>
    </row>
    <row r="4260" spans="2:5">
      <c r="B4260" s="1115">
        <v>45100</v>
      </c>
      <c r="C4260" s="242">
        <f t="shared" si="133"/>
        <v>6</v>
      </c>
      <c r="D4260" s="242">
        <v>64.400000000000006</v>
      </c>
      <c r="E4260" s="845">
        <f t="shared" si="134"/>
        <v>18.000000000000004</v>
      </c>
    </row>
    <row r="4261" spans="2:5">
      <c r="B4261" s="1115">
        <v>45100</v>
      </c>
      <c r="C4261" s="242">
        <f t="shared" si="133"/>
        <v>6</v>
      </c>
      <c r="D4261" s="242">
        <v>63.9</v>
      </c>
      <c r="E4261" s="845">
        <f t="shared" si="134"/>
        <v>17.722222222222221</v>
      </c>
    </row>
    <row r="4262" spans="2:5">
      <c r="B4262" s="1115">
        <v>45100</v>
      </c>
      <c r="C4262" s="242">
        <f t="shared" si="133"/>
        <v>6</v>
      </c>
      <c r="D4262" s="242">
        <v>61.5</v>
      </c>
      <c r="E4262" s="845">
        <f t="shared" si="134"/>
        <v>16.388888888888889</v>
      </c>
    </row>
    <row r="4263" spans="2:5">
      <c r="B4263" s="1115">
        <v>45100</v>
      </c>
      <c r="C4263" s="242">
        <f t="shared" si="133"/>
        <v>6</v>
      </c>
      <c r="D4263" s="242">
        <v>60.8</v>
      </c>
      <c r="E4263" s="845">
        <f t="shared" si="134"/>
        <v>15.999999999999998</v>
      </c>
    </row>
    <row r="4264" spans="2:5">
      <c r="B4264" s="1115">
        <v>45100</v>
      </c>
      <c r="C4264" s="242">
        <f t="shared" si="133"/>
        <v>6</v>
      </c>
      <c r="D4264" s="242">
        <v>59.2</v>
      </c>
      <c r="E4264" s="845">
        <f t="shared" si="134"/>
        <v>15.111111111111112</v>
      </c>
    </row>
    <row r="4265" spans="2:5">
      <c r="B4265" s="1115">
        <v>45100</v>
      </c>
      <c r="C4265" s="242">
        <f t="shared" si="133"/>
        <v>6</v>
      </c>
      <c r="D4265" s="242">
        <v>58.3</v>
      </c>
      <c r="E4265" s="845">
        <f t="shared" si="134"/>
        <v>14.611111111111109</v>
      </c>
    </row>
    <row r="4266" spans="2:5">
      <c r="B4266" s="1115">
        <v>45100</v>
      </c>
      <c r="C4266" s="242">
        <f t="shared" si="133"/>
        <v>6</v>
      </c>
      <c r="D4266" s="242">
        <v>57.4</v>
      </c>
      <c r="E4266" s="845">
        <f t="shared" si="134"/>
        <v>14.111111111111111</v>
      </c>
    </row>
    <row r="4267" spans="2:5">
      <c r="B4267" s="1115">
        <v>45100</v>
      </c>
      <c r="C4267" s="242">
        <f t="shared" si="133"/>
        <v>6</v>
      </c>
      <c r="D4267" s="242">
        <v>58.3</v>
      </c>
      <c r="E4267" s="845">
        <f t="shared" si="134"/>
        <v>14.611111111111109</v>
      </c>
    </row>
    <row r="4268" spans="2:5">
      <c r="B4268" s="1115">
        <v>45100</v>
      </c>
      <c r="C4268" s="242">
        <f t="shared" si="133"/>
        <v>6</v>
      </c>
      <c r="D4268" s="242">
        <v>58.6</v>
      </c>
      <c r="E4268" s="845">
        <f t="shared" si="134"/>
        <v>14.777777777777779</v>
      </c>
    </row>
    <row r="4269" spans="2:5">
      <c r="B4269" s="1115">
        <v>45100</v>
      </c>
      <c r="C4269" s="242">
        <f t="shared" si="133"/>
        <v>6</v>
      </c>
      <c r="D4269" s="242">
        <v>60.1</v>
      </c>
      <c r="E4269" s="845">
        <f t="shared" si="134"/>
        <v>15.611111111111111</v>
      </c>
    </row>
    <row r="4270" spans="2:5">
      <c r="B4270" s="1115">
        <v>45100</v>
      </c>
      <c r="C4270" s="242">
        <f t="shared" si="133"/>
        <v>6</v>
      </c>
      <c r="D4270" s="242">
        <v>61.9</v>
      </c>
      <c r="E4270" s="845">
        <f t="shared" si="134"/>
        <v>16.611111111111111</v>
      </c>
    </row>
    <row r="4271" spans="2:5">
      <c r="B4271" s="1115">
        <v>45100</v>
      </c>
      <c r="C4271" s="242">
        <f t="shared" si="133"/>
        <v>6</v>
      </c>
      <c r="D4271" s="242">
        <v>63.3</v>
      </c>
      <c r="E4271" s="845">
        <f t="shared" si="134"/>
        <v>17.388888888888886</v>
      </c>
    </row>
    <row r="4272" spans="2:5">
      <c r="B4272" s="1115">
        <v>45100</v>
      </c>
      <c r="C4272" s="242">
        <f t="shared" si="133"/>
        <v>6</v>
      </c>
      <c r="D4272" s="242">
        <v>64.400000000000006</v>
      </c>
      <c r="E4272" s="845">
        <f t="shared" si="134"/>
        <v>18.000000000000004</v>
      </c>
    </row>
    <row r="4273" spans="2:5">
      <c r="B4273" s="1115">
        <v>45100</v>
      </c>
      <c r="C4273" s="242">
        <f t="shared" si="133"/>
        <v>6</v>
      </c>
      <c r="D4273" s="242">
        <v>64.900000000000006</v>
      </c>
      <c r="E4273" s="845">
        <f t="shared" si="134"/>
        <v>18.277777777777782</v>
      </c>
    </row>
    <row r="4274" spans="2:5">
      <c r="B4274" s="1115">
        <v>45100</v>
      </c>
      <c r="C4274" s="242">
        <f t="shared" si="133"/>
        <v>6</v>
      </c>
      <c r="D4274" s="242">
        <v>63.9</v>
      </c>
      <c r="E4274" s="845">
        <f t="shared" si="134"/>
        <v>17.722222222222221</v>
      </c>
    </row>
    <row r="4275" spans="2:5">
      <c r="B4275" s="1115">
        <v>45100</v>
      </c>
      <c r="C4275" s="242">
        <f t="shared" si="133"/>
        <v>6</v>
      </c>
      <c r="D4275" s="242">
        <v>62.8</v>
      </c>
      <c r="E4275" s="845">
        <f t="shared" si="134"/>
        <v>17.111111111111111</v>
      </c>
    </row>
    <row r="4276" spans="2:5">
      <c r="B4276" s="1115">
        <v>45100</v>
      </c>
      <c r="C4276" s="242">
        <f t="shared" si="133"/>
        <v>6</v>
      </c>
      <c r="D4276" s="242">
        <v>60.8</v>
      </c>
      <c r="E4276" s="845">
        <f t="shared" si="134"/>
        <v>15.999999999999998</v>
      </c>
    </row>
    <row r="4277" spans="2:5">
      <c r="B4277" s="1115">
        <v>45100</v>
      </c>
      <c r="C4277" s="242">
        <f t="shared" si="133"/>
        <v>6</v>
      </c>
      <c r="D4277" s="242">
        <v>59.7</v>
      </c>
      <c r="E4277" s="845">
        <f t="shared" si="134"/>
        <v>15.388888888888889</v>
      </c>
    </row>
    <row r="4278" spans="2:5">
      <c r="B4278" s="1115">
        <v>45100</v>
      </c>
      <c r="C4278" s="242">
        <f t="shared" si="133"/>
        <v>6</v>
      </c>
      <c r="D4278" s="242">
        <v>58.8</v>
      </c>
      <c r="E4278" s="845">
        <f t="shared" si="134"/>
        <v>14.888888888888888</v>
      </c>
    </row>
    <row r="4279" spans="2:5">
      <c r="B4279" s="1115">
        <v>45100</v>
      </c>
      <c r="C4279" s="242">
        <f t="shared" si="133"/>
        <v>6</v>
      </c>
      <c r="D4279" s="242" t="s">
        <v>1849</v>
      </c>
      <c r="E4279" s="845">
        <f t="shared" si="134"/>
        <v>15</v>
      </c>
    </row>
    <row r="4280" spans="2:5">
      <c r="B4280" s="1115">
        <v>45100</v>
      </c>
      <c r="C4280" s="242">
        <f t="shared" si="133"/>
        <v>6</v>
      </c>
      <c r="D4280" s="242">
        <v>59.4</v>
      </c>
      <c r="E4280" s="845">
        <f t="shared" si="134"/>
        <v>15.222222222222221</v>
      </c>
    </row>
    <row r="4281" spans="2:5">
      <c r="B4281" s="1115">
        <v>45101</v>
      </c>
      <c r="C4281" s="242">
        <f t="shared" si="133"/>
        <v>6</v>
      </c>
      <c r="D4281" s="242">
        <v>60.1</v>
      </c>
      <c r="E4281" s="845">
        <f t="shared" si="134"/>
        <v>15.611111111111111</v>
      </c>
    </row>
    <row r="4282" spans="2:5">
      <c r="B4282" s="1115">
        <v>45101</v>
      </c>
      <c r="C4282" s="242">
        <f t="shared" si="133"/>
        <v>6</v>
      </c>
      <c r="D4282" s="242">
        <v>61.3</v>
      </c>
      <c r="E4282" s="845">
        <f t="shared" si="134"/>
        <v>16.277777777777775</v>
      </c>
    </row>
    <row r="4283" spans="2:5">
      <c r="B4283" s="1115">
        <v>45101</v>
      </c>
      <c r="C4283" s="242">
        <f t="shared" si="133"/>
        <v>6</v>
      </c>
      <c r="D4283" s="242">
        <v>63.3</v>
      </c>
      <c r="E4283" s="845">
        <f t="shared" si="134"/>
        <v>17.388888888888886</v>
      </c>
    </row>
    <row r="4284" spans="2:5">
      <c r="B4284" s="1115">
        <v>45101</v>
      </c>
      <c r="C4284" s="242">
        <f t="shared" si="133"/>
        <v>6</v>
      </c>
      <c r="D4284" s="242">
        <v>64.400000000000006</v>
      </c>
      <c r="E4284" s="845">
        <f t="shared" si="134"/>
        <v>18.000000000000004</v>
      </c>
    </row>
    <row r="4285" spans="2:5">
      <c r="B4285" s="1115">
        <v>45101</v>
      </c>
      <c r="C4285" s="242">
        <f t="shared" si="133"/>
        <v>6</v>
      </c>
      <c r="D4285" s="242">
        <v>64.8</v>
      </c>
      <c r="E4285" s="845">
        <f t="shared" si="134"/>
        <v>18.222222222222221</v>
      </c>
    </row>
    <row r="4286" spans="2:5">
      <c r="B4286" s="1115">
        <v>45101</v>
      </c>
      <c r="C4286" s="242">
        <f t="shared" si="133"/>
        <v>6</v>
      </c>
      <c r="D4286" s="242">
        <v>63.3</v>
      </c>
      <c r="E4286" s="845">
        <f t="shared" si="134"/>
        <v>17.388888888888886</v>
      </c>
    </row>
    <row r="4287" spans="2:5">
      <c r="B4287" s="1115">
        <v>45101</v>
      </c>
      <c r="C4287" s="242">
        <f t="shared" si="133"/>
        <v>6</v>
      </c>
      <c r="D4287" s="242">
        <v>61.7</v>
      </c>
      <c r="E4287" s="845">
        <f t="shared" si="134"/>
        <v>16.5</v>
      </c>
    </row>
    <row r="4288" spans="2:5">
      <c r="B4288" s="1115">
        <v>45101</v>
      </c>
      <c r="C4288" s="242">
        <f t="shared" si="133"/>
        <v>6</v>
      </c>
      <c r="D4288" s="242" t="s">
        <v>1850</v>
      </c>
      <c r="E4288" s="845">
        <f t="shared" si="134"/>
        <v>16.111111111111111</v>
      </c>
    </row>
    <row r="4289" spans="2:5">
      <c r="B4289" s="1115">
        <v>45101</v>
      </c>
      <c r="C4289" s="242">
        <f t="shared" si="133"/>
        <v>6</v>
      </c>
      <c r="D4289" s="242">
        <v>60.1</v>
      </c>
      <c r="E4289" s="845">
        <f t="shared" si="134"/>
        <v>15.611111111111111</v>
      </c>
    </row>
    <row r="4290" spans="2:5">
      <c r="B4290" s="1115">
        <v>45101</v>
      </c>
      <c r="C4290" s="242">
        <f t="shared" si="133"/>
        <v>6</v>
      </c>
      <c r="D4290" s="242" t="s">
        <v>1849</v>
      </c>
      <c r="E4290" s="845">
        <f t="shared" si="134"/>
        <v>15</v>
      </c>
    </row>
    <row r="4291" spans="2:5">
      <c r="B4291" s="1115">
        <v>45101</v>
      </c>
      <c r="C4291" s="242">
        <f t="shared" si="133"/>
        <v>6</v>
      </c>
      <c r="D4291" s="242">
        <v>58.3</v>
      </c>
      <c r="E4291" s="845">
        <f t="shared" si="134"/>
        <v>14.611111111111109</v>
      </c>
    </row>
    <row r="4292" spans="2:5">
      <c r="B4292" s="1115">
        <v>45101</v>
      </c>
      <c r="C4292" s="242">
        <f t="shared" si="133"/>
        <v>6</v>
      </c>
      <c r="D4292" s="242">
        <v>58.5</v>
      </c>
      <c r="E4292" s="845">
        <f t="shared" si="134"/>
        <v>14.722222222222221</v>
      </c>
    </row>
    <row r="4293" spans="2:5">
      <c r="B4293" s="1115">
        <v>45101</v>
      </c>
      <c r="C4293" s="242">
        <f t="shared" si="133"/>
        <v>6</v>
      </c>
      <c r="D4293" s="242">
        <v>59.9</v>
      </c>
      <c r="E4293" s="845">
        <f t="shared" si="134"/>
        <v>15.499999999999998</v>
      </c>
    </row>
    <row r="4294" spans="2:5">
      <c r="B4294" s="1115">
        <v>45101</v>
      </c>
      <c r="C4294" s="242">
        <f t="shared" si="133"/>
        <v>6</v>
      </c>
      <c r="D4294" s="242">
        <v>61.2</v>
      </c>
      <c r="E4294" s="845">
        <f t="shared" si="134"/>
        <v>16.222222222222225</v>
      </c>
    </row>
    <row r="4295" spans="2:5">
      <c r="B4295" s="1115">
        <v>45101</v>
      </c>
      <c r="C4295" s="242">
        <f t="shared" si="133"/>
        <v>6</v>
      </c>
      <c r="D4295" s="242">
        <v>63.1</v>
      </c>
      <c r="E4295" s="845">
        <f t="shared" si="134"/>
        <v>17.277777777777779</v>
      </c>
    </row>
    <row r="4296" spans="2:5">
      <c r="B4296" s="1115">
        <v>45101</v>
      </c>
      <c r="C4296" s="242">
        <f t="shared" si="133"/>
        <v>6</v>
      </c>
      <c r="D4296" s="242">
        <v>64.400000000000006</v>
      </c>
      <c r="E4296" s="845">
        <f t="shared" si="134"/>
        <v>18.000000000000004</v>
      </c>
    </row>
    <row r="4297" spans="2:5">
      <c r="B4297" s="1115">
        <v>45101</v>
      </c>
      <c r="C4297" s="242">
        <f t="shared" si="133"/>
        <v>6</v>
      </c>
      <c r="D4297" s="242">
        <v>65.099999999999994</v>
      </c>
      <c r="E4297" s="845">
        <f t="shared" si="134"/>
        <v>18.388888888888886</v>
      </c>
    </row>
    <row r="4298" spans="2:5">
      <c r="B4298" s="1115">
        <v>45101</v>
      </c>
      <c r="C4298" s="242">
        <f t="shared" ref="C4298:C4361" si="135">MONTH(B4298)</f>
        <v>6</v>
      </c>
      <c r="D4298" s="242">
        <v>65.3</v>
      </c>
      <c r="E4298" s="845">
        <f t="shared" ref="E4298:E4361" si="136">CONVERT(D4298,"F","C")</f>
        <v>18.499999999999996</v>
      </c>
    </row>
    <row r="4299" spans="2:5">
      <c r="B4299" s="1115">
        <v>45101</v>
      </c>
      <c r="C4299" s="242">
        <f t="shared" si="135"/>
        <v>6</v>
      </c>
      <c r="D4299" s="242">
        <v>64.8</v>
      </c>
      <c r="E4299" s="845">
        <f t="shared" si="136"/>
        <v>18.222222222222221</v>
      </c>
    </row>
    <row r="4300" spans="2:5">
      <c r="B4300" s="1115">
        <v>45101</v>
      </c>
      <c r="C4300" s="242">
        <f t="shared" si="135"/>
        <v>6</v>
      </c>
      <c r="D4300" s="242">
        <v>61.7</v>
      </c>
      <c r="E4300" s="845">
        <f t="shared" si="136"/>
        <v>16.5</v>
      </c>
    </row>
    <row r="4301" spans="2:5">
      <c r="B4301" s="1115">
        <v>45101</v>
      </c>
      <c r="C4301" s="242">
        <f t="shared" si="135"/>
        <v>6</v>
      </c>
      <c r="D4301" s="242">
        <v>59.9</v>
      </c>
      <c r="E4301" s="845">
        <f t="shared" si="136"/>
        <v>15.499999999999998</v>
      </c>
    </row>
    <row r="4302" spans="2:5">
      <c r="B4302" s="1115">
        <v>45101</v>
      </c>
      <c r="C4302" s="242">
        <f t="shared" si="135"/>
        <v>6</v>
      </c>
      <c r="D4302" s="242">
        <v>58.3</v>
      </c>
      <c r="E4302" s="845">
        <f t="shared" si="136"/>
        <v>14.611111111111109</v>
      </c>
    </row>
    <row r="4303" spans="2:5">
      <c r="B4303" s="1115">
        <v>45101</v>
      </c>
      <c r="C4303" s="242">
        <f t="shared" si="135"/>
        <v>6</v>
      </c>
      <c r="D4303" s="242">
        <v>56.7</v>
      </c>
      <c r="E4303" s="845">
        <f t="shared" si="136"/>
        <v>13.722222222222223</v>
      </c>
    </row>
    <row r="4304" spans="2:5">
      <c r="B4304" s="1115">
        <v>45101</v>
      </c>
      <c r="C4304" s="242">
        <f t="shared" si="135"/>
        <v>6</v>
      </c>
      <c r="D4304" s="242">
        <v>57.9</v>
      </c>
      <c r="E4304" s="845">
        <f t="shared" si="136"/>
        <v>14.388888888888888</v>
      </c>
    </row>
    <row r="4305" spans="2:5">
      <c r="B4305" s="1115">
        <v>45102</v>
      </c>
      <c r="C4305" s="242">
        <f t="shared" si="135"/>
        <v>6</v>
      </c>
      <c r="D4305" s="242">
        <v>57.6</v>
      </c>
      <c r="E4305" s="845">
        <f t="shared" si="136"/>
        <v>14.222222222222223</v>
      </c>
    </row>
    <row r="4306" spans="2:5">
      <c r="B4306" s="1115">
        <v>45102</v>
      </c>
      <c r="C4306" s="242">
        <f t="shared" si="135"/>
        <v>6</v>
      </c>
      <c r="D4306" s="242" t="s">
        <v>1849</v>
      </c>
      <c r="E4306" s="845">
        <f t="shared" si="136"/>
        <v>15</v>
      </c>
    </row>
    <row r="4307" spans="2:5">
      <c r="B4307" s="1115">
        <v>45102</v>
      </c>
      <c r="C4307" s="242">
        <f t="shared" si="135"/>
        <v>6</v>
      </c>
      <c r="D4307" s="242">
        <v>60.8</v>
      </c>
      <c r="E4307" s="845">
        <f t="shared" si="136"/>
        <v>15.999999999999998</v>
      </c>
    </row>
    <row r="4308" spans="2:5">
      <c r="B4308" s="1115">
        <v>45102</v>
      </c>
      <c r="C4308" s="242">
        <f t="shared" si="135"/>
        <v>6</v>
      </c>
      <c r="D4308" s="242">
        <v>63.1</v>
      </c>
      <c r="E4308" s="845">
        <f t="shared" si="136"/>
        <v>17.277777777777779</v>
      </c>
    </row>
    <row r="4309" spans="2:5">
      <c r="B4309" s="1115">
        <v>45102</v>
      </c>
      <c r="C4309" s="242">
        <f t="shared" si="135"/>
        <v>6</v>
      </c>
      <c r="D4309" s="242">
        <v>64.400000000000006</v>
      </c>
      <c r="E4309" s="845">
        <f t="shared" si="136"/>
        <v>18.000000000000004</v>
      </c>
    </row>
    <row r="4310" spans="2:5">
      <c r="B4310" s="1115">
        <v>45102</v>
      </c>
      <c r="C4310" s="242">
        <f t="shared" si="135"/>
        <v>6</v>
      </c>
      <c r="D4310" s="242">
        <v>64.599999999999994</v>
      </c>
      <c r="E4310" s="845">
        <f t="shared" si="136"/>
        <v>18.111111111111107</v>
      </c>
    </row>
    <row r="4311" spans="2:5">
      <c r="B4311" s="1115">
        <v>45102</v>
      </c>
      <c r="C4311" s="242">
        <f t="shared" si="135"/>
        <v>6</v>
      </c>
      <c r="D4311" s="242">
        <v>62.6</v>
      </c>
      <c r="E4311" s="845">
        <f t="shared" si="136"/>
        <v>17</v>
      </c>
    </row>
    <row r="4312" spans="2:5">
      <c r="B4312" s="1115">
        <v>45102</v>
      </c>
      <c r="C4312" s="242">
        <f t="shared" si="135"/>
        <v>6</v>
      </c>
      <c r="D4312" s="242" t="s">
        <v>1850</v>
      </c>
      <c r="E4312" s="845">
        <f t="shared" si="136"/>
        <v>16.111111111111111</v>
      </c>
    </row>
    <row r="4313" spans="2:5">
      <c r="B4313" s="1115">
        <v>45102</v>
      </c>
      <c r="C4313" s="242">
        <f t="shared" si="135"/>
        <v>6</v>
      </c>
      <c r="D4313" s="242">
        <v>59.7</v>
      </c>
      <c r="E4313" s="845">
        <f t="shared" si="136"/>
        <v>15.388888888888889</v>
      </c>
    </row>
    <row r="4314" spans="2:5">
      <c r="B4314" s="1115">
        <v>45102</v>
      </c>
      <c r="C4314" s="242">
        <f t="shared" si="135"/>
        <v>6</v>
      </c>
      <c r="D4314" s="242">
        <v>58.3</v>
      </c>
      <c r="E4314" s="845">
        <f t="shared" si="136"/>
        <v>14.611111111111109</v>
      </c>
    </row>
    <row r="4315" spans="2:5">
      <c r="B4315" s="1115">
        <v>45102</v>
      </c>
      <c r="C4315" s="242">
        <f t="shared" si="135"/>
        <v>6</v>
      </c>
      <c r="D4315" s="242">
        <v>56.8</v>
      </c>
      <c r="E4315" s="845">
        <f t="shared" si="136"/>
        <v>13.777777777777775</v>
      </c>
    </row>
    <row r="4316" spans="2:5">
      <c r="B4316" s="1115">
        <v>45102</v>
      </c>
      <c r="C4316" s="242">
        <f t="shared" si="135"/>
        <v>6</v>
      </c>
      <c r="D4316" s="242">
        <v>57.2</v>
      </c>
      <c r="E4316" s="845">
        <f t="shared" si="136"/>
        <v>14.000000000000002</v>
      </c>
    </row>
    <row r="4317" spans="2:5">
      <c r="B4317" s="1115">
        <v>45102</v>
      </c>
      <c r="C4317" s="242">
        <f t="shared" si="135"/>
        <v>6</v>
      </c>
      <c r="D4317" s="242">
        <v>57.4</v>
      </c>
      <c r="E4317" s="845">
        <f t="shared" si="136"/>
        <v>14.111111111111111</v>
      </c>
    </row>
    <row r="4318" spans="2:5">
      <c r="B4318" s="1115">
        <v>45102</v>
      </c>
      <c r="C4318" s="242">
        <f t="shared" si="135"/>
        <v>6</v>
      </c>
      <c r="D4318" s="242">
        <v>59.2</v>
      </c>
      <c r="E4318" s="845">
        <f t="shared" si="136"/>
        <v>15.111111111111112</v>
      </c>
    </row>
    <row r="4319" spans="2:5">
      <c r="B4319" s="1115">
        <v>45102</v>
      </c>
      <c r="C4319" s="242">
        <f t="shared" si="135"/>
        <v>6</v>
      </c>
      <c r="D4319" s="242" t="s">
        <v>1850</v>
      </c>
      <c r="E4319" s="845">
        <f t="shared" si="136"/>
        <v>16.111111111111111</v>
      </c>
    </row>
    <row r="4320" spans="2:5">
      <c r="B4320" s="1115">
        <v>45102</v>
      </c>
      <c r="C4320" s="242">
        <f t="shared" si="135"/>
        <v>6</v>
      </c>
      <c r="D4320" s="242">
        <v>63.3</v>
      </c>
      <c r="E4320" s="845">
        <f t="shared" si="136"/>
        <v>17.388888888888886</v>
      </c>
    </row>
    <row r="4321" spans="2:5">
      <c r="B4321" s="1115">
        <v>45102</v>
      </c>
      <c r="C4321" s="242">
        <f t="shared" si="135"/>
        <v>6</v>
      </c>
      <c r="D4321" s="242">
        <v>64.8</v>
      </c>
      <c r="E4321" s="845">
        <f t="shared" si="136"/>
        <v>18.222222222222221</v>
      </c>
    </row>
    <row r="4322" spans="2:5">
      <c r="B4322" s="1115">
        <v>45102</v>
      </c>
      <c r="C4322" s="242">
        <f t="shared" si="135"/>
        <v>6</v>
      </c>
      <c r="D4322" s="242">
        <v>65.5</v>
      </c>
      <c r="E4322" s="845">
        <f t="shared" si="136"/>
        <v>18.611111111111111</v>
      </c>
    </row>
    <row r="4323" spans="2:5">
      <c r="B4323" s="1115">
        <v>45102</v>
      </c>
      <c r="C4323" s="242">
        <f t="shared" si="135"/>
        <v>6</v>
      </c>
      <c r="D4323" s="242">
        <v>64.900000000000006</v>
      </c>
      <c r="E4323" s="845">
        <f t="shared" si="136"/>
        <v>18.277777777777782</v>
      </c>
    </row>
    <row r="4324" spans="2:5">
      <c r="B4324" s="1115">
        <v>45102</v>
      </c>
      <c r="C4324" s="242">
        <f t="shared" si="135"/>
        <v>6</v>
      </c>
      <c r="D4324" s="242">
        <v>62.8</v>
      </c>
      <c r="E4324" s="845">
        <f t="shared" si="136"/>
        <v>17.111111111111111</v>
      </c>
    </row>
    <row r="4325" spans="2:5">
      <c r="B4325" s="1115">
        <v>45102</v>
      </c>
      <c r="C4325" s="242">
        <f t="shared" si="135"/>
        <v>6</v>
      </c>
      <c r="D4325" s="242" t="s">
        <v>1850</v>
      </c>
      <c r="E4325" s="845">
        <f t="shared" si="136"/>
        <v>16.111111111111111</v>
      </c>
    </row>
    <row r="4326" spans="2:5">
      <c r="B4326" s="1115">
        <v>45102</v>
      </c>
      <c r="C4326" s="242">
        <f t="shared" si="135"/>
        <v>6</v>
      </c>
      <c r="D4326" s="242">
        <v>58.8</v>
      </c>
      <c r="E4326" s="845">
        <f t="shared" si="136"/>
        <v>14.888888888888888</v>
      </c>
    </row>
    <row r="4327" spans="2:5">
      <c r="B4327" s="1115">
        <v>45102</v>
      </c>
      <c r="C4327" s="242">
        <f t="shared" si="135"/>
        <v>6</v>
      </c>
      <c r="D4327" s="242">
        <v>57.2</v>
      </c>
      <c r="E4327" s="845">
        <f t="shared" si="136"/>
        <v>14.000000000000002</v>
      </c>
    </row>
    <row r="4328" spans="2:5">
      <c r="B4328" s="1115">
        <v>45102</v>
      </c>
      <c r="C4328" s="242">
        <f t="shared" si="135"/>
        <v>6</v>
      </c>
      <c r="D4328" s="242">
        <v>55.6</v>
      </c>
      <c r="E4328" s="845">
        <f t="shared" si="136"/>
        <v>13.111111111111111</v>
      </c>
    </row>
    <row r="4329" spans="2:5">
      <c r="B4329" s="1115">
        <v>45103</v>
      </c>
      <c r="C4329" s="242">
        <f t="shared" si="135"/>
        <v>6</v>
      </c>
      <c r="D4329" s="242">
        <v>57.4</v>
      </c>
      <c r="E4329" s="845">
        <f t="shared" si="136"/>
        <v>14.111111111111111</v>
      </c>
    </row>
    <row r="4330" spans="2:5">
      <c r="B4330" s="1115">
        <v>45103</v>
      </c>
      <c r="C4330" s="242">
        <f t="shared" si="135"/>
        <v>6</v>
      </c>
      <c r="D4330" s="242">
        <v>56.8</v>
      </c>
      <c r="E4330" s="845">
        <f t="shared" si="136"/>
        <v>13.777777777777775</v>
      </c>
    </row>
    <row r="4331" spans="2:5">
      <c r="B4331" s="1115">
        <v>45103</v>
      </c>
      <c r="C4331" s="242">
        <f t="shared" si="135"/>
        <v>6</v>
      </c>
      <c r="D4331" s="242" t="s">
        <v>1849</v>
      </c>
      <c r="E4331" s="845">
        <f t="shared" si="136"/>
        <v>15</v>
      </c>
    </row>
    <row r="4332" spans="2:5">
      <c r="B4332" s="1115">
        <v>45103</v>
      </c>
      <c r="C4332" s="242">
        <f t="shared" si="135"/>
        <v>6</v>
      </c>
      <c r="D4332" s="242">
        <v>61.5</v>
      </c>
      <c r="E4332" s="845">
        <f t="shared" si="136"/>
        <v>16.388888888888889</v>
      </c>
    </row>
    <row r="4333" spans="2:5">
      <c r="B4333" s="1115">
        <v>45103</v>
      </c>
      <c r="C4333" s="242">
        <f t="shared" si="135"/>
        <v>6</v>
      </c>
      <c r="D4333" s="242">
        <v>63.7</v>
      </c>
      <c r="E4333" s="845">
        <f t="shared" si="136"/>
        <v>17.611111111111111</v>
      </c>
    </row>
    <row r="4334" spans="2:5">
      <c r="B4334" s="1115">
        <v>45103</v>
      </c>
      <c r="C4334" s="242">
        <f t="shared" si="135"/>
        <v>6</v>
      </c>
      <c r="D4334" s="242">
        <v>64.8</v>
      </c>
      <c r="E4334" s="845">
        <f t="shared" si="136"/>
        <v>18.222222222222221</v>
      </c>
    </row>
    <row r="4335" spans="2:5">
      <c r="B4335" s="1115">
        <v>45103</v>
      </c>
      <c r="C4335" s="242">
        <f t="shared" si="135"/>
        <v>6</v>
      </c>
      <c r="D4335" s="242">
        <v>65.099999999999994</v>
      </c>
      <c r="E4335" s="845">
        <f t="shared" si="136"/>
        <v>18.388888888888886</v>
      </c>
    </row>
    <row r="4336" spans="2:5">
      <c r="B4336" s="1115">
        <v>45103</v>
      </c>
      <c r="C4336" s="242">
        <f t="shared" si="135"/>
        <v>6</v>
      </c>
      <c r="D4336" s="242">
        <v>62.4</v>
      </c>
      <c r="E4336" s="845">
        <f t="shared" si="136"/>
        <v>16.888888888888889</v>
      </c>
    </row>
    <row r="4337" spans="2:5">
      <c r="B4337" s="1115">
        <v>45103</v>
      </c>
      <c r="C4337" s="242">
        <f t="shared" si="135"/>
        <v>6</v>
      </c>
      <c r="D4337" s="242">
        <v>60.1</v>
      </c>
      <c r="E4337" s="845">
        <f t="shared" si="136"/>
        <v>15.611111111111111</v>
      </c>
    </row>
    <row r="4338" spans="2:5">
      <c r="B4338" s="1115">
        <v>45103</v>
      </c>
      <c r="C4338" s="242">
        <f t="shared" si="135"/>
        <v>6</v>
      </c>
      <c r="D4338" s="242">
        <v>58.3</v>
      </c>
      <c r="E4338" s="845">
        <f t="shared" si="136"/>
        <v>14.611111111111109</v>
      </c>
    </row>
    <row r="4339" spans="2:5">
      <c r="B4339" s="1115">
        <v>45103</v>
      </c>
      <c r="C4339" s="242">
        <f t="shared" si="135"/>
        <v>6</v>
      </c>
      <c r="D4339" s="242">
        <v>56.8</v>
      </c>
      <c r="E4339" s="845">
        <f t="shared" si="136"/>
        <v>13.777777777777775</v>
      </c>
    </row>
    <row r="4340" spans="2:5">
      <c r="B4340" s="1115">
        <v>45103</v>
      </c>
      <c r="C4340" s="242">
        <f t="shared" si="135"/>
        <v>6</v>
      </c>
      <c r="D4340" s="242">
        <v>56.5</v>
      </c>
      <c r="E4340" s="845">
        <f t="shared" si="136"/>
        <v>13.611111111111111</v>
      </c>
    </row>
    <row r="4341" spans="2:5">
      <c r="B4341" s="1115">
        <v>45103</v>
      </c>
      <c r="C4341" s="242">
        <f t="shared" si="135"/>
        <v>6</v>
      </c>
      <c r="D4341" s="242">
        <v>57.2</v>
      </c>
      <c r="E4341" s="845">
        <f t="shared" si="136"/>
        <v>14.000000000000002</v>
      </c>
    </row>
    <row r="4342" spans="2:5">
      <c r="B4342" s="1115">
        <v>45103</v>
      </c>
      <c r="C4342" s="242">
        <f t="shared" si="135"/>
        <v>6</v>
      </c>
      <c r="D4342" s="242">
        <v>56.5</v>
      </c>
      <c r="E4342" s="845">
        <f t="shared" si="136"/>
        <v>13.611111111111111</v>
      </c>
    </row>
    <row r="4343" spans="2:5">
      <c r="B4343" s="1115">
        <v>45103</v>
      </c>
      <c r="C4343" s="242">
        <f t="shared" si="135"/>
        <v>6</v>
      </c>
      <c r="D4343" s="242">
        <v>58.5</v>
      </c>
      <c r="E4343" s="845">
        <f t="shared" si="136"/>
        <v>14.722222222222221</v>
      </c>
    </row>
    <row r="4344" spans="2:5">
      <c r="B4344" s="1115">
        <v>45103</v>
      </c>
      <c r="C4344" s="242">
        <f t="shared" si="135"/>
        <v>6</v>
      </c>
      <c r="D4344" s="242">
        <v>60.8</v>
      </c>
      <c r="E4344" s="845">
        <f t="shared" si="136"/>
        <v>15.999999999999998</v>
      </c>
    </row>
    <row r="4345" spans="2:5">
      <c r="B4345" s="1115">
        <v>45103</v>
      </c>
      <c r="C4345" s="242">
        <f t="shared" si="135"/>
        <v>6</v>
      </c>
      <c r="D4345" s="242">
        <v>63.7</v>
      </c>
      <c r="E4345" s="845">
        <f t="shared" si="136"/>
        <v>17.611111111111111</v>
      </c>
    </row>
    <row r="4346" spans="2:5">
      <c r="B4346" s="1115">
        <v>45103</v>
      </c>
      <c r="C4346" s="242">
        <f t="shared" si="135"/>
        <v>6</v>
      </c>
      <c r="D4346" s="242">
        <v>64.900000000000006</v>
      </c>
      <c r="E4346" s="845">
        <f t="shared" si="136"/>
        <v>18.277777777777782</v>
      </c>
    </row>
    <row r="4347" spans="2:5">
      <c r="B4347" s="1115">
        <v>45103</v>
      </c>
      <c r="C4347" s="242">
        <f t="shared" si="135"/>
        <v>6</v>
      </c>
      <c r="D4347" s="242">
        <v>65.7</v>
      </c>
      <c r="E4347" s="845">
        <f t="shared" si="136"/>
        <v>18.722222222222225</v>
      </c>
    </row>
    <row r="4348" spans="2:5">
      <c r="B4348" s="1115">
        <v>45103</v>
      </c>
      <c r="C4348" s="242">
        <f t="shared" si="135"/>
        <v>6</v>
      </c>
      <c r="D4348" s="242" t="s">
        <v>1852</v>
      </c>
      <c r="E4348" s="845">
        <f t="shared" si="136"/>
        <v>17.777777777777779</v>
      </c>
    </row>
    <row r="4349" spans="2:5">
      <c r="B4349" s="1115">
        <v>45103</v>
      </c>
      <c r="C4349" s="242">
        <f t="shared" si="135"/>
        <v>6</v>
      </c>
      <c r="D4349" s="242">
        <v>61.5</v>
      </c>
      <c r="E4349" s="845">
        <f t="shared" si="136"/>
        <v>16.388888888888889</v>
      </c>
    </row>
    <row r="4350" spans="2:5">
      <c r="B4350" s="1115">
        <v>45103</v>
      </c>
      <c r="C4350" s="242">
        <f t="shared" si="135"/>
        <v>6</v>
      </c>
      <c r="D4350" s="242">
        <v>59.7</v>
      </c>
      <c r="E4350" s="845">
        <f t="shared" si="136"/>
        <v>15.388888888888889</v>
      </c>
    </row>
    <row r="4351" spans="2:5">
      <c r="B4351" s="1115">
        <v>45103</v>
      </c>
      <c r="C4351" s="242">
        <f t="shared" si="135"/>
        <v>6</v>
      </c>
      <c r="D4351" s="242">
        <v>57.9</v>
      </c>
      <c r="E4351" s="845">
        <f t="shared" si="136"/>
        <v>14.388888888888888</v>
      </c>
    </row>
    <row r="4352" spans="2:5">
      <c r="B4352" s="1115">
        <v>45103</v>
      </c>
      <c r="C4352" s="242">
        <f t="shared" si="135"/>
        <v>6</v>
      </c>
      <c r="D4352" s="242">
        <v>56.5</v>
      </c>
      <c r="E4352" s="845">
        <f t="shared" si="136"/>
        <v>13.611111111111111</v>
      </c>
    </row>
    <row r="4353" spans="2:5">
      <c r="B4353" s="1115">
        <v>45104</v>
      </c>
      <c r="C4353" s="242">
        <f t="shared" si="135"/>
        <v>6</v>
      </c>
      <c r="D4353" s="242">
        <v>55.4</v>
      </c>
      <c r="E4353" s="845">
        <f t="shared" si="136"/>
        <v>12.999999999999998</v>
      </c>
    </row>
    <row r="4354" spans="2:5">
      <c r="B4354" s="1115">
        <v>45104</v>
      </c>
      <c r="C4354" s="242">
        <f t="shared" si="135"/>
        <v>6</v>
      </c>
      <c r="D4354" s="242" t="s">
        <v>1848</v>
      </c>
      <c r="E4354" s="845">
        <f t="shared" si="136"/>
        <v>13.888888888888889</v>
      </c>
    </row>
    <row r="4355" spans="2:5">
      <c r="B4355" s="1115">
        <v>45104</v>
      </c>
      <c r="C4355" s="242">
        <f t="shared" si="135"/>
        <v>6</v>
      </c>
      <c r="D4355" s="242">
        <v>57.6</v>
      </c>
      <c r="E4355" s="845">
        <f t="shared" si="136"/>
        <v>14.222222222222223</v>
      </c>
    </row>
    <row r="4356" spans="2:5">
      <c r="B4356" s="1115">
        <v>45104</v>
      </c>
      <c r="C4356" s="242">
        <f t="shared" si="135"/>
        <v>6</v>
      </c>
      <c r="D4356" s="242" t="s">
        <v>1849</v>
      </c>
      <c r="E4356" s="845">
        <f t="shared" si="136"/>
        <v>15</v>
      </c>
    </row>
    <row r="4357" spans="2:5">
      <c r="B4357" s="1115">
        <v>45104</v>
      </c>
      <c r="C4357" s="242">
        <f t="shared" si="135"/>
        <v>6</v>
      </c>
      <c r="D4357" s="242">
        <v>61.5</v>
      </c>
      <c r="E4357" s="845">
        <f t="shared" si="136"/>
        <v>16.388888888888889</v>
      </c>
    </row>
    <row r="4358" spans="2:5">
      <c r="B4358" s="1115">
        <v>45104</v>
      </c>
      <c r="C4358" s="242">
        <f t="shared" si="135"/>
        <v>6</v>
      </c>
      <c r="D4358" s="242">
        <v>63.5</v>
      </c>
      <c r="E4358" s="845">
        <f t="shared" si="136"/>
        <v>17.5</v>
      </c>
    </row>
    <row r="4359" spans="2:5">
      <c r="B4359" s="1115">
        <v>45104</v>
      </c>
      <c r="C4359" s="242">
        <f t="shared" si="135"/>
        <v>6</v>
      </c>
      <c r="D4359" s="242">
        <v>64.2</v>
      </c>
      <c r="E4359" s="845">
        <f t="shared" si="136"/>
        <v>17.888888888888889</v>
      </c>
    </row>
    <row r="4360" spans="2:5">
      <c r="B4360" s="1115">
        <v>45104</v>
      </c>
      <c r="C4360" s="242">
        <f t="shared" si="135"/>
        <v>6</v>
      </c>
      <c r="D4360" s="242">
        <v>64.400000000000006</v>
      </c>
      <c r="E4360" s="845">
        <f t="shared" si="136"/>
        <v>18.000000000000004</v>
      </c>
    </row>
    <row r="4361" spans="2:5">
      <c r="B4361" s="1115">
        <v>45104</v>
      </c>
      <c r="C4361" s="242">
        <f t="shared" si="135"/>
        <v>6</v>
      </c>
      <c r="D4361" s="242">
        <v>62.2</v>
      </c>
      <c r="E4361" s="845">
        <f t="shared" si="136"/>
        <v>16.777777777777779</v>
      </c>
    </row>
    <row r="4362" spans="2:5">
      <c r="B4362" s="1115">
        <v>45104</v>
      </c>
      <c r="C4362" s="242">
        <f t="shared" ref="C4362:C4425" si="137">MONTH(B4362)</f>
        <v>6</v>
      </c>
      <c r="D4362" s="242">
        <v>59.9</v>
      </c>
      <c r="E4362" s="845">
        <f t="shared" ref="E4362:E4425" si="138">CONVERT(D4362,"F","C")</f>
        <v>15.499999999999998</v>
      </c>
    </row>
    <row r="4363" spans="2:5">
      <c r="B4363" s="1115">
        <v>45104</v>
      </c>
      <c r="C4363" s="242">
        <f t="shared" si="137"/>
        <v>6</v>
      </c>
      <c r="D4363" s="242">
        <v>59.2</v>
      </c>
      <c r="E4363" s="845">
        <f t="shared" si="138"/>
        <v>15.111111111111112</v>
      </c>
    </row>
    <row r="4364" spans="2:5">
      <c r="B4364" s="1115">
        <v>45104</v>
      </c>
      <c r="C4364" s="242">
        <f t="shared" si="137"/>
        <v>6</v>
      </c>
      <c r="D4364" s="242">
        <v>58.5</v>
      </c>
      <c r="E4364" s="845">
        <f t="shared" si="138"/>
        <v>14.722222222222221</v>
      </c>
    </row>
    <row r="4365" spans="2:5">
      <c r="B4365" s="1115">
        <v>45104</v>
      </c>
      <c r="C4365" s="242">
        <f t="shared" si="137"/>
        <v>6</v>
      </c>
      <c r="D4365" s="242">
        <v>58.6</v>
      </c>
      <c r="E4365" s="845">
        <f t="shared" si="138"/>
        <v>14.777777777777779</v>
      </c>
    </row>
    <row r="4366" spans="2:5">
      <c r="B4366" s="1115">
        <v>45104</v>
      </c>
      <c r="C4366" s="242">
        <f t="shared" si="137"/>
        <v>6</v>
      </c>
      <c r="D4366" s="242" t="s">
        <v>1849</v>
      </c>
      <c r="E4366" s="845">
        <f t="shared" si="138"/>
        <v>15</v>
      </c>
    </row>
    <row r="4367" spans="2:5">
      <c r="B4367" s="1115">
        <v>45104</v>
      </c>
      <c r="C4367" s="242">
        <f t="shared" si="137"/>
        <v>6</v>
      </c>
      <c r="D4367" s="242">
        <v>59.2</v>
      </c>
      <c r="E4367" s="845">
        <f t="shared" si="138"/>
        <v>15.111111111111112</v>
      </c>
    </row>
    <row r="4368" spans="2:5">
      <c r="B4368" s="1115">
        <v>45104</v>
      </c>
      <c r="C4368" s="242">
        <f t="shared" si="137"/>
        <v>6</v>
      </c>
      <c r="D4368" s="242">
        <v>59.9</v>
      </c>
      <c r="E4368" s="845">
        <f t="shared" si="138"/>
        <v>15.499999999999998</v>
      </c>
    </row>
    <row r="4369" spans="2:5">
      <c r="B4369" s="1115">
        <v>45104</v>
      </c>
      <c r="C4369" s="242">
        <f t="shared" si="137"/>
        <v>6</v>
      </c>
      <c r="D4369" s="242">
        <v>61.9</v>
      </c>
      <c r="E4369" s="845">
        <f t="shared" si="138"/>
        <v>16.611111111111111</v>
      </c>
    </row>
    <row r="4370" spans="2:5">
      <c r="B4370" s="1115">
        <v>45104</v>
      </c>
      <c r="C4370" s="242">
        <f t="shared" si="137"/>
        <v>6</v>
      </c>
      <c r="D4370" s="242">
        <v>63.9</v>
      </c>
      <c r="E4370" s="845">
        <f t="shared" si="138"/>
        <v>17.722222222222221</v>
      </c>
    </row>
    <row r="4371" spans="2:5">
      <c r="B4371" s="1115">
        <v>45104</v>
      </c>
      <c r="C4371" s="242">
        <f t="shared" si="137"/>
        <v>6</v>
      </c>
      <c r="D4371" s="242">
        <v>64.900000000000006</v>
      </c>
      <c r="E4371" s="845">
        <f t="shared" si="138"/>
        <v>18.277777777777782</v>
      </c>
    </row>
    <row r="4372" spans="2:5">
      <c r="B4372" s="1115">
        <v>45104</v>
      </c>
      <c r="C4372" s="242">
        <f t="shared" si="137"/>
        <v>6</v>
      </c>
      <c r="D4372" s="242">
        <v>65.3</v>
      </c>
      <c r="E4372" s="845">
        <f t="shared" si="138"/>
        <v>18.499999999999996</v>
      </c>
    </row>
    <row r="4373" spans="2:5">
      <c r="B4373" s="1115">
        <v>45104</v>
      </c>
      <c r="C4373" s="242">
        <f t="shared" si="137"/>
        <v>6</v>
      </c>
      <c r="D4373" s="242">
        <v>63.9</v>
      </c>
      <c r="E4373" s="845">
        <f t="shared" si="138"/>
        <v>17.722222222222221</v>
      </c>
    </row>
    <row r="4374" spans="2:5">
      <c r="B4374" s="1115">
        <v>45104</v>
      </c>
      <c r="C4374" s="242">
        <f t="shared" si="137"/>
        <v>6</v>
      </c>
      <c r="D4374" s="242">
        <v>62.1</v>
      </c>
      <c r="E4374" s="845">
        <f t="shared" si="138"/>
        <v>16.722222222222221</v>
      </c>
    </row>
    <row r="4375" spans="2:5">
      <c r="B4375" s="1115">
        <v>45104</v>
      </c>
      <c r="C4375" s="242">
        <f t="shared" si="137"/>
        <v>6</v>
      </c>
      <c r="D4375" s="242">
        <v>61.5</v>
      </c>
      <c r="E4375" s="845">
        <f t="shared" si="138"/>
        <v>16.388888888888889</v>
      </c>
    </row>
    <row r="4376" spans="2:5">
      <c r="B4376" s="1115">
        <v>45104</v>
      </c>
      <c r="C4376" s="242">
        <f t="shared" si="137"/>
        <v>6</v>
      </c>
      <c r="D4376" s="242">
        <v>61.2</v>
      </c>
      <c r="E4376" s="845">
        <f t="shared" si="138"/>
        <v>16.222222222222225</v>
      </c>
    </row>
    <row r="4377" spans="2:5">
      <c r="B4377" s="1115">
        <v>45105</v>
      </c>
      <c r="C4377" s="242">
        <f t="shared" si="137"/>
        <v>6</v>
      </c>
      <c r="D4377" s="242" t="s">
        <v>1850</v>
      </c>
      <c r="E4377" s="845">
        <f t="shared" si="138"/>
        <v>16.111111111111111</v>
      </c>
    </row>
    <row r="4378" spans="2:5">
      <c r="B4378" s="1115">
        <v>45105</v>
      </c>
      <c r="C4378" s="242">
        <f t="shared" si="137"/>
        <v>6</v>
      </c>
      <c r="D4378" s="242" t="s">
        <v>1850</v>
      </c>
      <c r="E4378" s="845">
        <f t="shared" si="138"/>
        <v>16.111111111111111</v>
      </c>
    </row>
    <row r="4379" spans="2:5">
      <c r="B4379" s="1115">
        <v>45105</v>
      </c>
      <c r="C4379" s="242">
        <f t="shared" si="137"/>
        <v>6</v>
      </c>
      <c r="D4379" s="242" t="s">
        <v>1850</v>
      </c>
      <c r="E4379" s="845">
        <f t="shared" si="138"/>
        <v>16.111111111111111</v>
      </c>
    </row>
    <row r="4380" spans="2:5">
      <c r="B4380" s="1115">
        <v>45105</v>
      </c>
      <c r="C4380" s="242">
        <f t="shared" si="137"/>
        <v>6</v>
      </c>
      <c r="D4380" s="242">
        <v>61.5</v>
      </c>
      <c r="E4380" s="845">
        <f t="shared" si="138"/>
        <v>16.388888888888889</v>
      </c>
    </row>
    <row r="4381" spans="2:5">
      <c r="B4381" s="1115">
        <v>45105</v>
      </c>
      <c r="C4381" s="242">
        <f t="shared" si="137"/>
        <v>6</v>
      </c>
      <c r="D4381" s="242">
        <v>62.2</v>
      </c>
      <c r="E4381" s="845">
        <f t="shared" si="138"/>
        <v>16.777777777777779</v>
      </c>
    </row>
    <row r="4382" spans="2:5">
      <c r="B4382" s="1115">
        <v>45105</v>
      </c>
      <c r="C4382" s="242">
        <f t="shared" si="137"/>
        <v>6</v>
      </c>
      <c r="D4382" s="242">
        <v>63.7</v>
      </c>
      <c r="E4382" s="845">
        <f t="shared" si="138"/>
        <v>17.611111111111111</v>
      </c>
    </row>
    <row r="4383" spans="2:5">
      <c r="B4383" s="1115">
        <v>45105</v>
      </c>
      <c r="C4383" s="242">
        <f t="shared" si="137"/>
        <v>6</v>
      </c>
      <c r="D4383" s="242">
        <v>64.900000000000006</v>
      </c>
      <c r="E4383" s="845">
        <f t="shared" si="138"/>
        <v>18.277777777777782</v>
      </c>
    </row>
    <row r="4384" spans="2:5">
      <c r="B4384" s="1115">
        <v>45105</v>
      </c>
      <c r="C4384" s="242">
        <f t="shared" si="137"/>
        <v>6</v>
      </c>
      <c r="D4384" s="242">
        <v>65.7</v>
      </c>
      <c r="E4384" s="845">
        <f t="shared" si="138"/>
        <v>18.722222222222225</v>
      </c>
    </row>
    <row r="4385" spans="2:5">
      <c r="B4385" s="1115">
        <v>45105</v>
      </c>
      <c r="C4385" s="242">
        <f t="shared" si="137"/>
        <v>6</v>
      </c>
      <c r="D4385" s="242">
        <v>65.7</v>
      </c>
      <c r="E4385" s="845">
        <f t="shared" si="138"/>
        <v>18.722222222222225</v>
      </c>
    </row>
    <row r="4386" spans="2:5">
      <c r="B4386" s="1115">
        <v>45105</v>
      </c>
      <c r="C4386" s="242">
        <f t="shared" si="137"/>
        <v>6</v>
      </c>
      <c r="D4386" s="242">
        <v>64.400000000000006</v>
      </c>
      <c r="E4386" s="845">
        <f t="shared" si="138"/>
        <v>18.000000000000004</v>
      </c>
    </row>
    <row r="4387" spans="2:5">
      <c r="B4387" s="1115">
        <v>45105</v>
      </c>
      <c r="C4387" s="242">
        <f t="shared" si="137"/>
        <v>6</v>
      </c>
      <c r="D4387" s="242" t="s">
        <v>1851</v>
      </c>
      <c r="E4387" s="845">
        <f t="shared" si="138"/>
        <v>17.222222222222221</v>
      </c>
    </row>
    <row r="4388" spans="2:5">
      <c r="B4388" s="1115">
        <v>45105</v>
      </c>
      <c r="C4388" s="242">
        <f t="shared" si="137"/>
        <v>6</v>
      </c>
      <c r="D4388" s="242">
        <v>62.1</v>
      </c>
      <c r="E4388" s="845">
        <f t="shared" si="138"/>
        <v>16.722222222222221</v>
      </c>
    </row>
    <row r="4389" spans="2:5">
      <c r="B4389" s="1115">
        <v>45105</v>
      </c>
      <c r="C4389" s="242">
        <f t="shared" si="137"/>
        <v>6</v>
      </c>
      <c r="D4389" s="242">
        <v>61.3</v>
      </c>
      <c r="E4389" s="845">
        <f t="shared" si="138"/>
        <v>16.277777777777775</v>
      </c>
    </row>
    <row r="4390" spans="2:5">
      <c r="B4390" s="1115">
        <v>45105</v>
      </c>
      <c r="C4390" s="242">
        <f t="shared" si="137"/>
        <v>6</v>
      </c>
      <c r="D4390" s="242">
        <v>60.6</v>
      </c>
      <c r="E4390" s="845">
        <f t="shared" si="138"/>
        <v>15.888888888888889</v>
      </c>
    </row>
    <row r="4391" spans="2:5">
      <c r="B4391" s="1115">
        <v>45105</v>
      </c>
      <c r="C4391" s="242">
        <f t="shared" si="137"/>
        <v>6</v>
      </c>
      <c r="D4391" s="242" t="s">
        <v>1850</v>
      </c>
      <c r="E4391" s="845">
        <f t="shared" si="138"/>
        <v>16.111111111111111</v>
      </c>
    </row>
    <row r="4392" spans="2:5">
      <c r="B4392" s="1115">
        <v>45105</v>
      </c>
      <c r="C4392" s="242">
        <f t="shared" si="137"/>
        <v>6</v>
      </c>
      <c r="D4392" s="242">
        <v>61.2</v>
      </c>
      <c r="E4392" s="845">
        <f t="shared" si="138"/>
        <v>16.222222222222225</v>
      </c>
    </row>
    <row r="4393" spans="2:5">
      <c r="B4393" s="1115">
        <v>45105</v>
      </c>
      <c r="C4393" s="242">
        <f t="shared" si="137"/>
        <v>6</v>
      </c>
      <c r="D4393" s="242">
        <v>62.4</v>
      </c>
      <c r="E4393" s="845">
        <f t="shared" si="138"/>
        <v>16.888888888888889</v>
      </c>
    </row>
    <row r="4394" spans="2:5">
      <c r="B4394" s="1115">
        <v>45105</v>
      </c>
      <c r="C4394" s="242">
        <f t="shared" si="137"/>
        <v>6</v>
      </c>
      <c r="D4394" s="242" t="s">
        <v>1852</v>
      </c>
      <c r="E4394" s="845">
        <f t="shared" si="138"/>
        <v>17.777777777777779</v>
      </c>
    </row>
    <row r="4395" spans="2:5">
      <c r="B4395" s="1115">
        <v>45105</v>
      </c>
      <c r="C4395" s="242">
        <f t="shared" si="137"/>
        <v>6</v>
      </c>
      <c r="D4395" s="242">
        <v>65.5</v>
      </c>
      <c r="E4395" s="845">
        <f t="shared" si="138"/>
        <v>18.611111111111111</v>
      </c>
    </row>
    <row r="4396" spans="2:5">
      <c r="B4396" s="1115">
        <v>45105</v>
      </c>
      <c r="C4396" s="242">
        <f t="shared" si="137"/>
        <v>6</v>
      </c>
      <c r="D4396" s="242">
        <v>66.400000000000006</v>
      </c>
      <c r="E4396" s="845">
        <f t="shared" si="138"/>
        <v>19.111111111111114</v>
      </c>
    </row>
    <row r="4397" spans="2:5">
      <c r="B4397" s="1115">
        <v>45105</v>
      </c>
      <c r="C4397" s="242">
        <f t="shared" si="137"/>
        <v>6</v>
      </c>
      <c r="D4397" s="242">
        <v>66.599999999999994</v>
      </c>
      <c r="E4397" s="845">
        <f t="shared" si="138"/>
        <v>19.222222222222218</v>
      </c>
    </row>
    <row r="4398" spans="2:5">
      <c r="B4398" s="1115">
        <v>45105</v>
      </c>
      <c r="C4398" s="242">
        <f t="shared" si="137"/>
        <v>6</v>
      </c>
      <c r="D4398" s="242">
        <v>64.900000000000006</v>
      </c>
      <c r="E4398" s="845">
        <f t="shared" si="138"/>
        <v>18.277777777777782</v>
      </c>
    </row>
    <row r="4399" spans="2:5">
      <c r="B4399" s="1115">
        <v>45105</v>
      </c>
      <c r="C4399" s="242">
        <f t="shared" si="137"/>
        <v>6</v>
      </c>
      <c r="D4399" s="242">
        <v>63.1</v>
      </c>
      <c r="E4399" s="845">
        <f t="shared" si="138"/>
        <v>17.277777777777779</v>
      </c>
    </row>
    <row r="4400" spans="2:5">
      <c r="B4400" s="1115">
        <v>45105</v>
      </c>
      <c r="C4400" s="242">
        <f t="shared" si="137"/>
        <v>6</v>
      </c>
      <c r="D4400" s="242">
        <v>61.7</v>
      </c>
      <c r="E4400" s="845">
        <f t="shared" si="138"/>
        <v>16.5</v>
      </c>
    </row>
    <row r="4401" spans="2:5">
      <c r="B4401" s="1115">
        <v>45106</v>
      </c>
      <c r="C4401" s="242">
        <f t="shared" si="137"/>
        <v>6</v>
      </c>
      <c r="D4401" s="242">
        <v>60.8</v>
      </c>
      <c r="E4401" s="845">
        <f t="shared" si="138"/>
        <v>15.999999999999998</v>
      </c>
    </row>
    <row r="4402" spans="2:5">
      <c r="B4402" s="1115">
        <v>45106</v>
      </c>
      <c r="C4402" s="242">
        <f t="shared" si="137"/>
        <v>6</v>
      </c>
      <c r="D4402" s="242">
        <v>60.3</v>
      </c>
      <c r="E4402" s="845">
        <f t="shared" si="138"/>
        <v>15.72222222222222</v>
      </c>
    </row>
    <row r="4403" spans="2:5">
      <c r="B4403" s="1115">
        <v>45106</v>
      </c>
      <c r="C4403" s="242">
        <f t="shared" si="137"/>
        <v>6</v>
      </c>
      <c r="D4403" s="242">
        <v>60.1</v>
      </c>
      <c r="E4403" s="845">
        <f t="shared" si="138"/>
        <v>15.611111111111111</v>
      </c>
    </row>
    <row r="4404" spans="2:5">
      <c r="B4404" s="1115">
        <v>45106</v>
      </c>
      <c r="C4404" s="242">
        <f t="shared" si="137"/>
        <v>6</v>
      </c>
      <c r="D4404" s="242">
        <v>60.3</v>
      </c>
      <c r="E4404" s="845">
        <f t="shared" si="138"/>
        <v>15.72222222222222</v>
      </c>
    </row>
    <row r="4405" spans="2:5">
      <c r="B4405" s="1115">
        <v>45106</v>
      </c>
      <c r="C4405" s="242">
        <f t="shared" si="137"/>
        <v>6</v>
      </c>
      <c r="D4405" s="242">
        <v>61.5</v>
      </c>
      <c r="E4405" s="845">
        <f t="shared" si="138"/>
        <v>16.388888888888889</v>
      </c>
    </row>
    <row r="4406" spans="2:5">
      <c r="B4406" s="1115">
        <v>45106</v>
      </c>
      <c r="C4406" s="242">
        <f t="shared" si="137"/>
        <v>6</v>
      </c>
      <c r="D4406" s="242">
        <v>63.3</v>
      </c>
      <c r="E4406" s="845">
        <f t="shared" si="138"/>
        <v>17.388888888888886</v>
      </c>
    </row>
    <row r="4407" spans="2:5">
      <c r="B4407" s="1115">
        <v>45106</v>
      </c>
      <c r="C4407" s="242">
        <f t="shared" si="137"/>
        <v>6</v>
      </c>
      <c r="D4407" s="242">
        <v>64.900000000000006</v>
      </c>
      <c r="E4407" s="845">
        <f t="shared" si="138"/>
        <v>18.277777777777782</v>
      </c>
    </row>
    <row r="4408" spans="2:5">
      <c r="B4408" s="1115">
        <v>45106</v>
      </c>
      <c r="C4408" s="242">
        <f t="shared" si="137"/>
        <v>6</v>
      </c>
      <c r="D4408" s="242" t="s">
        <v>1853</v>
      </c>
      <c r="E4408" s="845">
        <f t="shared" si="138"/>
        <v>18.888888888888889</v>
      </c>
    </row>
    <row r="4409" spans="2:5">
      <c r="B4409" s="1115">
        <v>45106</v>
      </c>
      <c r="C4409" s="242">
        <f t="shared" si="137"/>
        <v>6</v>
      </c>
      <c r="D4409" s="242">
        <v>66.599999999999994</v>
      </c>
      <c r="E4409" s="845">
        <f t="shared" si="138"/>
        <v>19.222222222222218</v>
      </c>
    </row>
    <row r="4410" spans="2:5">
      <c r="B4410" s="1115">
        <v>45106</v>
      </c>
      <c r="C4410" s="242">
        <f t="shared" si="137"/>
        <v>6</v>
      </c>
      <c r="D4410" s="242">
        <v>66.599999999999994</v>
      </c>
      <c r="E4410" s="845">
        <f t="shared" si="138"/>
        <v>19.222222222222218</v>
      </c>
    </row>
    <row r="4411" spans="2:5">
      <c r="B4411" s="1115">
        <v>45106</v>
      </c>
      <c r="C4411" s="242">
        <f t="shared" si="137"/>
        <v>6</v>
      </c>
      <c r="D4411" s="242">
        <v>65.099999999999994</v>
      </c>
      <c r="E4411" s="845">
        <f t="shared" si="138"/>
        <v>18.388888888888886</v>
      </c>
    </row>
    <row r="4412" spans="2:5">
      <c r="B4412" s="1115">
        <v>45106</v>
      </c>
      <c r="C4412" s="242">
        <f t="shared" si="137"/>
        <v>6</v>
      </c>
      <c r="D4412" s="242">
        <v>63.1</v>
      </c>
      <c r="E4412" s="845">
        <f t="shared" si="138"/>
        <v>17.277777777777779</v>
      </c>
    </row>
    <row r="4413" spans="2:5">
      <c r="B4413" s="1115">
        <v>45106</v>
      </c>
      <c r="C4413" s="242">
        <f t="shared" si="137"/>
        <v>6</v>
      </c>
      <c r="D4413" s="242">
        <v>61.5</v>
      </c>
      <c r="E4413" s="845">
        <f t="shared" si="138"/>
        <v>16.388888888888889</v>
      </c>
    </row>
    <row r="4414" spans="2:5">
      <c r="B4414" s="1115">
        <v>45106</v>
      </c>
      <c r="C4414" s="242">
        <f t="shared" si="137"/>
        <v>6</v>
      </c>
      <c r="D4414" s="242">
        <v>60.1</v>
      </c>
      <c r="E4414" s="845">
        <f t="shared" si="138"/>
        <v>15.611111111111111</v>
      </c>
    </row>
    <row r="4415" spans="2:5">
      <c r="B4415" s="1115">
        <v>45106</v>
      </c>
      <c r="C4415" s="242">
        <f t="shared" si="137"/>
        <v>6</v>
      </c>
      <c r="D4415" s="242">
        <v>59.4</v>
      </c>
      <c r="E4415" s="845">
        <f t="shared" si="138"/>
        <v>15.222222222222221</v>
      </c>
    </row>
    <row r="4416" spans="2:5">
      <c r="B4416" s="1115">
        <v>45106</v>
      </c>
      <c r="C4416" s="242">
        <f t="shared" si="137"/>
        <v>6</v>
      </c>
      <c r="D4416" s="242">
        <v>60.6</v>
      </c>
      <c r="E4416" s="845">
        <f t="shared" si="138"/>
        <v>15.888888888888889</v>
      </c>
    </row>
    <row r="4417" spans="2:5">
      <c r="B4417" s="1115">
        <v>45106</v>
      </c>
      <c r="C4417" s="242">
        <f t="shared" si="137"/>
        <v>6</v>
      </c>
      <c r="D4417" s="242">
        <v>61.2</v>
      </c>
      <c r="E4417" s="845">
        <f t="shared" si="138"/>
        <v>16.222222222222225</v>
      </c>
    </row>
    <row r="4418" spans="2:5">
      <c r="B4418" s="1115">
        <v>45106</v>
      </c>
      <c r="C4418" s="242">
        <f t="shared" si="137"/>
        <v>6</v>
      </c>
      <c r="D4418" s="242">
        <v>62.8</v>
      </c>
      <c r="E4418" s="845">
        <f t="shared" si="138"/>
        <v>17.111111111111111</v>
      </c>
    </row>
    <row r="4419" spans="2:5">
      <c r="B4419" s="1115">
        <v>45106</v>
      </c>
      <c r="C4419" s="242">
        <f t="shared" si="137"/>
        <v>6</v>
      </c>
      <c r="D4419" s="242">
        <v>64.900000000000006</v>
      </c>
      <c r="E4419" s="845">
        <f t="shared" si="138"/>
        <v>18.277777777777782</v>
      </c>
    </row>
    <row r="4420" spans="2:5">
      <c r="B4420" s="1115">
        <v>45106</v>
      </c>
      <c r="C4420" s="242">
        <f t="shared" si="137"/>
        <v>6</v>
      </c>
      <c r="D4420" s="242">
        <v>66.599999999999994</v>
      </c>
      <c r="E4420" s="845">
        <f t="shared" si="138"/>
        <v>19.222222222222218</v>
      </c>
    </row>
    <row r="4421" spans="2:5">
      <c r="B4421" s="1115">
        <v>45106</v>
      </c>
      <c r="C4421" s="242">
        <f t="shared" si="137"/>
        <v>6</v>
      </c>
      <c r="D4421" s="242">
        <v>67.3</v>
      </c>
      <c r="E4421" s="845">
        <f t="shared" si="138"/>
        <v>19.611111111111111</v>
      </c>
    </row>
    <row r="4422" spans="2:5">
      <c r="B4422" s="1115">
        <v>45106</v>
      </c>
      <c r="C4422" s="242">
        <f t="shared" si="137"/>
        <v>6</v>
      </c>
      <c r="D4422" s="242">
        <v>66.7</v>
      </c>
      <c r="E4422" s="845">
        <f t="shared" si="138"/>
        <v>19.277777777777779</v>
      </c>
    </row>
    <row r="4423" spans="2:5">
      <c r="B4423" s="1115">
        <v>45106</v>
      </c>
      <c r="C4423" s="242">
        <f t="shared" si="137"/>
        <v>6</v>
      </c>
      <c r="D4423" s="242">
        <v>65.099999999999994</v>
      </c>
      <c r="E4423" s="845">
        <f t="shared" si="138"/>
        <v>18.388888888888886</v>
      </c>
    </row>
    <row r="4424" spans="2:5">
      <c r="B4424" s="1115">
        <v>45106</v>
      </c>
      <c r="C4424" s="242">
        <f t="shared" si="137"/>
        <v>6</v>
      </c>
      <c r="D4424" s="242">
        <v>63.1</v>
      </c>
      <c r="E4424" s="845">
        <f t="shared" si="138"/>
        <v>17.277777777777779</v>
      </c>
    </row>
    <row r="4425" spans="2:5">
      <c r="B4425" s="1115">
        <v>45107</v>
      </c>
      <c r="C4425" s="242">
        <f t="shared" si="137"/>
        <v>6</v>
      </c>
      <c r="D4425" s="242">
        <v>61.3</v>
      </c>
      <c r="E4425" s="845">
        <f t="shared" si="138"/>
        <v>16.277777777777775</v>
      </c>
    </row>
    <row r="4426" spans="2:5">
      <c r="B4426" s="1115">
        <v>45107</v>
      </c>
      <c r="C4426" s="242">
        <f t="shared" ref="C4426:C4489" si="139">MONTH(B4426)</f>
        <v>6</v>
      </c>
      <c r="D4426" s="242">
        <v>59.9</v>
      </c>
      <c r="E4426" s="845">
        <f t="shared" ref="E4426:E4489" si="140">CONVERT(D4426,"F","C")</f>
        <v>15.499999999999998</v>
      </c>
    </row>
    <row r="4427" spans="2:5">
      <c r="B4427" s="1115">
        <v>45107</v>
      </c>
      <c r="C4427" s="242">
        <f t="shared" si="139"/>
        <v>6</v>
      </c>
      <c r="D4427" s="242">
        <v>58.5</v>
      </c>
      <c r="E4427" s="845">
        <f t="shared" si="140"/>
        <v>14.722222222222221</v>
      </c>
    </row>
    <row r="4428" spans="2:5">
      <c r="B4428" s="1115">
        <v>45107</v>
      </c>
      <c r="C4428" s="242">
        <f t="shared" si="139"/>
        <v>6</v>
      </c>
      <c r="D4428" s="242">
        <v>59.2</v>
      </c>
      <c r="E4428" s="845">
        <f t="shared" si="140"/>
        <v>15.111111111111112</v>
      </c>
    </row>
    <row r="4429" spans="2:5">
      <c r="B4429" s="1115">
        <v>45107</v>
      </c>
      <c r="C4429" s="242">
        <f t="shared" si="139"/>
        <v>6</v>
      </c>
      <c r="D4429" s="242" t="s">
        <v>1849</v>
      </c>
      <c r="E4429" s="845">
        <f t="shared" si="140"/>
        <v>15</v>
      </c>
    </row>
    <row r="4430" spans="2:5">
      <c r="B4430" s="1115">
        <v>45107</v>
      </c>
      <c r="C4430" s="242">
        <f t="shared" si="139"/>
        <v>6</v>
      </c>
      <c r="D4430" s="242">
        <v>61.2</v>
      </c>
      <c r="E4430" s="845">
        <f t="shared" si="140"/>
        <v>16.222222222222225</v>
      </c>
    </row>
    <row r="4431" spans="2:5">
      <c r="B4431" s="1115">
        <v>45107</v>
      </c>
      <c r="C4431" s="242">
        <f t="shared" si="139"/>
        <v>6</v>
      </c>
      <c r="D4431" s="242">
        <v>63.9</v>
      </c>
      <c r="E4431" s="845">
        <f t="shared" si="140"/>
        <v>17.722222222222221</v>
      </c>
    </row>
    <row r="4432" spans="2:5">
      <c r="B4432" s="1115">
        <v>45107</v>
      </c>
      <c r="C4432" s="242">
        <f t="shared" si="139"/>
        <v>6</v>
      </c>
      <c r="D4432" s="242">
        <v>65.7</v>
      </c>
      <c r="E4432" s="845">
        <f t="shared" si="140"/>
        <v>18.722222222222225</v>
      </c>
    </row>
    <row r="4433" spans="2:5">
      <c r="B4433" s="1115">
        <v>45107</v>
      </c>
      <c r="C4433" s="242">
        <f t="shared" si="139"/>
        <v>6</v>
      </c>
      <c r="D4433" s="242">
        <v>66.900000000000006</v>
      </c>
      <c r="E4433" s="845">
        <f t="shared" si="140"/>
        <v>19.388888888888893</v>
      </c>
    </row>
    <row r="4434" spans="2:5">
      <c r="B4434" s="1115">
        <v>45107</v>
      </c>
      <c r="C4434" s="242">
        <f t="shared" si="139"/>
        <v>6</v>
      </c>
      <c r="D4434" s="242">
        <v>67.5</v>
      </c>
      <c r="E4434" s="845">
        <f t="shared" si="140"/>
        <v>19.722222222222221</v>
      </c>
    </row>
    <row r="4435" spans="2:5">
      <c r="B4435" s="1115">
        <v>45107</v>
      </c>
      <c r="C4435" s="242">
        <f t="shared" si="139"/>
        <v>6</v>
      </c>
      <c r="D4435" s="242">
        <v>67.099999999999994</v>
      </c>
      <c r="E4435" s="845">
        <f t="shared" si="140"/>
        <v>19.499999999999996</v>
      </c>
    </row>
    <row r="4436" spans="2:5">
      <c r="B4436" s="1115">
        <v>45107</v>
      </c>
      <c r="C4436" s="242">
        <f t="shared" si="139"/>
        <v>6</v>
      </c>
      <c r="D4436" s="242">
        <v>64.900000000000006</v>
      </c>
      <c r="E4436" s="845">
        <f t="shared" si="140"/>
        <v>18.277777777777782</v>
      </c>
    </row>
    <row r="4437" spans="2:5">
      <c r="B4437" s="1115">
        <v>45107</v>
      </c>
      <c r="C4437" s="242">
        <f t="shared" si="139"/>
        <v>6</v>
      </c>
      <c r="D4437" s="242" t="s">
        <v>1850</v>
      </c>
      <c r="E4437" s="845">
        <f t="shared" si="140"/>
        <v>16.111111111111111</v>
      </c>
    </row>
    <row r="4438" spans="2:5">
      <c r="B4438" s="1115">
        <v>45107</v>
      </c>
      <c r="C4438" s="242">
        <f t="shared" si="139"/>
        <v>6</v>
      </c>
      <c r="D4438" s="242">
        <v>59.4</v>
      </c>
      <c r="E4438" s="845">
        <f t="shared" si="140"/>
        <v>15.222222222222221</v>
      </c>
    </row>
    <row r="4439" spans="2:5">
      <c r="B4439" s="1115">
        <v>45107</v>
      </c>
      <c r="C4439" s="242">
        <f t="shared" si="139"/>
        <v>6</v>
      </c>
      <c r="D4439" s="242">
        <v>59.5</v>
      </c>
      <c r="E4439" s="845">
        <f t="shared" si="140"/>
        <v>15.277777777777777</v>
      </c>
    </row>
    <row r="4440" spans="2:5">
      <c r="B4440" s="1115">
        <v>45107</v>
      </c>
      <c r="C4440" s="242">
        <f t="shared" si="139"/>
        <v>6</v>
      </c>
      <c r="D4440" s="242">
        <v>57.6</v>
      </c>
      <c r="E4440" s="845">
        <f t="shared" si="140"/>
        <v>14.222222222222223</v>
      </c>
    </row>
    <row r="4441" spans="2:5">
      <c r="B4441" s="1115">
        <v>45107</v>
      </c>
      <c r="C4441" s="242">
        <f t="shared" si="139"/>
        <v>6</v>
      </c>
      <c r="D4441" s="242">
        <v>60.3</v>
      </c>
      <c r="E4441" s="845">
        <f t="shared" si="140"/>
        <v>15.72222222222222</v>
      </c>
    </row>
    <row r="4442" spans="2:5">
      <c r="B4442" s="1115">
        <v>45107</v>
      </c>
      <c r="C4442" s="242">
        <f t="shared" si="139"/>
        <v>6</v>
      </c>
      <c r="D4442" s="242">
        <v>59.9</v>
      </c>
      <c r="E4442" s="845">
        <f t="shared" si="140"/>
        <v>15.499999999999998</v>
      </c>
    </row>
    <row r="4443" spans="2:5">
      <c r="B4443" s="1115">
        <v>45107</v>
      </c>
      <c r="C4443" s="242">
        <f t="shared" si="139"/>
        <v>6</v>
      </c>
      <c r="D4443" s="242">
        <v>62.4</v>
      </c>
      <c r="E4443" s="845">
        <f t="shared" si="140"/>
        <v>16.888888888888889</v>
      </c>
    </row>
    <row r="4444" spans="2:5">
      <c r="B4444" s="1115">
        <v>45107</v>
      </c>
      <c r="C4444" s="242">
        <f t="shared" si="139"/>
        <v>6</v>
      </c>
      <c r="D4444" s="242">
        <v>65.3</v>
      </c>
      <c r="E4444" s="845">
        <f t="shared" si="140"/>
        <v>18.499999999999996</v>
      </c>
    </row>
    <row r="4445" spans="2:5">
      <c r="B4445" s="1115">
        <v>45107</v>
      </c>
      <c r="C4445" s="242">
        <f t="shared" si="139"/>
        <v>6</v>
      </c>
      <c r="D4445" s="242">
        <v>67.099999999999994</v>
      </c>
      <c r="E4445" s="845">
        <f t="shared" si="140"/>
        <v>19.499999999999996</v>
      </c>
    </row>
    <row r="4446" spans="2:5">
      <c r="B4446" s="1115">
        <v>45107</v>
      </c>
      <c r="C4446" s="242">
        <f t="shared" si="139"/>
        <v>6</v>
      </c>
      <c r="D4446" s="242">
        <v>67.8</v>
      </c>
      <c r="E4446" s="845">
        <f t="shared" si="140"/>
        <v>19.888888888888886</v>
      </c>
    </row>
    <row r="4447" spans="2:5">
      <c r="B4447" s="1115">
        <v>45107</v>
      </c>
      <c r="C4447" s="242">
        <f t="shared" si="139"/>
        <v>6</v>
      </c>
      <c r="D4447" s="242">
        <v>66.7</v>
      </c>
      <c r="E4447" s="845">
        <f t="shared" si="140"/>
        <v>19.277777777777779</v>
      </c>
    </row>
    <row r="4448" spans="2:5">
      <c r="B4448" s="1115">
        <v>45107</v>
      </c>
      <c r="C4448" s="242">
        <f t="shared" si="139"/>
        <v>6</v>
      </c>
      <c r="D4448" s="242">
        <v>63.1</v>
      </c>
      <c r="E4448" s="845">
        <f t="shared" si="140"/>
        <v>17.277777777777779</v>
      </c>
    </row>
    <row r="4449" spans="2:5">
      <c r="B4449" s="1115">
        <v>45108</v>
      </c>
      <c r="C4449" s="242">
        <f t="shared" si="139"/>
        <v>7</v>
      </c>
      <c r="D4449" s="242">
        <v>61.7</v>
      </c>
      <c r="E4449" s="845">
        <f t="shared" si="140"/>
        <v>16.5</v>
      </c>
    </row>
    <row r="4450" spans="2:5">
      <c r="B4450" s="1115">
        <v>45108</v>
      </c>
      <c r="C4450" s="242">
        <f t="shared" si="139"/>
        <v>7</v>
      </c>
      <c r="D4450" s="242">
        <v>61.5</v>
      </c>
      <c r="E4450" s="845">
        <f t="shared" si="140"/>
        <v>16.388888888888889</v>
      </c>
    </row>
    <row r="4451" spans="2:5">
      <c r="B4451" s="1115">
        <v>45108</v>
      </c>
      <c r="C4451" s="242">
        <f t="shared" si="139"/>
        <v>7</v>
      </c>
      <c r="D4451" s="242">
        <v>61.7</v>
      </c>
      <c r="E4451" s="845">
        <f t="shared" si="140"/>
        <v>16.5</v>
      </c>
    </row>
    <row r="4452" spans="2:5">
      <c r="B4452" s="1115">
        <v>45108</v>
      </c>
      <c r="C4452" s="242">
        <f t="shared" si="139"/>
        <v>7</v>
      </c>
      <c r="D4452" s="242">
        <v>61.5</v>
      </c>
      <c r="E4452" s="845">
        <f t="shared" si="140"/>
        <v>16.388888888888889</v>
      </c>
    </row>
    <row r="4453" spans="2:5">
      <c r="B4453" s="1115">
        <v>45108</v>
      </c>
      <c r="C4453" s="242">
        <f t="shared" si="139"/>
        <v>7</v>
      </c>
      <c r="D4453" s="242">
        <v>61.7</v>
      </c>
      <c r="E4453" s="845">
        <f t="shared" si="140"/>
        <v>16.5</v>
      </c>
    </row>
    <row r="4454" spans="2:5">
      <c r="B4454" s="1115">
        <v>45108</v>
      </c>
      <c r="C4454" s="242">
        <f t="shared" si="139"/>
        <v>7</v>
      </c>
      <c r="D4454" s="242">
        <v>61.9</v>
      </c>
      <c r="E4454" s="845">
        <f t="shared" si="140"/>
        <v>16.611111111111111</v>
      </c>
    </row>
    <row r="4455" spans="2:5">
      <c r="B4455" s="1115">
        <v>45108</v>
      </c>
      <c r="C4455" s="242">
        <f t="shared" si="139"/>
        <v>7</v>
      </c>
      <c r="D4455" s="242">
        <v>62.8</v>
      </c>
      <c r="E4455" s="845">
        <f t="shared" si="140"/>
        <v>17.111111111111111</v>
      </c>
    </row>
    <row r="4456" spans="2:5">
      <c r="B4456" s="1115">
        <v>45108</v>
      </c>
      <c r="C4456" s="242">
        <f t="shared" si="139"/>
        <v>7</v>
      </c>
      <c r="D4456" s="242">
        <v>64.400000000000006</v>
      </c>
      <c r="E4456" s="845">
        <f t="shared" si="140"/>
        <v>18.000000000000004</v>
      </c>
    </row>
    <row r="4457" spans="2:5">
      <c r="B4457" s="1115">
        <v>45108</v>
      </c>
      <c r="C4457" s="242">
        <f t="shared" si="139"/>
        <v>7</v>
      </c>
      <c r="D4457" s="242">
        <v>65.8</v>
      </c>
      <c r="E4457" s="845">
        <f t="shared" si="140"/>
        <v>18.777777777777775</v>
      </c>
    </row>
    <row r="4458" spans="2:5">
      <c r="B4458" s="1115">
        <v>45108</v>
      </c>
      <c r="C4458" s="242">
        <f t="shared" si="139"/>
        <v>7</v>
      </c>
      <c r="D4458" s="242">
        <v>67.099999999999994</v>
      </c>
      <c r="E4458" s="845">
        <f t="shared" si="140"/>
        <v>19.499999999999996</v>
      </c>
    </row>
    <row r="4459" spans="2:5">
      <c r="B4459" s="1115">
        <v>45108</v>
      </c>
      <c r="C4459" s="242">
        <f t="shared" si="139"/>
        <v>7</v>
      </c>
      <c r="D4459" s="242">
        <v>67.8</v>
      </c>
      <c r="E4459" s="845">
        <f t="shared" si="140"/>
        <v>19.888888888888886</v>
      </c>
    </row>
    <row r="4460" spans="2:5">
      <c r="B4460" s="1115">
        <v>45108</v>
      </c>
      <c r="C4460" s="242">
        <f t="shared" si="139"/>
        <v>7</v>
      </c>
      <c r="D4460" s="242">
        <v>67.3</v>
      </c>
      <c r="E4460" s="845">
        <f t="shared" si="140"/>
        <v>19.611111111111111</v>
      </c>
    </row>
    <row r="4461" spans="2:5">
      <c r="B4461" s="1115">
        <v>45108</v>
      </c>
      <c r="C4461" s="242">
        <f t="shared" si="139"/>
        <v>7</v>
      </c>
      <c r="D4461" s="242">
        <v>65.7</v>
      </c>
      <c r="E4461" s="845">
        <f t="shared" si="140"/>
        <v>18.722222222222225</v>
      </c>
    </row>
    <row r="4462" spans="2:5">
      <c r="B4462" s="1115">
        <v>45108</v>
      </c>
      <c r="C4462" s="242">
        <f t="shared" si="139"/>
        <v>7</v>
      </c>
      <c r="D4462" s="242">
        <v>64.400000000000006</v>
      </c>
      <c r="E4462" s="845">
        <f t="shared" si="140"/>
        <v>18.000000000000004</v>
      </c>
    </row>
    <row r="4463" spans="2:5">
      <c r="B4463" s="1115">
        <v>45108</v>
      </c>
      <c r="C4463" s="242">
        <f t="shared" si="139"/>
        <v>7</v>
      </c>
      <c r="D4463" s="242">
        <v>63.7</v>
      </c>
      <c r="E4463" s="845">
        <f t="shared" si="140"/>
        <v>17.611111111111111</v>
      </c>
    </row>
    <row r="4464" spans="2:5">
      <c r="B4464" s="1115">
        <v>45108</v>
      </c>
      <c r="C4464" s="242">
        <f t="shared" si="139"/>
        <v>7</v>
      </c>
      <c r="D4464" s="242">
        <v>61.7</v>
      </c>
      <c r="E4464" s="845">
        <f t="shared" si="140"/>
        <v>16.5</v>
      </c>
    </row>
    <row r="4465" spans="2:5">
      <c r="B4465" s="1115">
        <v>45108</v>
      </c>
      <c r="C4465" s="242">
        <f t="shared" si="139"/>
        <v>7</v>
      </c>
      <c r="D4465" s="242">
        <v>61.7</v>
      </c>
      <c r="E4465" s="845">
        <f t="shared" si="140"/>
        <v>16.5</v>
      </c>
    </row>
    <row r="4466" spans="2:5">
      <c r="B4466" s="1115">
        <v>45108</v>
      </c>
      <c r="C4466" s="242">
        <f t="shared" si="139"/>
        <v>7</v>
      </c>
      <c r="D4466" s="242" t="s">
        <v>1851</v>
      </c>
      <c r="E4466" s="845">
        <f t="shared" si="140"/>
        <v>17.222222222222221</v>
      </c>
    </row>
    <row r="4467" spans="2:5">
      <c r="B4467" s="1115">
        <v>45108</v>
      </c>
      <c r="C4467" s="242">
        <f t="shared" si="139"/>
        <v>7</v>
      </c>
      <c r="D4467" s="242">
        <v>63.7</v>
      </c>
      <c r="E4467" s="845">
        <f t="shared" si="140"/>
        <v>17.611111111111111</v>
      </c>
    </row>
    <row r="4468" spans="2:5">
      <c r="B4468" s="1115">
        <v>45108</v>
      </c>
      <c r="C4468" s="242">
        <f t="shared" si="139"/>
        <v>7</v>
      </c>
      <c r="D4468" s="242">
        <v>65.099999999999994</v>
      </c>
      <c r="E4468" s="845">
        <f t="shared" si="140"/>
        <v>18.388888888888886</v>
      </c>
    </row>
    <row r="4469" spans="2:5">
      <c r="B4469" s="1115">
        <v>45108</v>
      </c>
      <c r="C4469" s="242">
        <f t="shared" si="139"/>
        <v>7</v>
      </c>
      <c r="D4469" s="242">
        <v>66.900000000000006</v>
      </c>
      <c r="E4469" s="845">
        <f t="shared" si="140"/>
        <v>19.388888888888893</v>
      </c>
    </row>
    <row r="4470" spans="2:5">
      <c r="B4470" s="1115">
        <v>45108</v>
      </c>
      <c r="C4470" s="242">
        <f t="shared" si="139"/>
        <v>7</v>
      </c>
      <c r="D4470" s="242">
        <v>67.8</v>
      </c>
      <c r="E4470" s="845">
        <f t="shared" si="140"/>
        <v>19.888888888888886</v>
      </c>
    </row>
    <row r="4471" spans="2:5">
      <c r="B4471" s="1115">
        <v>45108</v>
      </c>
      <c r="C4471" s="242">
        <f t="shared" si="139"/>
        <v>7</v>
      </c>
      <c r="D4471" s="242">
        <v>68.400000000000006</v>
      </c>
      <c r="E4471" s="845">
        <f t="shared" si="140"/>
        <v>20.222222222222225</v>
      </c>
    </row>
    <row r="4472" spans="2:5">
      <c r="B4472" s="1115">
        <v>45108</v>
      </c>
      <c r="C4472" s="242">
        <f t="shared" si="139"/>
        <v>7</v>
      </c>
      <c r="D4472" s="242">
        <v>67.5</v>
      </c>
      <c r="E4472" s="845">
        <f t="shared" si="140"/>
        <v>19.722222222222221</v>
      </c>
    </row>
    <row r="4473" spans="2:5">
      <c r="B4473" s="1115">
        <v>45109</v>
      </c>
      <c r="C4473" s="242">
        <f t="shared" si="139"/>
        <v>7</v>
      </c>
      <c r="D4473" s="242">
        <v>65.7</v>
      </c>
      <c r="E4473" s="845">
        <f t="shared" si="140"/>
        <v>18.722222222222225</v>
      </c>
    </row>
    <row r="4474" spans="2:5">
      <c r="B4474" s="1115">
        <v>45109</v>
      </c>
      <c r="C4474" s="242">
        <f t="shared" si="139"/>
        <v>7</v>
      </c>
      <c r="D4474" s="242">
        <v>64.8</v>
      </c>
      <c r="E4474" s="845">
        <f t="shared" si="140"/>
        <v>18.222222222222221</v>
      </c>
    </row>
    <row r="4475" spans="2:5">
      <c r="B4475" s="1115">
        <v>45109</v>
      </c>
      <c r="C4475" s="242">
        <f t="shared" si="139"/>
        <v>7</v>
      </c>
      <c r="D4475" s="242">
        <v>64.400000000000006</v>
      </c>
      <c r="E4475" s="845">
        <f t="shared" si="140"/>
        <v>18.000000000000004</v>
      </c>
    </row>
    <row r="4476" spans="2:5">
      <c r="B4476" s="1115">
        <v>45109</v>
      </c>
      <c r="C4476" s="242">
        <f t="shared" si="139"/>
        <v>7</v>
      </c>
      <c r="D4476" s="242">
        <v>63.9</v>
      </c>
      <c r="E4476" s="845">
        <f t="shared" si="140"/>
        <v>17.722222222222221</v>
      </c>
    </row>
    <row r="4477" spans="2:5">
      <c r="B4477" s="1115">
        <v>45109</v>
      </c>
      <c r="C4477" s="242">
        <f t="shared" si="139"/>
        <v>7</v>
      </c>
      <c r="D4477" s="242">
        <v>62.8</v>
      </c>
      <c r="E4477" s="845">
        <f t="shared" si="140"/>
        <v>17.111111111111111</v>
      </c>
    </row>
    <row r="4478" spans="2:5">
      <c r="B4478" s="1115">
        <v>45109</v>
      </c>
      <c r="C4478" s="242">
        <f t="shared" si="139"/>
        <v>7</v>
      </c>
      <c r="D4478" s="242">
        <v>62.6</v>
      </c>
      <c r="E4478" s="845">
        <f t="shared" si="140"/>
        <v>17</v>
      </c>
    </row>
    <row r="4479" spans="2:5">
      <c r="B4479" s="1115">
        <v>45109</v>
      </c>
      <c r="C4479" s="242">
        <f t="shared" si="139"/>
        <v>7</v>
      </c>
      <c r="D4479" s="242" t="s">
        <v>1852</v>
      </c>
      <c r="E4479" s="845">
        <f t="shared" si="140"/>
        <v>17.777777777777779</v>
      </c>
    </row>
    <row r="4480" spans="2:5">
      <c r="B4480" s="1115">
        <v>45109</v>
      </c>
      <c r="C4480" s="242">
        <f t="shared" si="139"/>
        <v>7</v>
      </c>
      <c r="D4480" s="242">
        <v>65.099999999999994</v>
      </c>
      <c r="E4480" s="845">
        <f t="shared" si="140"/>
        <v>18.388888888888886</v>
      </c>
    </row>
    <row r="4481" spans="2:5">
      <c r="B4481" s="1115">
        <v>45109</v>
      </c>
      <c r="C4481" s="242">
        <f t="shared" si="139"/>
        <v>7</v>
      </c>
      <c r="D4481" s="242">
        <v>66.400000000000006</v>
      </c>
      <c r="E4481" s="845">
        <f t="shared" si="140"/>
        <v>19.111111111111114</v>
      </c>
    </row>
    <row r="4482" spans="2:5">
      <c r="B4482" s="1115">
        <v>45109</v>
      </c>
      <c r="C4482" s="242">
        <f t="shared" si="139"/>
        <v>7</v>
      </c>
      <c r="D4482" s="242">
        <v>67.5</v>
      </c>
      <c r="E4482" s="845">
        <f t="shared" si="140"/>
        <v>19.722222222222221</v>
      </c>
    </row>
    <row r="4483" spans="2:5">
      <c r="B4483" s="1115">
        <v>45109</v>
      </c>
      <c r="C4483" s="242">
        <f t="shared" si="139"/>
        <v>7</v>
      </c>
      <c r="D4483" s="242">
        <v>68.2</v>
      </c>
      <c r="E4483" s="845">
        <f t="shared" si="140"/>
        <v>20.111111111111111</v>
      </c>
    </row>
    <row r="4484" spans="2:5">
      <c r="B4484" s="1115">
        <v>45109</v>
      </c>
      <c r="C4484" s="242">
        <f t="shared" si="139"/>
        <v>7</v>
      </c>
      <c r="D4484" s="242">
        <v>68.900000000000006</v>
      </c>
      <c r="E4484" s="845">
        <f t="shared" si="140"/>
        <v>20.500000000000004</v>
      </c>
    </row>
    <row r="4485" spans="2:5">
      <c r="B4485" s="1115">
        <v>45109</v>
      </c>
      <c r="C4485" s="242">
        <f t="shared" si="139"/>
        <v>7</v>
      </c>
      <c r="D4485" s="242">
        <v>68.400000000000006</v>
      </c>
      <c r="E4485" s="845">
        <f t="shared" si="140"/>
        <v>20.222222222222225</v>
      </c>
    </row>
    <row r="4486" spans="2:5">
      <c r="B4486" s="1115">
        <v>45109</v>
      </c>
      <c r="C4486" s="242">
        <f t="shared" si="139"/>
        <v>7</v>
      </c>
      <c r="D4486" s="242">
        <v>66.599999999999994</v>
      </c>
      <c r="E4486" s="845">
        <f t="shared" si="140"/>
        <v>19.222222222222218</v>
      </c>
    </row>
    <row r="4487" spans="2:5">
      <c r="B4487" s="1115">
        <v>45109</v>
      </c>
      <c r="C4487" s="242">
        <f t="shared" si="139"/>
        <v>7</v>
      </c>
      <c r="D4487" s="242">
        <v>64.599999999999994</v>
      </c>
      <c r="E4487" s="845">
        <f t="shared" si="140"/>
        <v>18.111111111111107</v>
      </c>
    </row>
    <row r="4488" spans="2:5">
      <c r="B4488" s="1115">
        <v>45109</v>
      </c>
      <c r="C4488" s="242">
        <f t="shared" si="139"/>
        <v>7</v>
      </c>
      <c r="D4488" s="242">
        <v>62.4</v>
      </c>
      <c r="E4488" s="845">
        <f t="shared" si="140"/>
        <v>16.888888888888889</v>
      </c>
    </row>
    <row r="4489" spans="2:5">
      <c r="B4489" s="1115">
        <v>45109</v>
      </c>
      <c r="C4489" s="242">
        <f t="shared" si="139"/>
        <v>7</v>
      </c>
      <c r="D4489" s="242" t="s">
        <v>1850</v>
      </c>
      <c r="E4489" s="845">
        <f t="shared" si="140"/>
        <v>16.111111111111111</v>
      </c>
    </row>
    <row r="4490" spans="2:5">
      <c r="B4490" s="1115">
        <v>45109</v>
      </c>
      <c r="C4490" s="242">
        <f t="shared" ref="C4490:C4553" si="141">MONTH(B4490)</f>
        <v>7</v>
      </c>
      <c r="D4490" s="242">
        <v>59.5</v>
      </c>
      <c r="E4490" s="845">
        <f t="shared" ref="E4490:E4553" si="142">CONVERT(D4490,"F","C")</f>
        <v>15.277777777777777</v>
      </c>
    </row>
    <row r="4491" spans="2:5">
      <c r="B4491" s="1115">
        <v>45109</v>
      </c>
      <c r="C4491" s="242">
        <f t="shared" si="141"/>
        <v>7</v>
      </c>
      <c r="D4491" s="242">
        <v>61.2</v>
      </c>
      <c r="E4491" s="845">
        <f t="shared" si="142"/>
        <v>16.222222222222225</v>
      </c>
    </row>
    <row r="4492" spans="2:5">
      <c r="B4492" s="1115">
        <v>45109</v>
      </c>
      <c r="C4492" s="242">
        <f t="shared" si="141"/>
        <v>7</v>
      </c>
      <c r="D4492" s="242">
        <v>62.8</v>
      </c>
      <c r="E4492" s="845">
        <f t="shared" si="142"/>
        <v>17.111111111111111</v>
      </c>
    </row>
    <row r="4493" spans="2:5">
      <c r="B4493" s="1115">
        <v>45109</v>
      </c>
      <c r="C4493" s="242">
        <f t="shared" si="141"/>
        <v>7</v>
      </c>
      <c r="D4493" s="242">
        <v>64.8</v>
      </c>
      <c r="E4493" s="845">
        <f t="shared" si="142"/>
        <v>18.222222222222221</v>
      </c>
    </row>
    <row r="4494" spans="2:5">
      <c r="B4494" s="1115">
        <v>45109</v>
      </c>
      <c r="C4494" s="242">
        <f t="shared" si="141"/>
        <v>7</v>
      </c>
      <c r="D4494" s="242">
        <v>66.7</v>
      </c>
      <c r="E4494" s="845">
        <f t="shared" si="142"/>
        <v>19.277777777777779</v>
      </c>
    </row>
    <row r="4495" spans="2:5">
      <c r="B4495" s="1115">
        <v>45109</v>
      </c>
      <c r="C4495" s="242">
        <f t="shared" si="141"/>
        <v>7</v>
      </c>
      <c r="D4495" s="242">
        <v>67.8</v>
      </c>
      <c r="E4495" s="845">
        <f t="shared" si="142"/>
        <v>19.888888888888886</v>
      </c>
    </row>
    <row r="4496" spans="2:5">
      <c r="B4496" s="1115">
        <v>45109</v>
      </c>
      <c r="C4496" s="242">
        <f t="shared" si="141"/>
        <v>7</v>
      </c>
      <c r="D4496" s="242">
        <v>68.2</v>
      </c>
      <c r="E4496" s="845">
        <f t="shared" si="142"/>
        <v>20.111111111111111</v>
      </c>
    </row>
    <row r="4497" spans="2:5">
      <c r="B4497" s="1115">
        <v>45110</v>
      </c>
      <c r="C4497" s="242">
        <f t="shared" si="141"/>
        <v>7</v>
      </c>
      <c r="D4497" s="242">
        <v>67.3</v>
      </c>
      <c r="E4497" s="845">
        <f t="shared" si="142"/>
        <v>19.611111111111111</v>
      </c>
    </row>
    <row r="4498" spans="2:5">
      <c r="B4498" s="1115">
        <v>45110</v>
      </c>
      <c r="C4498" s="242">
        <f t="shared" si="141"/>
        <v>7</v>
      </c>
      <c r="D4498" s="242">
        <v>64.400000000000006</v>
      </c>
      <c r="E4498" s="845">
        <f t="shared" si="142"/>
        <v>18.000000000000004</v>
      </c>
    </row>
    <row r="4499" spans="2:5">
      <c r="B4499" s="1115">
        <v>45110</v>
      </c>
      <c r="C4499" s="242">
        <f t="shared" si="141"/>
        <v>7</v>
      </c>
      <c r="D4499" s="242">
        <v>63.7</v>
      </c>
      <c r="E4499" s="845">
        <f t="shared" si="142"/>
        <v>17.611111111111111</v>
      </c>
    </row>
    <row r="4500" spans="2:5">
      <c r="B4500" s="1115">
        <v>45110</v>
      </c>
      <c r="C4500" s="242">
        <f t="shared" si="141"/>
        <v>7</v>
      </c>
      <c r="D4500" s="242" t="s">
        <v>1852</v>
      </c>
      <c r="E4500" s="845">
        <f t="shared" si="142"/>
        <v>17.777777777777779</v>
      </c>
    </row>
    <row r="4501" spans="2:5">
      <c r="B4501" s="1115">
        <v>45110</v>
      </c>
      <c r="C4501" s="242">
        <f t="shared" si="141"/>
        <v>7</v>
      </c>
      <c r="D4501" s="242">
        <v>63.7</v>
      </c>
      <c r="E4501" s="845">
        <f t="shared" si="142"/>
        <v>17.611111111111111</v>
      </c>
    </row>
    <row r="4502" spans="2:5">
      <c r="B4502" s="1115">
        <v>45110</v>
      </c>
      <c r="C4502" s="242">
        <f t="shared" si="141"/>
        <v>7</v>
      </c>
      <c r="D4502" s="242">
        <v>63.7</v>
      </c>
      <c r="E4502" s="845">
        <f t="shared" si="142"/>
        <v>17.611111111111111</v>
      </c>
    </row>
    <row r="4503" spans="2:5">
      <c r="B4503" s="1115">
        <v>45110</v>
      </c>
      <c r="C4503" s="242">
        <f t="shared" si="141"/>
        <v>7</v>
      </c>
      <c r="D4503" s="242">
        <v>63.7</v>
      </c>
      <c r="E4503" s="845">
        <f t="shared" si="142"/>
        <v>17.611111111111111</v>
      </c>
    </row>
    <row r="4504" spans="2:5">
      <c r="B4504" s="1115">
        <v>45110</v>
      </c>
      <c r="C4504" s="242">
        <f t="shared" si="141"/>
        <v>7</v>
      </c>
      <c r="D4504" s="242" t="s">
        <v>1852</v>
      </c>
      <c r="E4504" s="845">
        <f t="shared" si="142"/>
        <v>17.777777777777779</v>
      </c>
    </row>
    <row r="4505" spans="2:5">
      <c r="B4505" s="1115">
        <v>45110</v>
      </c>
      <c r="C4505" s="242">
        <f t="shared" si="141"/>
        <v>7</v>
      </c>
      <c r="D4505" s="242">
        <v>64.900000000000006</v>
      </c>
      <c r="E4505" s="845">
        <f t="shared" si="142"/>
        <v>18.277777777777782</v>
      </c>
    </row>
    <row r="4506" spans="2:5">
      <c r="B4506" s="1115">
        <v>45110</v>
      </c>
      <c r="C4506" s="242">
        <f t="shared" si="141"/>
        <v>7</v>
      </c>
      <c r="D4506" s="242" t="s">
        <v>1853</v>
      </c>
      <c r="E4506" s="845">
        <f t="shared" si="142"/>
        <v>18.888888888888889</v>
      </c>
    </row>
    <row r="4507" spans="2:5">
      <c r="B4507" s="1115">
        <v>45110</v>
      </c>
      <c r="C4507" s="242">
        <f t="shared" si="141"/>
        <v>7</v>
      </c>
      <c r="D4507" s="242">
        <v>66.900000000000006</v>
      </c>
      <c r="E4507" s="845">
        <f t="shared" si="142"/>
        <v>19.388888888888893</v>
      </c>
    </row>
    <row r="4508" spans="2:5">
      <c r="B4508" s="1115">
        <v>45110</v>
      </c>
      <c r="C4508" s="242">
        <f t="shared" si="141"/>
        <v>7</v>
      </c>
      <c r="D4508" s="242">
        <v>67.8</v>
      </c>
      <c r="E4508" s="845">
        <f t="shared" si="142"/>
        <v>19.888888888888886</v>
      </c>
    </row>
    <row r="4509" spans="2:5">
      <c r="B4509" s="1115">
        <v>45110</v>
      </c>
      <c r="C4509" s="242">
        <f t="shared" si="141"/>
        <v>7</v>
      </c>
      <c r="D4509" s="242">
        <v>68.2</v>
      </c>
      <c r="E4509" s="845">
        <f t="shared" si="142"/>
        <v>20.111111111111111</v>
      </c>
    </row>
    <row r="4510" spans="2:5">
      <c r="B4510" s="1115">
        <v>45110</v>
      </c>
      <c r="C4510" s="242">
        <f t="shared" si="141"/>
        <v>7</v>
      </c>
      <c r="D4510" s="242">
        <v>67.8</v>
      </c>
      <c r="E4510" s="845">
        <f t="shared" si="142"/>
        <v>19.888888888888886</v>
      </c>
    </row>
    <row r="4511" spans="2:5">
      <c r="B4511" s="1115">
        <v>45110</v>
      </c>
      <c r="C4511" s="242">
        <f t="shared" si="141"/>
        <v>7</v>
      </c>
      <c r="D4511" s="242">
        <v>66.2</v>
      </c>
      <c r="E4511" s="845">
        <f t="shared" si="142"/>
        <v>19</v>
      </c>
    </row>
    <row r="4512" spans="2:5">
      <c r="B4512" s="1115">
        <v>45110</v>
      </c>
      <c r="C4512" s="242">
        <f t="shared" si="141"/>
        <v>7</v>
      </c>
      <c r="D4512" s="242">
        <v>63.9</v>
      </c>
      <c r="E4512" s="845">
        <f t="shared" si="142"/>
        <v>17.722222222222221</v>
      </c>
    </row>
    <row r="4513" spans="2:5">
      <c r="B4513" s="1115">
        <v>45110</v>
      </c>
      <c r="C4513" s="242">
        <f t="shared" si="141"/>
        <v>7</v>
      </c>
      <c r="D4513" s="242">
        <v>62.2</v>
      </c>
      <c r="E4513" s="845">
        <f t="shared" si="142"/>
        <v>16.777777777777779</v>
      </c>
    </row>
    <row r="4514" spans="2:5">
      <c r="B4514" s="1115">
        <v>45110</v>
      </c>
      <c r="C4514" s="242">
        <f t="shared" si="141"/>
        <v>7</v>
      </c>
      <c r="D4514" s="242">
        <v>61.9</v>
      </c>
      <c r="E4514" s="845">
        <f t="shared" si="142"/>
        <v>16.611111111111111</v>
      </c>
    </row>
    <row r="4515" spans="2:5">
      <c r="B4515" s="1115">
        <v>45110</v>
      </c>
      <c r="C4515" s="242">
        <f t="shared" si="141"/>
        <v>7</v>
      </c>
      <c r="D4515" s="242">
        <v>62.1</v>
      </c>
      <c r="E4515" s="845">
        <f t="shared" si="142"/>
        <v>16.722222222222221</v>
      </c>
    </row>
    <row r="4516" spans="2:5">
      <c r="B4516" s="1115">
        <v>45110</v>
      </c>
      <c r="C4516" s="242">
        <f t="shared" si="141"/>
        <v>7</v>
      </c>
      <c r="D4516" s="242">
        <v>62.2</v>
      </c>
      <c r="E4516" s="845">
        <f t="shared" si="142"/>
        <v>16.777777777777779</v>
      </c>
    </row>
    <row r="4517" spans="2:5">
      <c r="B4517" s="1115">
        <v>45110</v>
      </c>
      <c r="C4517" s="242">
        <f t="shared" si="141"/>
        <v>7</v>
      </c>
      <c r="D4517" s="242">
        <v>63.9</v>
      </c>
      <c r="E4517" s="845">
        <f t="shared" si="142"/>
        <v>17.722222222222221</v>
      </c>
    </row>
    <row r="4518" spans="2:5">
      <c r="B4518" s="1115">
        <v>45110</v>
      </c>
      <c r="C4518" s="242">
        <f t="shared" si="141"/>
        <v>7</v>
      </c>
      <c r="D4518" s="242" t="s">
        <v>1853</v>
      </c>
      <c r="E4518" s="845">
        <f t="shared" si="142"/>
        <v>18.888888888888889</v>
      </c>
    </row>
    <row r="4519" spans="2:5">
      <c r="B4519" s="1115">
        <v>45110</v>
      </c>
      <c r="C4519" s="242">
        <f t="shared" si="141"/>
        <v>7</v>
      </c>
      <c r="D4519" s="242">
        <v>67.5</v>
      </c>
      <c r="E4519" s="845">
        <f t="shared" si="142"/>
        <v>19.722222222222221</v>
      </c>
    </row>
    <row r="4520" spans="2:5">
      <c r="B4520" s="1115">
        <v>45110</v>
      </c>
      <c r="C4520" s="242">
        <f t="shared" si="141"/>
        <v>7</v>
      </c>
      <c r="D4520" s="242">
        <v>68.400000000000006</v>
      </c>
      <c r="E4520" s="845">
        <f t="shared" si="142"/>
        <v>20.222222222222225</v>
      </c>
    </row>
    <row r="4521" spans="2:5">
      <c r="B4521" s="1115">
        <v>45111</v>
      </c>
      <c r="C4521" s="242">
        <f t="shared" si="141"/>
        <v>7</v>
      </c>
      <c r="D4521" s="242">
        <v>68.5</v>
      </c>
      <c r="E4521" s="845">
        <f t="shared" si="142"/>
        <v>20.277777777777779</v>
      </c>
    </row>
    <row r="4522" spans="2:5">
      <c r="B4522" s="1115">
        <v>45111</v>
      </c>
      <c r="C4522" s="242">
        <f t="shared" si="141"/>
        <v>7</v>
      </c>
      <c r="D4522" s="242">
        <v>67.8</v>
      </c>
      <c r="E4522" s="845">
        <f t="shared" si="142"/>
        <v>19.888888888888886</v>
      </c>
    </row>
    <row r="4523" spans="2:5">
      <c r="B4523" s="1115">
        <v>45111</v>
      </c>
      <c r="C4523" s="242">
        <f t="shared" si="141"/>
        <v>7</v>
      </c>
      <c r="D4523" s="242">
        <v>65.5</v>
      </c>
      <c r="E4523" s="845">
        <f t="shared" si="142"/>
        <v>18.611111111111111</v>
      </c>
    </row>
    <row r="4524" spans="2:5">
      <c r="B4524" s="1115">
        <v>45111</v>
      </c>
      <c r="C4524" s="242">
        <f t="shared" si="141"/>
        <v>7</v>
      </c>
      <c r="D4524" s="242">
        <v>64.599999999999994</v>
      </c>
      <c r="E4524" s="845">
        <f t="shared" si="142"/>
        <v>18.111111111111107</v>
      </c>
    </row>
    <row r="4525" spans="2:5">
      <c r="B4525" s="1115">
        <v>45111</v>
      </c>
      <c r="C4525" s="242">
        <f t="shared" si="141"/>
        <v>7</v>
      </c>
      <c r="D4525" s="242">
        <v>63.3</v>
      </c>
      <c r="E4525" s="845">
        <f t="shared" si="142"/>
        <v>17.388888888888886</v>
      </c>
    </row>
    <row r="4526" spans="2:5">
      <c r="B4526" s="1115">
        <v>45111</v>
      </c>
      <c r="C4526" s="242">
        <f t="shared" si="141"/>
        <v>7</v>
      </c>
      <c r="D4526" s="242">
        <v>62.2</v>
      </c>
      <c r="E4526" s="845">
        <f t="shared" si="142"/>
        <v>16.777777777777779</v>
      </c>
    </row>
    <row r="4527" spans="2:5">
      <c r="B4527" s="1115">
        <v>45111</v>
      </c>
      <c r="C4527" s="242">
        <f t="shared" si="141"/>
        <v>7</v>
      </c>
      <c r="D4527" s="242">
        <v>61.9</v>
      </c>
      <c r="E4527" s="845">
        <f t="shared" si="142"/>
        <v>16.611111111111111</v>
      </c>
    </row>
    <row r="4528" spans="2:5">
      <c r="B4528" s="1115">
        <v>45111</v>
      </c>
      <c r="C4528" s="242">
        <f t="shared" si="141"/>
        <v>7</v>
      </c>
      <c r="D4528" s="242">
        <v>62.1</v>
      </c>
      <c r="E4528" s="845">
        <f t="shared" si="142"/>
        <v>16.722222222222221</v>
      </c>
    </row>
    <row r="4529" spans="2:5">
      <c r="B4529" s="1115">
        <v>45111</v>
      </c>
      <c r="C4529" s="242">
        <f t="shared" si="141"/>
        <v>7</v>
      </c>
      <c r="D4529" s="242">
        <v>63.3</v>
      </c>
      <c r="E4529" s="845">
        <f t="shared" si="142"/>
        <v>17.388888888888886</v>
      </c>
    </row>
    <row r="4530" spans="2:5">
      <c r="B4530" s="1115">
        <v>45111</v>
      </c>
      <c r="C4530" s="242">
        <f t="shared" si="141"/>
        <v>7</v>
      </c>
      <c r="D4530" s="242">
        <v>65.3</v>
      </c>
      <c r="E4530" s="845">
        <f t="shared" si="142"/>
        <v>18.499999999999996</v>
      </c>
    </row>
    <row r="4531" spans="2:5">
      <c r="B4531" s="1115">
        <v>45111</v>
      </c>
      <c r="C4531" s="242">
        <f t="shared" si="141"/>
        <v>7</v>
      </c>
      <c r="D4531" s="242">
        <v>66.599999999999994</v>
      </c>
      <c r="E4531" s="845">
        <f t="shared" si="142"/>
        <v>19.222222222222218</v>
      </c>
    </row>
    <row r="4532" spans="2:5">
      <c r="B4532" s="1115">
        <v>45111</v>
      </c>
      <c r="C4532" s="242">
        <f t="shared" si="141"/>
        <v>7</v>
      </c>
      <c r="D4532" s="242">
        <v>67.599999999999994</v>
      </c>
      <c r="E4532" s="845">
        <f t="shared" si="142"/>
        <v>19.777777777777775</v>
      </c>
    </row>
    <row r="4533" spans="2:5">
      <c r="B4533" s="1115">
        <v>45111</v>
      </c>
      <c r="C4533" s="242">
        <f t="shared" si="141"/>
        <v>7</v>
      </c>
      <c r="D4533" s="242">
        <v>68.400000000000006</v>
      </c>
      <c r="E4533" s="845">
        <f t="shared" si="142"/>
        <v>20.222222222222225</v>
      </c>
    </row>
    <row r="4534" spans="2:5">
      <c r="B4534" s="1115">
        <v>45111</v>
      </c>
      <c r="C4534" s="242">
        <f t="shared" si="141"/>
        <v>7</v>
      </c>
      <c r="D4534" s="242">
        <v>68.7</v>
      </c>
      <c r="E4534" s="845">
        <f t="shared" si="142"/>
        <v>20.388888888888889</v>
      </c>
    </row>
    <row r="4535" spans="2:5">
      <c r="B4535" s="1115">
        <v>45111</v>
      </c>
      <c r="C4535" s="242">
        <f t="shared" si="141"/>
        <v>7</v>
      </c>
      <c r="D4535" s="242">
        <v>68.2</v>
      </c>
      <c r="E4535" s="845">
        <f t="shared" si="142"/>
        <v>20.111111111111111</v>
      </c>
    </row>
    <row r="4536" spans="2:5">
      <c r="B4536" s="1115">
        <v>45111</v>
      </c>
      <c r="C4536" s="242">
        <f t="shared" si="141"/>
        <v>7</v>
      </c>
      <c r="D4536" s="242">
        <v>65.8</v>
      </c>
      <c r="E4536" s="845">
        <f t="shared" si="142"/>
        <v>18.777777777777775</v>
      </c>
    </row>
    <row r="4537" spans="2:5">
      <c r="B4537" s="1115">
        <v>45111</v>
      </c>
      <c r="C4537" s="242">
        <f t="shared" si="141"/>
        <v>7</v>
      </c>
      <c r="D4537" s="242">
        <v>62.6</v>
      </c>
      <c r="E4537" s="845">
        <f t="shared" si="142"/>
        <v>17</v>
      </c>
    </row>
    <row r="4538" spans="2:5">
      <c r="B4538" s="1115">
        <v>45111</v>
      </c>
      <c r="C4538" s="242">
        <f t="shared" si="141"/>
        <v>7</v>
      </c>
      <c r="D4538" s="242">
        <v>61.9</v>
      </c>
      <c r="E4538" s="845">
        <f t="shared" si="142"/>
        <v>16.611111111111111</v>
      </c>
    </row>
    <row r="4539" spans="2:5">
      <c r="B4539" s="1115">
        <v>45111</v>
      </c>
      <c r="C4539" s="242">
        <f t="shared" si="141"/>
        <v>7</v>
      </c>
      <c r="D4539" s="242">
        <v>60.4</v>
      </c>
      <c r="E4539" s="845">
        <f t="shared" si="142"/>
        <v>15.777777777777777</v>
      </c>
    </row>
    <row r="4540" spans="2:5">
      <c r="B4540" s="1115">
        <v>45111</v>
      </c>
      <c r="C4540" s="242">
        <f t="shared" si="141"/>
        <v>7</v>
      </c>
      <c r="D4540" s="242">
        <v>63.1</v>
      </c>
      <c r="E4540" s="845">
        <f t="shared" si="142"/>
        <v>17.277777777777779</v>
      </c>
    </row>
    <row r="4541" spans="2:5">
      <c r="B4541" s="1115">
        <v>45111</v>
      </c>
      <c r="C4541" s="242">
        <f t="shared" si="141"/>
        <v>7</v>
      </c>
      <c r="D4541" s="242">
        <v>62.2</v>
      </c>
      <c r="E4541" s="845">
        <f t="shared" si="142"/>
        <v>16.777777777777779</v>
      </c>
    </row>
    <row r="4542" spans="2:5">
      <c r="B4542" s="1115">
        <v>45111</v>
      </c>
      <c r="C4542" s="242">
        <f t="shared" si="141"/>
        <v>7</v>
      </c>
      <c r="D4542" s="242" t="s">
        <v>1852</v>
      </c>
      <c r="E4542" s="845">
        <f t="shared" si="142"/>
        <v>17.777777777777779</v>
      </c>
    </row>
    <row r="4543" spans="2:5">
      <c r="B4543" s="1115">
        <v>45111</v>
      </c>
      <c r="C4543" s="242">
        <f t="shared" si="141"/>
        <v>7</v>
      </c>
      <c r="D4543" s="242">
        <v>66.2</v>
      </c>
      <c r="E4543" s="845">
        <f t="shared" si="142"/>
        <v>19</v>
      </c>
    </row>
    <row r="4544" spans="2:5">
      <c r="B4544" s="1115">
        <v>45111</v>
      </c>
      <c r="C4544" s="242">
        <f t="shared" si="141"/>
        <v>7</v>
      </c>
      <c r="D4544" s="242">
        <v>67.599999999999994</v>
      </c>
      <c r="E4544" s="845">
        <f t="shared" si="142"/>
        <v>19.777777777777775</v>
      </c>
    </row>
    <row r="4545" spans="2:5">
      <c r="B4545" s="1115">
        <v>45112</v>
      </c>
      <c r="C4545" s="242">
        <f t="shared" si="141"/>
        <v>7</v>
      </c>
      <c r="D4545" s="242">
        <v>68.400000000000006</v>
      </c>
      <c r="E4545" s="845">
        <f t="shared" si="142"/>
        <v>20.222222222222225</v>
      </c>
    </row>
    <row r="4546" spans="2:5">
      <c r="B4546" s="1115">
        <v>45112</v>
      </c>
      <c r="C4546" s="242">
        <f t="shared" si="141"/>
        <v>7</v>
      </c>
      <c r="D4546" s="242">
        <v>68.5</v>
      </c>
      <c r="E4546" s="845">
        <f t="shared" si="142"/>
        <v>20.277777777777779</v>
      </c>
    </row>
    <row r="4547" spans="2:5">
      <c r="B4547" s="1115">
        <v>45112</v>
      </c>
      <c r="C4547" s="242">
        <f t="shared" si="141"/>
        <v>7</v>
      </c>
      <c r="D4547" s="242">
        <v>66.900000000000006</v>
      </c>
      <c r="E4547" s="845">
        <f t="shared" si="142"/>
        <v>19.388888888888893</v>
      </c>
    </row>
    <row r="4548" spans="2:5">
      <c r="B4548" s="1115">
        <v>45112</v>
      </c>
      <c r="C4548" s="242">
        <f t="shared" si="141"/>
        <v>7</v>
      </c>
      <c r="D4548" s="242">
        <v>65.099999999999994</v>
      </c>
      <c r="E4548" s="845">
        <f t="shared" si="142"/>
        <v>18.388888888888886</v>
      </c>
    </row>
    <row r="4549" spans="2:5">
      <c r="B4549" s="1115">
        <v>45112</v>
      </c>
      <c r="C4549" s="242">
        <f t="shared" si="141"/>
        <v>7</v>
      </c>
      <c r="D4549" s="242">
        <v>63.9</v>
      </c>
      <c r="E4549" s="845">
        <f t="shared" si="142"/>
        <v>17.722222222222221</v>
      </c>
    </row>
    <row r="4550" spans="2:5">
      <c r="B4550" s="1115">
        <v>45112</v>
      </c>
      <c r="C4550" s="242">
        <f t="shared" si="141"/>
        <v>7</v>
      </c>
      <c r="D4550" s="242">
        <v>62.1</v>
      </c>
      <c r="E4550" s="845">
        <f t="shared" si="142"/>
        <v>16.722222222222221</v>
      </c>
    </row>
    <row r="4551" spans="2:5">
      <c r="B4551" s="1115">
        <v>45112</v>
      </c>
      <c r="C4551" s="242">
        <f t="shared" si="141"/>
        <v>7</v>
      </c>
      <c r="D4551" s="242">
        <v>61.2</v>
      </c>
      <c r="E4551" s="845">
        <f t="shared" si="142"/>
        <v>16.222222222222225</v>
      </c>
    </row>
    <row r="4552" spans="2:5">
      <c r="B4552" s="1115">
        <v>45112</v>
      </c>
      <c r="C4552" s="242">
        <f t="shared" si="141"/>
        <v>7</v>
      </c>
      <c r="D4552" s="242">
        <v>62.4</v>
      </c>
      <c r="E4552" s="845">
        <f t="shared" si="142"/>
        <v>16.888888888888889</v>
      </c>
    </row>
    <row r="4553" spans="2:5">
      <c r="B4553" s="1115">
        <v>45112</v>
      </c>
      <c r="C4553" s="242">
        <f t="shared" si="141"/>
        <v>7</v>
      </c>
      <c r="D4553" s="242">
        <v>62.1</v>
      </c>
      <c r="E4553" s="845">
        <f t="shared" si="142"/>
        <v>16.722222222222221</v>
      </c>
    </row>
    <row r="4554" spans="2:5">
      <c r="B4554" s="1115">
        <v>45112</v>
      </c>
      <c r="C4554" s="242">
        <f t="shared" ref="C4554:C4617" si="143">MONTH(B4554)</f>
        <v>7</v>
      </c>
      <c r="D4554" s="242">
        <v>63.3</v>
      </c>
      <c r="E4554" s="845">
        <f t="shared" ref="E4554:E4617" si="144">CONVERT(D4554,"F","C")</f>
        <v>17.388888888888886</v>
      </c>
    </row>
    <row r="4555" spans="2:5">
      <c r="B4555" s="1115">
        <v>45112</v>
      </c>
      <c r="C4555" s="242">
        <f t="shared" si="143"/>
        <v>7</v>
      </c>
      <c r="D4555" s="242">
        <v>65.3</v>
      </c>
      <c r="E4555" s="845">
        <f t="shared" si="144"/>
        <v>18.499999999999996</v>
      </c>
    </row>
    <row r="4556" spans="2:5">
      <c r="B4556" s="1115">
        <v>45112</v>
      </c>
      <c r="C4556" s="242">
        <f t="shared" si="143"/>
        <v>7</v>
      </c>
      <c r="D4556" s="242">
        <v>66.599999999999994</v>
      </c>
      <c r="E4556" s="845">
        <f t="shared" si="144"/>
        <v>19.222222222222218</v>
      </c>
    </row>
    <row r="4557" spans="2:5">
      <c r="B4557" s="1115">
        <v>45112</v>
      </c>
      <c r="C4557" s="242">
        <f t="shared" si="143"/>
        <v>7</v>
      </c>
      <c r="D4557" s="242">
        <v>67.5</v>
      </c>
      <c r="E4557" s="845">
        <f t="shared" si="144"/>
        <v>19.722222222222221</v>
      </c>
    </row>
    <row r="4558" spans="2:5">
      <c r="B4558" s="1115">
        <v>45112</v>
      </c>
      <c r="C4558" s="242">
        <f t="shared" si="143"/>
        <v>7</v>
      </c>
      <c r="D4558" s="242">
        <v>68.400000000000006</v>
      </c>
      <c r="E4558" s="845">
        <f t="shared" si="144"/>
        <v>20.222222222222225</v>
      </c>
    </row>
    <row r="4559" spans="2:5">
      <c r="B4559" s="1115">
        <v>45112</v>
      </c>
      <c r="C4559" s="242">
        <f t="shared" si="143"/>
        <v>7</v>
      </c>
      <c r="D4559" s="242">
        <v>68.7</v>
      </c>
      <c r="E4559" s="845">
        <f t="shared" si="144"/>
        <v>20.388888888888889</v>
      </c>
    </row>
    <row r="4560" spans="2:5">
      <c r="B4560" s="1115">
        <v>45112</v>
      </c>
      <c r="C4560" s="242">
        <f t="shared" si="143"/>
        <v>7</v>
      </c>
      <c r="D4560" s="242">
        <v>67.3</v>
      </c>
      <c r="E4560" s="845">
        <f t="shared" si="144"/>
        <v>19.611111111111111</v>
      </c>
    </row>
    <row r="4561" spans="2:5">
      <c r="B4561" s="1115">
        <v>45112</v>
      </c>
      <c r="C4561" s="242">
        <f t="shared" si="143"/>
        <v>7</v>
      </c>
      <c r="D4561" s="242">
        <v>61.7</v>
      </c>
      <c r="E4561" s="845">
        <f t="shared" si="144"/>
        <v>16.5</v>
      </c>
    </row>
    <row r="4562" spans="2:5">
      <c r="B4562" s="1115">
        <v>45112</v>
      </c>
      <c r="C4562" s="242">
        <f t="shared" si="143"/>
        <v>7</v>
      </c>
      <c r="D4562" s="242">
        <v>61.2</v>
      </c>
      <c r="E4562" s="845">
        <f t="shared" si="144"/>
        <v>16.222222222222225</v>
      </c>
    </row>
    <row r="4563" spans="2:5">
      <c r="B4563" s="1115">
        <v>45112</v>
      </c>
      <c r="C4563" s="242">
        <f t="shared" si="143"/>
        <v>7</v>
      </c>
      <c r="D4563" s="242" t="s">
        <v>1850</v>
      </c>
      <c r="E4563" s="845">
        <f t="shared" si="144"/>
        <v>16.111111111111111</v>
      </c>
    </row>
    <row r="4564" spans="2:5">
      <c r="B4564" s="1115">
        <v>45112</v>
      </c>
      <c r="C4564" s="242">
        <f t="shared" si="143"/>
        <v>7</v>
      </c>
      <c r="D4564" s="242">
        <v>59.2</v>
      </c>
      <c r="E4564" s="845">
        <f t="shared" si="144"/>
        <v>15.111111111111112</v>
      </c>
    </row>
    <row r="4565" spans="2:5">
      <c r="B4565" s="1115">
        <v>45112</v>
      </c>
      <c r="C4565" s="242">
        <f t="shared" si="143"/>
        <v>7</v>
      </c>
      <c r="D4565" s="242">
        <v>61.9</v>
      </c>
      <c r="E4565" s="845">
        <f t="shared" si="144"/>
        <v>16.611111111111111</v>
      </c>
    </row>
    <row r="4566" spans="2:5">
      <c r="B4566" s="1115">
        <v>45112</v>
      </c>
      <c r="C4566" s="242">
        <f t="shared" si="143"/>
        <v>7</v>
      </c>
      <c r="D4566" s="242">
        <v>60.3</v>
      </c>
      <c r="E4566" s="845">
        <f t="shared" si="144"/>
        <v>15.72222222222222</v>
      </c>
    </row>
    <row r="4567" spans="2:5">
      <c r="B4567" s="1115">
        <v>45112</v>
      </c>
      <c r="C4567" s="242">
        <f t="shared" si="143"/>
        <v>7</v>
      </c>
      <c r="D4567" s="242">
        <v>62.2</v>
      </c>
      <c r="E4567" s="845">
        <f t="shared" si="144"/>
        <v>16.777777777777779</v>
      </c>
    </row>
    <row r="4568" spans="2:5">
      <c r="B4568" s="1115">
        <v>45112</v>
      </c>
      <c r="C4568" s="242">
        <f t="shared" si="143"/>
        <v>7</v>
      </c>
      <c r="D4568" s="242">
        <v>65.7</v>
      </c>
      <c r="E4568" s="845">
        <f t="shared" si="144"/>
        <v>18.722222222222225</v>
      </c>
    </row>
    <row r="4569" spans="2:5">
      <c r="B4569" s="1115">
        <v>45113</v>
      </c>
      <c r="C4569" s="242">
        <f t="shared" si="143"/>
        <v>7</v>
      </c>
      <c r="D4569" s="242">
        <v>67.599999999999994</v>
      </c>
      <c r="E4569" s="845">
        <f t="shared" si="144"/>
        <v>19.777777777777775</v>
      </c>
    </row>
    <row r="4570" spans="2:5">
      <c r="B4570" s="1115">
        <v>45113</v>
      </c>
      <c r="C4570" s="242">
        <f t="shared" si="143"/>
        <v>7</v>
      </c>
      <c r="D4570" s="242">
        <v>68.5</v>
      </c>
      <c r="E4570" s="845">
        <f t="shared" si="144"/>
        <v>20.277777777777779</v>
      </c>
    </row>
    <row r="4571" spans="2:5">
      <c r="B4571" s="1115">
        <v>45113</v>
      </c>
      <c r="C4571" s="242">
        <f t="shared" si="143"/>
        <v>7</v>
      </c>
      <c r="D4571" s="242">
        <v>68.900000000000006</v>
      </c>
      <c r="E4571" s="845">
        <f t="shared" si="144"/>
        <v>20.500000000000004</v>
      </c>
    </row>
    <row r="4572" spans="2:5">
      <c r="B4572" s="1115">
        <v>45113</v>
      </c>
      <c r="C4572" s="242">
        <f t="shared" si="143"/>
        <v>7</v>
      </c>
      <c r="D4572" s="242">
        <v>67.099999999999994</v>
      </c>
      <c r="E4572" s="845">
        <f t="shared" si="144"/>
        <v>19.499999999999996</v>
      </c>
    </row>
    <row r="4573" spans="2:5">
      <c r="B4573" s="1115">
        <v>45113</v>
      </c>
      <c r="C4573" s="242">
        <f t="shared" si="143"/>
        <v>7</v>
      </c>
      <c r="D4573" s="242">
        <v>64.599999999999994</v>
      </c>
      <c r="E4573" s="845">
        <f t="shared" si="144"/>
        <v>18.111111111111107</v>
      </c>
    </row>
    <row r="4574" spans="2:5">
      <c r="B4574" s="1115">
        <v>45113</v>
      </c>
      <c r="C4574" s="242">
        <f t="shared" si="143"/>
        <v>7</v>
      </c>
      <c r="D4574" s="242">
        <v>62.2</v>
      </c>
      <c r="E4574" s="845">
        <f t="shared" si="144"/>
        <v>16.777777777777779</v>
      </c>
    </row>
    <row r="4575" spans="2:5">
      <c r="B4575" s="1115">
        <v>45113</v>
      </c>
      <c r="C4575" s="242">
        <f t="shared" si="143"/>
        <v>7</v>
      </c>
      <c r="D4575" s="242">
        <v>60.6</v>
      </c>
      <c r="E4575" s="845">
        <f t="shared" si="144"/>
        <v>15.888888888888889</v>
      </c>
    </row>
    <row r="4576" spans="2:5">
      <c r="B4576" s="1115">
        <v>45113</v>
      </c>
      <c r="C4576" s="242">
        <f t="shared" si="143"/>
        <v>7</v>
      </c>
      <c r="D4576" s="242">
        <v>59.7</v>
      </c>
      <c r="E4576" s="845">
        <f t="shared" si="144"/>
        <v>15.388888888888889</v>
      </c>
    </row>
    <row r="4577" spans="2:5">
      <c r="B4577" s="1115">
        <v>45113</v>
      </c>
      <c r="C4577" s="242">
        <f t="shared" si="143"/>
        <v>7</v>
      </c>
      <c r="D4577" s="242">
        <v>60.3</v>
      </c>
      <c r="E4577" s="845">
        <f t="shared" si="144"/>
        <v>15.72222222222222</v>
      </c>
    </row>
    <row r="4578" spans="2:5">
      <c r="B4578" s="1115">
        <v>45113</v>
      </c>
      <c r="C4578" s="242">
        <f t="shared" si="143"/>
        <v>7</v>
      </c>
      <c r="D4578" s="242">
        <v>59.5</v>
      </c>
      <c r="E4578" s="845">
        <f t="shared" si="144"/>
        <v>15.277777777777777</v>
      </c>
    </row>
    <row r="4579" spans="2:5">
      <c r="B4579" s="1115">
        <v>45113</v>
      </c>
      <c r="C4579" s="242">
        <f t="shared" si="143"/>
        <v>7</v>
      </c>
      <c r="D4579" s="242">
        <v>61.5</v>
      </c>
      <c r="E4579" s="845">
        <f t="shared" si="144"/>
        <v>16.388888888888889</v>
      </c>
    </row>
    <row r="4580" spans="2:5">
      <c r="B4580" s="1115">
        <v>45113</v>
      </c>
      <c r="C4580" s="242">
        <f t="shared" si="143"/>
        <v>7</v>
      </c>
      <c r="D4580" s="242">
        <v>64.400000000000006</v>
      </c>
      <c r="E4580" s="845">
        <f t="shared" si="144"/>
        <v>18.000000000000004</v>
      </c>
    </row>
    <row r="4581" spans="2:5">
      <c r="B4581" s="1115">
        <v>45113</v>
      </c>
      <c r="C4581" s="242">
        <f t="shared" si="143"/>
        <v>7</v>
      </c>
      <c r="D4581" s="242">
        <v>66.400000000000006</v>
      </c>
      <c r="E4581" s="845">
        <f t="shared" si="144"/>
        <v>19.111111111111114</v>
      </c>
    </row>
    <row r="4582" spans="2:5">
      <c r="B4582" s="1115">
        <v>45113</v>
      </c>
      <c r="C4582" s="242">
        <f t="shared" si="143"/>
        <v>7</v>
      </c>
      <c r="D4582" s="242">
        <v>67.8</v>
      </c>
      <c r="E4582" s="845">
        <f t="shared" si="144"/>
        <v>19.888888888888886</v>
      </c>
    </row>
    <row r="4583" spans="2:5">
      <c r="B4583" s="1115">
        <v>45113</v>
      </c>
      <c r="C4583" s="242">
        <f t="shared" si="143"/>
        <v>7</v>
      </c>
      <c r="D4583" s="242">
        <v>68.900000000000006</v>
      </c>
      <c r="E4583" s="845">
        <f t="shared" si="144"/>
        <v>20.500000000000004</v>
      </c>
    </row>
    <row r="4584" spans="2:5">
      <c r="B4584" s="1115">
        <v>45113</v>
      </c>
      <c r="C4584" s="242">
        <f t="shared" si="143"/>
        <v>7</v>
      </c>
      <c r="D4584" s="242">
        <v>69.3</v>
      </c>
      <c r="E4584" s="845">
        <f t="shared" si="144"/>
        <v>20.722222222222221</v>
      </c>
    </row>
    <row r="4585" spans="2:5">
      <c r="B4585" s="1115">
        <v>45113</v>
      </c>
      <c r="C4585" s="242">
        <f t="shared" si="143"/>
        <v>7</v>
      </c>
      <c r="D4585" s="242">
        <v>65.8</v>
      </c>
      <c r="E4585" s="845">
        <f t="shared" si="144"/>
        <v>18.777777777777775</v>
      </c>
    </row>
    <row r="4586" spans="2:5">
      <c r="B4586" s="1115">
        <v>45113</v>
      </c>
      <c r="C4586" s="242">
        <f t="shared" si="143"/>
        <v>7</v>
      </c>
      <c r="D4586" s="242">
        <v>62.2</v>
      </c>
      <c r="E4586" s="845">
        <f t="shared" si="144"/>
        <v>16.777777777777779</v>
      </c>
    </row>
    <row r="4587" spans="2:5">
      <c r="B4587" s="1115">
        <v>45113</v>
      </c>
      <c r="C4587" s="242">
        <f t="shared" si="143"/>
        <v>7</v>
      </c>
      <c r="D4587" s="242">
        <v>60.6</v>
      </c>
      <c r="E4587" s="845">
        <f t="shared" si="144"/>
        <v>15.888888888888889</v>
      </c>
    </row>
    <row r="4588" spans="2:5">
      <c r="B4588" s="1115">
        <v>45113</v>
      </c>
      <c r="C4588" s="242">
        <f t="shared" si="143"/>
        <v>7</v>
      </c>
      <c r="D4588" s="242">
        <v>60.6</v>
      </c>
      <c r="E4588" s="845">
        <f t="shared" si="144"/>
        <v>15.888888888888889</v>
      </c>
    </row>
    <row r="4589" spans="2:5">
      <c r="B4589" s="1115">
        <v>45113</v>
      </c>
      <c r="C4589" s="242">
        <f t="shared" si="143"/>
        <v>7</v>
      </c>
      <c r="D4589" s="242">
        <v>58.6</v>
      </c>
      <c r="E4589" s="845">
        <f t="shared" si="144"/>
        <v>14.777777777777779</v>
      </c>
    </row>
    <row r="4590" spans="2:5">
      <c r="B4590" s="1115">
        <v>45113</v>
      </c>
      <c r="C4590" s="242">
        <f t="shared" si="143"/>
        <v>7</v>
      </c>
      <c r="D4590" s="242">
        <v>61.5</v>
      </c>
      <c r="E4590" s="845">
        <f t="shared" si="144"/>
        <v>16.388888888888889</v>
      </c>
    </row>
    <row r="4591" spans="2:5">
      <c r="B4591" s="1115">
        <v>45113</v>
      </c>
      <c r="C4591" s="242">
        <f t="shared" si="143"/>
        <v>7</v>
      </c>
      <c r="D4591" s="242">
        <v>59.9</v>
      </c>
      <c r="E4591" s="845">
        <f t="shared" si="144"/>
        <v>15.499999999999998</v>
      </c>
    </row>
    <row r="4592" spans="2:5">
      <c r="B4592" s="1115">
        <v>45113</v>
      </c>
      <c r="C4592" s="242">
        <f t="shared" si="143"/>
        <v>7</v>
      </c>
      <c r="D4592" s="242">
        <v>62.4</v>
      </c>
      <c r="E4592" s="845">
        <f t="shared" si="144"/>
        <v>16.888888888888889</v>
      </c>
    </row>
    <row r="4593" spans="2:5">
      <c r="B4593" s="1115">
        <v>45114</v>
      </c>
      <c r="C4593" s="242">
        <f t="shared" si="143"/>
        <v>7</v>
      </c>
      <c r="D4593" s="242">
        <v>65.7</v>
      </c>
      <c r="E4593" s="845">
        <f t="shared" si="144"/>
        <v>18.722222222222225</v>
      </c>
    </row>
    <row r="4594" spans="2:5">
      <c r="B4594" s="1115">
        <v>45114</v>
      </c>
      <c r="C4594" s="242">
        <f t="shared" si="143"/>
        <v>7</v>
      </c>
      <c r="D4594" s="242" t="s">
        <v>1854</v>
      </c>
      <c r="E4594" s="845">
        <f t="shared" si="144"/>
        <v>20</v>
      </c>
    </row>
    <row r="4595" spans="2:5">
      <c r="B4595" s="1115">
        <v>45114</v>
      </c>
      <c r="C4595" s="242">
        <f t="shared" si="143"/>
        <v>7</v>
      </c>
      <c r="D4595" s="242">
        <v>69.099999999999994</v>
      </c>
      <c r="E4595" s="845">
        <f t="shared" si="144"/>
        <v>20.611111111111107</v>
      </c>
    </row>
    <row r="4596" spans="2:5">
      <c r="B4596" s="1115">
        <v>45114</v>
      </c>
      <c r="C4596" s="242">
        <f t="shared" si="143"/>
        <v>7</v>
      </c>
      <c r="D4596" s="242">
        <v>69.400000000000006</v>
      </c>
      <c r="E4596" s="845">
        <f t="shared" si="144"/>
        <v>20.777777777777782</v>
      </c>
    </row>
    <row r="4597" spans="2:5">
      <c r="B4597" s="1115">
        <v>45114</v>
      </c>
      <c r="C4597" s="242">
        <f t="shared" si="143"/>
        <v>7</v>
      </c>
      <c r="D4597" s="242" t="s">
        <v>1853</v>
      </c>
      <c r="E4597" s="845">
        <f t="shared" si="144"/>
        <v>18.888888888888889</v>
      </c>
    </row>
    <row r="4598" spans="2:5">
      <c r="B4598" s="1115">
        <v>45114</v>
      </c>
      <c r="C4598" s="242">
        <f t="shared" si="143"/>
        <v>7</v>
      </c>
      <c r="D4598" s="242">
        <v>62.6</v>
      </c>
      <c r="E4598" s="845">
        <f t="shared" si="144"/>
        <v>17</v>
      </c>
    </row>
    <row r="4599" spans="2:5">
      <c r="B4599" s="1115">
        <v>45114</v>
      </c>
      <c r="C4599" s="242">
        <f t="shared" si="143"/>
        <v>7</v>
      </c>
      <c r="D4599" s="242">
        <v>60.4</v>
      </c>
      <c r="E4599" s="845">
        <f t="shared" si="144"/>
        <v>15.777777777777777</v>
      </c>
    </row>
    <row r="4600" spans="2:5">
      <c r="B4600" s="1115">
        <v>45114</v>
      </c>
      <c r="C4600" s="242">
        <f t="shared" si="143"/>
        <v>7</v>
      </c>
      <c r="D4600" s="242">
        <v>58.5</v>
      </c>
      <c r="E4600" s="845">
        <f t="shared" si="144"/>
        <v>14.722222222222221</v>
      </c>
    </row>
    <row r="4601" spans="2:5">
      <c r="B4601" s="1115">
        <v>45114</v>
      </c>
      <c r="C4601" s="242">
        <f t="shared" si="143"/>
        <v>7</v>
      </c>
      <c r="D4601" s="242">
        <v>58.6</v>
      </c>
      <c r="E4601" s="845">
        <f t="shared" si="144"/>
        <v>14.777777777777779</v>
      </c>
    </row>
    <row r="4602" spans="2:5">
      <c r="B4602" s="1115">
        <v>45114</v>
      </c>
      <c r="C4602" s="242">
        <f t="shared" si="143"/>
        <v>7</v>
      </c>
      <c r="D4602" s="242">
        <v>59.2</v>
      </c>
      <c r="E4602" s="845">
        <f t="shared" si="144"/>
        <v>15.111111111111112</v>
      </c>
    </row>
    <row r="4603" spans="2:5">
      <c r="B4603" s="1115">
        <v>45114</v>
      </c>
      <c r="C4603" s="242">
        <f t="shared" si="143"/>
        <v>7</v>
      </c>
      <c r="D4603" s="242">
        <v>58.5</v>
      </c>
      <c r="E4603" s="845">
        <f t="shared" si="144"/>
        <v>14.722222222222221</v>
      </c>
    </row>
    <row r="4604" spans="2:5">
      <c r="B4604" s="1115">
        <v>45114</v>
      </c>
      <c r="C4604" s="242">
        <f t="shared" si="143"/>
        <v>7</v>
      </c>
      <c r="D4604" s="242">
        <v>60.4</v>
      </c>
      <c r="E4604" s="845">
        <f t="shared" si="144"/>
        <v>15.777777777777777</v>
      </c>
    </row>
    <row r="4605" spans="2:5">
      <c r="B4605" s="1115">
        <v>45114</v>
      </c>
      <c r="C4605" s="242">
        <f t="shared" si="143"/>
        <v>7</v>
      </c>
      <c r="D4605" s="242">
        <v>63.7</v>
      </c>
      <c r="E4605" s="845">
        <f t="shared" si="144"/>
        <v>17.611111111111111</v>
      </c>
    </row>
    <row r="4606" spans="2:5">
      <c r="B4606" s="1115">
        <v>45114</v>
      </c>
      <c r="C4606" s="242">
        <f t="shared" si="143"/>
        <v>7</v>
      </c>
      <c r="D4606" s="242">
        <v>66.2</v>
      </c>
      <c r="E4606" s="845">
        <f t="shared" si="144"/>
        <v>19</v>
      </c>
    </row>
    <row r="4607" spans="2:5">
      <c r="B4607" s="1115">
        <v>45114</v>
      </c>
      <c r="C4607" s="242">
        <f t="shared" si="143"/>
        <v>7</v>
      </c>
      <c r="D4607" s="242">
        <v>68.2</v>
      </c>
      <c r="E4607" s="845">
        <f t="shared" si="144"/>
        <v>20.111111111111111</v>
      </c>
    </row>
    <row r="4608" spans="2:5">
      <c r="B4608" s="1115">
        <v>45114</v>
      </c>
      <c r="C4608" s="242">
        <f t="shared" si="143"/>
        <v>7</v>
      </c>
      <c r="D4608" s="242">
        <v>69.400000000000006</v>
      </c>
      <c r="E4608" s="845">
        <f t="shared" si="144"/>
        <v>20.777777777777782</v>
      </c>
    </row>
    <row r="4609" spans="2:5">
      <c r="B4609" s="1115">
        <v>45114</v>
      </c>
      <c r="C4609" s="242">
        <f t="shared" si="143"/>
        <v>7</v>
      </c>
      <c r="D4609" s="242">
        <v>69.400000000000006</v>
      </c>
      <c r="E4609" s="845">
        <f t="shared" si="144"/>
        <v>20.777777777777782</v>
      </c>
    </row>
    <row r="4610" spans="2:5">
      <c r="B4610" s="1115">
        <v>45114</v>
      </c>
      <c r="C4610" s="242">
        <f t="shared" si="143"/>
        <v>7</v>
      </c>
      <c r="D4610" s="242">
        <v>65.7</v>
      </c>
      <c r="E4610" s="845">
        <f t="shared" si="144"/>
        <v>18.722222222222225</v>
      </c>
    </row>
    <row r="4611" spans="2:5">
      <c r="B4611" s="1115">
        <v>45114</v>
      </c>
      <c r="C4611" s="242">
        <f t="shared" si="143"/>
        <v>7</v>
      </c>
      <c r="D4611" s="242">
        <v>61.2</v>
      </c>
      <c r="E4611" s="845">
        <f t="shared" si="144"/>
        <v>16.222222222222225</v>
      </c>
    </row>
    <row r="4612" spans="2:5">
      <c r="B4612" s="1115">
        <v>45114</v>
      </c>
      <c r="C4612" s="242">
        <f t="shared" si="143"/>
        <v>7</v>
      </c>
      <c r="D4612" s="242" t="s">
        <v>1849</v>
      </c>
      <c r="E4612" s="845">
        <f t="shared" si="144"/>
        <v>15</v>
      </c>
    </row>
    <row r="4613" spans="2:5">
      <c r="B4613" s="1115">
        <v>45114</v>
      </c>
      <c r="C4613" s="242">
        <f t="shared" si="143"/>
        <v>7</v>
      </c>
      <c r="D4613" s="242">
        <v>59.2</v>
      </c>
      <c r="E4613" s="845">
        <f t="shared" si="144"/>
        <v>15.111111111111112</v>
      </c>
    </row>
    <row r="4614" spans="2:5">
      <c r="B4614" s="1115">
        <v>45114</v>
      </c>
      <c r="C4614" s="242">
        <f t="shared" si="143"/>
        <v>7</v>
      </c>
      <c r="D4614" s="242">
        <v>56.8</v>
      </c>
      <c r="E4614" s="845">
        <f t="shared" si="144"/>
        <v>13.777777777777775</v>
      </c>
    </row>
    <row r="4615" spans="2:5">
      <c r="B4615" s="1115">
        <v>45114</v>
      </c>
      <c r="C4615" s="242">
        <f t="shared" si="143"/>
        <v>7</v>
      </c>
      <c r="D4615" s="242">
        <v>60.3</v>
      </c>
      <c r="E4615" s="845">
        <f t="shared" si="144"/>
        <v>15.72222222222222</v>
      </c>
    </row>
    <row r="4616" spans="2:5">
      <c r="B4616" s="1115">
        <v>45114</v>
      </c>
      <c r="C4616" s="242">
        <f t="shared" si="143"/>
        <v>7</v>
      </c>
      <c r="D4616" s="242" t="s">
        <v>1849</v>
      </c>
      <c r="E4616" s="845">
        <f t="shared" si="144"/>
        <v>15</v>
      </c>
    </row>
    <row r="4617" spans="2:5">
      <c r="B4617" s="1115">
        <v>45115</v>
      </c>
      <c r="C4617" s="242">
        <f t="shared" si="143"/>
        <v>7</v>
      </c>
      <c r="D4617" s="242">
        <v>61.5</v>
      </c>
      <c r="E4617" s="845">
        <f t="shared" si="144"/>
        <v>16.388888888888889</v>
      </c>
    </row>
    <row r="4618" spans="2:5">
      <c r="B4618" s="1115">
        <v>45115</v>
      </c>
      <c r="C4618" s="242">
        <f t="shared" ref="C4618:C4681" si="145">MONTH(B4618)</f>
        <v>7</v>
      </c>
      <c r="D4618" s="242">
        <v>64.900000000000006</v>
      </c>
      <c r="E4618" s="845">
        <f t="shared" ref="E4618:E4681" si="146">CONVERT(D4618,"F","C")</f>
        <v>18.277777777777782</v>
      </c>
    </row>
    <row r="4619" spans="2:5">
      <c r="B4619" s="1115">
        <v>45115</v>
      </c>
      <c r="C4619" s="242">
        <f t="shared" si="145"/>
        <v>7</v>
      </c>
      <c r="D4619" s="242">
        <v>67.5</v>
      </c>
      <c r="E4619" s="845">
        <f t="shared" si="146"/>
        <v>19.722222222222221</v>
      </c>
    </row>
    <row r="4620" spans="2:5">
      <c r="B4620" s="1115">
        <v>45115</v>
      </c>
      <c r="C4620" s="242">
        <f t="shared" si="145"/>
        <v>7</v>
      </c>
      <c r="D4620" s="242">
        <v>68.900000000000006</v>
      </c>
      <c r="E4620" s="845">
        <f t="shared" si="146"/>
        <v>20.500000000000004</v>
      </c>
    </row>
    <row r="4621" spans="2:5">
      <c r="B4621" s="1115">
        <v>45115</v>
      </c>
      <c r="C4621" s="242">
        <f t="shared" si="145"/>
        <v>7</v>
      </c>
      <c r="D4621" s="242">
        <v>69.099999999999994</v>
      </c>
      <c r="E4621" s="845">
        <f t="shared" si="146"/>
        <v>20.611111111111107</v>
      </c>
    </row>
    <row r="4622" spans="2:5">
      <c r="B4622" s="1115">
        <v>45115</v>
      </c>
      <c r="C4622" s="242">
        <f t="shared" si="145"/>
        <v>7</v>
      </c>
      <c r="D4622" s="242">
        <v>65.3</v>
      </c>
      <c r="E4622" s="845">
        <f t="shared" si="146"/>
        <v>18.499999999999996</v>
      </c>
    </row>
    <row r="4623" spans="2:5">
      <c r="B4623" s="1115">
        <v>45115</v>
      </c>
      <c r="C4623" s="242">
        <f t="shared" si="145"/>
        <v>7</v>
      </c>
      <c r="D4623" s="242">
        <v>60.8</v>
      </c>
      <c r="E4623" s="845">
        <f t="shared" si="146"/>
        <v>15.999999999999998</v>
      </c>
    </row>
    <row r="4624" spans="2:5">
      <c r="B4624" s="1115">
        <v>45115</v>
      </c>
      <c r="C4624" s="242">
        <f t="shared" si="145"/>
        <v>7</v>
      </c>
      <c r="D4624" s="242">
        <v>58.5</v>
      </c>
      <c r="E4624" s="845">
        <f t="shared" si="146"/>
        <v>14.722222222222221</v>
      </c>
    </row>
    <row r="4625" spans="2:5">
      <c r="B4625" s="1115">
        <v>45115</v>
      </c>
      <c r="C4625" s="242">
        <f t="shared" si="145"/>
        <v>7</v>
      </c>
      <c r="D4625" s="242">
        <v>55.9</v>
      </c>
      <c r="E4625" s="845">
        <f t="shared" si="146"/>
        <v>13.277777777777777</v>
      </c>
    </row>
    <row r="4626" spans="2:5">
      <c r="B4626" s="1115">
        <v>45115</v>
      </c>
      <c r="C4626" s="242">
        <f t="shared" si="145"/>
        <v>7</v>
      </c>
      <c r="D4626" s="242">
        <v>55.8</v>
      </c>
      <c r="E4626" s="845">
        <f t="shared" si="146"/>
        <v>13.22222222222222</v>
      </c>
    </row>
    <row r="4627" spans="2:5">
      <c r="B4627" s="1115">
        <v>45115</v>
      </c>
      <c r="C4627" s="242">
        <f t="shared" si="145"/>
        <v>7</v>
      </c>
      <c r="D4627" s="242">
        <v>56.3</v>
      </c>
      <c r="E4627" s="845">
        <f t="shared" si="146"/>
        <v>13.499999999999998</v>
      </c>
    </row>
    <row r="4628" spans="2:5">
      <c r="B4628" s="1115">
        <v>45115</v>
      </c>
      <c r="C4628" s="242">
        <f t="shared" si="145"/>
        <v>7</v>
      </c>
      <c r="D4628" s="242">
        <v>55.6</v>
      </c>
      <c r="E4628" s="845">
        <f t="shared" si="146"/>
        <v>13.111111111111111</v>
      </c>
    </row>
    <row r="4629" spans="2:5">
      <c r="B4629" s="1115">
        <v>45115</v>
      </c>
      <c r="C4629" s="242">
        <f t="shared" si="145"/>
        <v>7</v>
      </c>
      <c r="D4629" s="242">
        <v>57.9</v>
      </c>
      <c r="E4629" s="845">
        <f t="shared" si="146"/>
        <v>14.388888888888888</v>
      </c>
    </row>
    <row r="4630" spans="2:5">
      <c r="B4630" s="1115">
        <v>45115</v>
      </c>
      <c r="C4630" s="242">
        <f t="shared" si="145"/>
        <v>7</v>
      </c>
      <c r="D4630" s="242">
        <v>62.1</v>
      </c>
      <c r="E4630" s="845">
        <f t="shared" si="146"/>
        <v>16.722222222222221</v>
      </c>
    </row>
    <row r="4631" spans="2:5">
      <c r="B4631" s="1115">
        <v>45115</v>
      </c>
      <c r="C4631" s="242">
        <f t="shared" si="145"/>
        <v>7</v>
      </c>
      <c r="D4631" s="242">
        <v>65.3</v>
      </c>
      <c r="E4631" s="845">
        <f t="shared" si="146"/>
        <v>18.499999999999996</v>
      </c>
    </row>
    <row r="4632" spans="2:5">
      <c r="B4632" s="1115">
        <v>45115</v>
      </c>
      <c r="C4632" s="242">
        <f t="shared" si="145"/>
        <v>7</v>
      </c>
      <c r="D4632" s="242">
        <v>67.599999999999994</v>
      </c>
      <c r="E4632" s="845">
        <f t="shared" si="146"/>
        <v>19.777777777777775</v>
      </c>
    </row>
    <row r="4633" spans="2:5">
      <c r="B4633" s="1115">
        <v>45115</v>
      </c>
      <c r="C4633" s="242">
        <f t="shared" si="145"/>
        <v>7</v>
      </c>
      <c r="D4633" s="242">
        <v>68.900000000000006</v>
      </c>
      <c r="E4633" s="845">
        <f t="shared" si="146"/>
        <v>20.500000000000004</v>
      </c>
    </row>
    <row r="4634" spans="2:5">
      <c r="B4634" s="1115">
        <v>45115</v>
      </c>
      <c r="C4634" s="242">
        <f t="shared" si="145"/>
        <v>7</v>
      </c>
      <c r="D4634" s="242">
        <v>67.8</v>
      </c>
      <c r="E4634" s="845">
        <f t="shared" si="146"/>
        <v>19.888888888888886</v>
      </c>
    </row>
    <row r="4635" spans="2:5">
      <c r="B4635" s="1115">
        <v>45115</v>
      </c>
      <c r="C4635" s="242">
        <f t="shared" si="145"/>
        <v>7</v>
      </c>
      <c r="D4635" s="242">
        <v>62.6</v>
      </c>
      <c r="E4635" s="845">
        <f t="shared" si="146"/>
        <v>17</v>
      </c>
    </row>
    <row r="4636" spans="2:5">
      <c r="B4636" s="1115">
        <v>45115</v>
      </c>
      <c r="C4636" s="242">
        <f t="shared" si="145"/>
        <v>7</v>
      </c>
      <c r="D4636" s="242">
        <v>62.1</v>
      </c>
      <c r="E4636" s="845">
        <f t="shared" si="146"/>
        <v>16.722222222222221</v>
      </c>
    </row>
    <row r="4637" spans="2:5">
      <c r="B4637" s="1115">
        <v>45115</v>
      </c>
      <c r="C4637" s="242">
        <f t="shared" si="145"/>
        <v>7</v>
      </c>
      <c r="D4637" s="242">
        <v>60.3</v>
      </c>
      <c r="E4637" s="845">
        <f t="shared" si="146"/>
        <v>15.72222222222222</v>
      </c>
    </row>
    <row r="4638" spans="2:5">
      <c r="B4638" s="1115">
        <v>45115</v>
      </c>
      <c r="C4638" s="242">
        <f t="shared" si="145"/>
        <v>7</v>
      </c>
      <c r="D4638" s="242">
        <v>58.8</v>
      </c>
      <c r="E4638" s="845">
        <f t="shared" si="146"/>
        <v>14.888888888888888</v>
      </c>
    </row>
    <row r="4639" spans="2:5">
      <c r="B4639" s="1115">
        <v>45115</v>
      </c>
      <c r="C4639" s="242">
        <f t="shared" si="145"/>
        <v>7</v>
      </c>
      <c r="D4639" s="242">
        <v>58.1</v>
      </c>
      <c r="E4639" s="845">
        <f t="shared" si="146"/>
        <v>14.5</v>
      </c>
    </row>
    <row r="4640" spans="2:5">
      <c r="B4640" s="1115">
        <v>45115</v>
      </c>
      <c r="C4640" s="242">
        <f t="shared" si="145"/>
        <v>7</v>
      </c>
      <c r="D4640" s="242">
        <v>58.3</v>
      </c>
      <c r="E4640" s="845">
        <f t="shared" si="146"/>
        <v>14.611111111111109</v>
      </c>
    </row>
    <row r="4641" spans="2:5">
      <c r="B4641" s="1115">
        <v>45116</v>
      </c>
      <c r="C4641" s="242">
        <f t="shared" si="145"/>
        <v>7</v>
      </c>
      <c r="D4641" s="242">
        <v>59.5</v>
      </c>
      <c r="E4641" s="845">
        <f t="shared" si="146"/>
        <v>15.277777777777777</v>
      </c>
    </row>
    <row r="4642" spans="2:5">
      <c r="B4642" s="1115">
        <v>45116</v>
      </c>
      <c r="C4642" s="242">
        <f t="shared" si="145"/>
        <v>7</v>
      </c>
      <c r="D4642" s="242">
        <v>61.5</v>
      </c>
      <c r="E4642" s="845">
        <f t="shared" si="146"/>
        <v>16.388888888888889</v>
      </c>
    </row>
    <row r="4643" spans="2:5">
      <c r="B4643" s="1115">
        <v>45116</v>
      </c>
      <c r="C4643" s="242">
        <f t="shared" si="145"/>
        <v>7</v>
      </c>
      <c r="D4643" s="242">
        <v>64.400000000000006</v>
      </c>
      <c r="E4643" s="845">
        <f t="shared" si="146"/>
        <v>18.000000000000004</v>
      </c>
    </row>
    <row r="4644" spans="2:5">
      <c r="B4644" s="1115">
        <v>45116</v>
      </c>
      <c r="C4644" s="242">
        <f t="shared" si="145"/>
        <v>7</v>
      </c>
      <c r="D4644" s="242">
        <v>66.900000000000006</v>
      </c>
      <c r="E4644" s="845">
        <f t="shared" si="146"/>
        <v>19.388888888888893</v>
      </c>
    </row>
    <row r="4645" spans="2:5">
      <c r="B4645" s="1115">
        <v>45116</v>
      </c>
      <c r="C4645" s="242">
        <f t="shared" si="145"/>
        <v>7</v>
      </c>
      <c r="D4645" s="242">
        <v>68.2</v>
      </c>
      <c r="E4645" s="845">
        <f t="shared" si="146"/>
        <v>20.111111111111111</v>
      </c>
    </row>
    <row r="4646" spans="2:5">
      <c r="B4646" s="1115">
        <v>45116</v>
      </c>
      <c r="C4646" s="242">
        <f t="shared" si="145"/>
        <v>7</v>
      </c>
      <c r="D4646" s="242">
        <v>68.400000000000006</v>
      </c>
      <c r="E4646" s="845">
        <f t="shared" si="146"/>
        <v>20.222222222222225</v>
      </c>
    </row>
    <row r="4647" spans="2:5">
      <c r="B4647" s="1115">
        <v>45116</v>
      </c>
      <c r="C4647" s="242">
        <f t="shared" si="145"/>
        <v>7</v>
      </c>
      <c r="D4647" s="242">
        <v>65.7</v>
      </c>
      <c r="E4647" s="845">
        <f t="shared" si="146"/>
        <v>18.722222222222225</v>
      </c>
    </row>
    <row r="4648" spans="2:5">
      <c r="B4648" s="1115">
        <v>45116</v>
      </c>
      <c r="C4648" s="242">
        <f t="shared" si="145"/>
        <v>7</v>
      </c>
      <c r="D4648" s="242" t="s">
        <v>1851</v>
      </c>
      <c r="E4648" s="845">
        <f t="shared" si="146"/>
        <v>17.222222222222221</v>
      </c>
    </row>
    <row r="4649" spans="2:5">
      <c r="B4649" s="1115">
        <v>45116</v>
      </c>
      <c r="C4649" s="242">
        <f t="shared" si="145"/>
        <v>7</v>
      </c>
      <c r="D4649" s="242">
        <v>61.2</v>
      </c>
      <c r="E4649" s="845">
        <f t="shared" si="146"/>
        <v>16.222222222222225</v>
      </c>
    </row>
    <row r="4650" spans="2:5">
      <c r="B4650" s="1115">
        <v>45116</v>
      </c>
      <c r="C4650" s="242">
        <f t="shared" si="145"/>
        <v>7</v>
      </c>
      <c r="D4650" s="242">
        <v>59.4</v>
      </c>
      <c r="E4650" s="845">
        <f t="shared" si="146"/>
        <v>15.222222222222221</v>
      </c>
    </row>
    <row r="4651" spans="2:5">
      <c r="B4651" s="1115">
        <v>45116</v>
      </c>
      <c r="C4651" s="242">
        <f t="shared" si="145"/>
        <v>7</v>
      </c>
      <c r="D4651" s="242">
        <v>58.3</v>
      </c>
      <c r="E4651" s="845">
        <f t="shared" si="146"/>
        <v>14.611111111111109</v>
      </c>
    </row>
    <row r="4652" spans="2:5">
      <c r="B4652" s="1115">
        <v>45116</v>
      </c>
      <c r="C4652" s="242">
        <f t="shared" si="145"/>
        <v>7</v>
      </c>
      <c r="D4652" s="242">
        <v>59.7</v>
      </c>
      <c r="E4652" s="845">
        <f t="shared" si="146"/>
        <v>15.388888888888889</v>
      </c>
    </row>
    <row r="4653" spans="2:5">
      <c r="B4653" s="1115">
        <v>45116</v>
      </c>
      <c r="C4653" s="242">
        <f t="shared" si="145"/>
        <v>7</v>
      </c>
      <c r="D4653" s="242">
        <v>59.5</v>
      </c>
      <c r="E4653" s="845">
        <f t="shared" si="146"/>
        <v>15.277777777777777</v>
      </c>
    </row>
    <row r="4654" spans="2:5">
      <c r="B4654" s="1115">
        <v>45116</v>
      </c>
      <c r="C4654" s="242">
        <f t="shared" si="145"/>
        <v>7</v>
      </c>
      <c r="D4654" s="242">
        <v>61.2</v>
      </c>
      <c r="E4654" s="845">
        <f t="shared" si="146"/>
        <v>16.222222222222225</v>
      </c>
    </row>
    <row r="4655" spans="2:5">
      <c r="B4655" s="1115">
        <v>45116</v>
      </c>
      <c r="C4655" s="242">
        <f t="shared" si="145"/>
        <v>7</v>
      </c>
      <c r="D4655" s="242" t="s">
        <v>1852</v>
      </c>
      <c r="E4655" s="845">
        <f t="shared" si="146"/>
        <v>17.777777777777779</v>
      </c>
    </row>
    <row r="4656" spans="2:5">
      <c r="B4656" s="1115">
        <v>45116</v>
      </c>
      <c r="C4656" s="242">
        <f t="shared" si="145"/>
        <v>7</v>
      </c>
      <c r="D4656" s="242">
        <v>66.2</v>
      </c>
      <c r="E4656" s="845">
        <f t="shared" si="146"/>
        <v>19</v>
      </c>
    </row>
    <row r="4657" spans="2:5">
      <c r="B4657" s="1115">
        <v>45116</v>
      </c>
      <c r="C4657" s="242">
        <f t="shared" si="145"/>
        <v>7</v>
      </c>
      <c r="D4657" s="242">
        <v>67.8</v>
      </c>
      <c r="E4657" s="845">
        <f t="shared" si="146"/>
        <v>19.888888888888886</v>
      </c>
    </row>
    <row r="4658" spans="2:5">
      <c r="B4658" s="1115">
        <v>45116</v>
      </c>
      <c r="C4658" s="242">
        <f t="shared" si="145"/>
        <v>7</v>
      </c>
      <c r="D4658" s="242">
        <v>68.7</v>
      </c>
      <c r="E4658" s="845">
        <f t="shared" si="146"/>
        <v>20.388888888888889</v>
      </c>
    </row>
    <row r="4659" spans="2:5">
      <c r="B4659" s="1115">
        <v>45116</v>
      </c>
      <c r="C4659" s="242">
        <f t="shared" si="145"/>
        <v>7</v>
      </c>
      <c r="D4659" s="242">
        <v>67.8</v>
      </c>
      <c r="E4659" s="845">
        <f t="shared" si="146"/>
        <v>19.888888888888886</v>
      </c>
    </row>
    <row r="4660" spans="2:5">
      <c r="B4660" s="1115">
        <v>45116</v>
      </c>
      <c r="C4660" s="242">
        <f t="shared" si="145"/>
        <v>7</v>
      </c>
      <c r="D4660" s="242">
        <v>64.8</v>
      </c>
      <c r="E4660" s="845">
        <f t="shared" si="146"/>
        <v>18.222222222222221</v>
      </c>
    </row>
    <row r="4661" spans="2:5">
      <c r="B4661" s="1115">
        <v>45116</v>
      </c>
      <c r="C4661" s="242">
        <f t="shared" si="145"/>
        <v>7</v>
      </c>
      <c r="D4661" s="242">
        <v>63.7</v>
      </c>
      <c r="E4661" s="845">
        <f t="shared" si="146"/>
        <v>17.611111111111111</v>
      </c>
    </row>
    <row r="4662" spans="2:5">
      <c r="B4662" s="1115">
        <v>45116</v>
      </c>
      <c r="C4662" s="242">
        <f t="shared" si="145"/>
        <v>7</v>
      </c>
      <c r="D4662" s="242">
        <v>62.1</v>
      </c>
      <c r="E4662" s="845">
        <f t="shared" si="146"/>
        <v>16.722222222222221</v>
      </c>
    </row>
    <row r="4663" spans="2:5">
      <c r="B4663" s="1115">
        <v>45116</v>
      </c>
      <c r="C4663" s="242">
        <f t="shared" si="145"/>
        <v>7</v>
      </c>
      <c r="D4663" s="242">
        <v>60.3</v>
      </c>
      <c r="E4663" s="845">
        <f t="shared" si="146"/>
        <v>15.72222222222222</v>
      </c>
    </row>
    <row r="4664" spans="2:5">
      <c r="B4664" s="1115">
        <v>45116</v>
      </c>
      <c r="C4664" s="242">
        <f t="shared" si="145"/>
        <v>7</v>
      </c>
      <c r="D4664" s="242">
        <v>59.5</v>
      </c>
      <c r="E4664" s="845">
        <f t="shared" si="146"/>
        <v>15.277777777777777</v>
      </c>
    </row>
    <row r="4665" spans="2:5">
      <c r="B4665" s="1115">
        <v>45117</v>
      </c>
      <c r="C4665" s="242">
        <f t="shared" si="145"/>
        <v>7</v>
      </c>
      <c r="D4665" s="242">
        <v>61.3</v>
      </c>
      <c r="E4665" s="845">
        <f t="shared" si="146"/>
        <v>16.277777777777775</v>
      </c>
    </row>
    <row r="4666" spans="2:5">
      <c r="B4666" s="1115">
        <v>45117</v>
      </c>
      <c r="C4666" s="242">
        <f t="shared" si="145"/>
        <v>7</v>
      </c>
      <c r="D4666" s="242">
        <v>61.5</v>
      </c>
      <c r="E4666" s="845">
        <f t="shared" si="146"/>
        <v>16.388888888888889</v>
      </c>
    </row>
    <row r="4667" spans="2:5">
      <c r="B4667" s="1115">
        <v>45117</v>
      </c>
      <c r="C4667" s="242">
        <f t="shared" si="145"/>
        <v>7</v>
      </c>
      <c r="D4667" s="242" t="s">
        <v>1851</v>
      </c>
      <c r="E4667" s="845">
        <f t="shared" si="146"/>
        <v>17.222222222222221</v>
      </c>
    </row>
    <row r="4668" spans="2:5">
      <c r="B4668" s="1115">
        <v>45117</v>
      </c>
      <c r="C4668" s="242">
        <f t="shared" si="145"/>
        <v>7</v>
      </c>
      <c r="D4668" s="242">
        <v>65.3</v>
      </c>
      <c r="E4668" s="845">
        <f t="shared" si="146"/>
        <v>18.499999999999996</v>
      </c>
    </row>
    <row r="4669" spans="2:5">
      <c r="B4669" s="1115">
        <v>45117</v>
      </c>
      <c r="C4669" s="242">
        <f t="shared" si="145"/>
        <v>7</v>
      </c>
      <c r="D4669" s="242">
        <v>66.900000000000006</v>
      </c>
      <c r="E4669" s="845">
        <f t="shared" si="146"/>
        <v>19.388888888888893</v>
      </c>
    </row>
    <row r="4670" spans="2:5">
      <c r="B4670" s="1115">
        <v>45117</v>
      </c>
      <c r="C4670" s="242">
        <f t="shared" si="145"/>
        <v>7</v>
      </c>
      <c r="D4670" s="242" t="s">
        <v>1854</v>
      </c>
      <c r="E4670" s="845">
        <f t="shared" si="146"/>
        <v>20</v>
      </c>
    </row>
    <row r="4671" spans="2:5">
      <c r="B4671" s="1115">
        <v>45117</v>
      </c>
      <c r="C4671" s="242">
        <f t="shared" si="145"/>
        <v>7</v>
      </c>
      <c r="D4671" s="242">
        <v>68.2</v>
      </c>
      <c r="E4671" s="845">
        <f t="shared" si="146"/>
        <v>20.111111111111111</v>
      </c>
    </row>
    <row r="4672" spans="2:5">
      <c r="B4672" s="1115">
        <v>45117</v>
      </c>
      <c r="C4672" s="242">
        <f t="shared" si="145"/>
        <v>7</v>
      </c>
      <c r="D4672" s="242" t="s">
        <v>1853</v>
      </c>
      <c r="E4672" s="845">
        <f t="shared" si="146"/>
        <v>18.888888888888889</v>
      </c>
    </row>
    <row r="4673" spans="2:5">
      <c r="B4673" s="1115">
        <v>45117</v>
      </c>
      <c r="C4673" s="242">
        <f t="shared" si="145"/>
        <v>7</v>
      </c>
      <c r="D4673" s="242">
        <v>64.400000000000006</v>
      </c>
      <c r="E4673" s="845">
        <f t="shared" si="146"/>
        <v>18.000000000000004</v>
      </c>
    </row>
    <row r="4674" spans="2:5">
      <c r="B4674" s="1115">
        <v>45117</v>
      </c>
      <c r="C4674" s="242">
        <f t="shared" si="145"/>
        <v>7</v>
      </c>
      <c r="D4674" s="242">
        <v>62.6</v>
      </c>
      <c r="E4674" s="845">
        <f t="shared" si="146"/>
        <v>17</v>
      </c>
    </row>
    <row r="4675" spans="2:5">
      <c r="B4675" s="1115">
        <v>45117</v>
      </c>
      <c r="C4675" s="242">
        <f t="shared" si="145"/>
        <v>7</v>
      </c>
      <c r="D4675" s="242">
        <v>62.4</v>
      </c>
      <c r="E4675" s="845">
        <f t="shared" si="146"/>
        <v>16.888888888888889</v>
      </c>
    </row>
    <row r="4676" spans="2:5">
      <c r="B4676" s="1115">
        <v>45117</v>
      </c>
      <c r="C4676" s="242">
        <f t="shared" si="145"/>
        <v>7</v>
      </c>
      <c r="D4676" s="242">
        <v>61.7</v>
      </c>
      <c r="E4676" s="845">
        <f t="shared" si="146"/>
        <v>16.5</v>
      </c>
    </row>
    <row r="4677" spans="2:5">
      <c r="B4677" s="1115">
        <v>45117</v>
      </c>
      <c r="C4677" s="242">
        <f t="shared" si="145"/>
        <v>7</v>
      </c>
      <c r="D4677" s="242">
        <v>63.1</v>
      </c>
      <c r="E4677" s="845">
        <f t="shared" si="146"/>
        <v>17.277777777777779</v>
      </c>
    </row>
    <row r="4678" spans="2:5">
      <c r="B4678" s="1115">
        <v>45117</v>
      </c>
      <c r="C4678" s="242">
        <f t="shared" si="145"/>
        <v>7</v>
      </c>
      <c r="D4678" s="242" t="s">
        <v>1851</v>
      </c>
      <c r="E4678" s="845">
        <f t="shared" si="146"/>
        <v>17.222222222222221</v>
      </c>
    </row>
    <row r="4679" spans="2:5">
      <c r="B4679" s="1115">
        <v>45117</v>
      </c>
      <c r="C4679" s="242">
        <f t="shared" si="145"/>
        <v>7</v>
      </c>
      <c r="D4679" s="242">
        <v>63.9</v>
      </c>
      <c r="E4679" s="845">
        <f t="shared" si="146"/>
        <v>17.722222222222221</v>
      </c>
    </row>
    <row r="4680" spans="2:5">
      <c r="B4680" s="1115">
        <v>45117</v>
      </c>
      <c r="C4680" s="242">
        <f t="shared" si="145"/>
        <v>7</v>
      </c>
      <c r="D4680" s="242">
        <v>65.3</v>
      </c>
      <c r="E4680" s="845">
        <f t="shared" si="146"/>
        <v>18.499999999999996</v>
      </c>
    </row>
    <row r="4681" spans="2:5">
      <c r="B4681" s="1115">
        <v>45117</v>
      </c>
      <c r="C4681" s="242">
        <f t="shared" si="145"/>
        <v>7</v>
      </c>
      <c r="D4681" s="242">
        <v>66.7</v>
      </c>
      <c r="E4681" s="845">
        <f t="shared" si="146"/>
        <v>19.277777777777779</v>
      </c>
    </row>
    <row r="4682" spans="2:5">
      <c r="B4682" s="1115">
        <v>45117</v>
      </c>
      <c r="C4682" s="242">
        <f t="shared" ref="C4682:C4745" si="147">MONTH(B4682)</f>
        <v>7</v>
      </c>
      <c r="D4682" s="242">
        <v>67.8</v>
      </c>
      <c r="E4682" s="845">
        <f t="shared" ref="E4682:E4745" si="148">CONVERT(D4682,"F","C")</f>
        <v>19.888888888888886</v>
      </c>
    </row>
    <row r="4683" spans="2:5">
      <c r="B4683" s="1115">
        <v>45117</v>
      </c>
      <c r="C4683" s="242">
        <f t="shared" si="147"/>
        <v>7</v>
      </c>
      <c r="D4683" s="242">
        <v>68.400000000000006</v>
      </c>
      <c r="E4683" s="845">
        <f t="shared" si="148"/>
        <v>20.222222222222225</v>
      </c>
    </row>
    <row r="4684" spans="2:5">
      <c r="B4684" s="1115">
        <v>45117</v>
      </c>
      <c r="C4684" s="242">
        <f t="shared" si="147"/>
        <v>7</v>
      </c>
      <c r="D4684" s="242">
        <v>67.599999999999994</v>
      </c>
      <c r="E4684" s="845">
        <f t="shared" si="148"/>
        <v>19.777777777777775</v>
      </c>
    </row>
    <row r="4685" spans="2:5">
      <c r="B4685" s="1115">
        <v>45117</v>
      </c>
      <c r="C4685" s="242">
        <f t="shared" si="147"/>
        <v>7</v>
      </c>
      <c r="D4685" s="242">
        <v>65.3</v>
      </c>
      <c r="E4685" s="845">
        <f t="shared" si="148"/>
        <v>18.499999999999996</v>
      </c>
    </row>
    <row r="4686" spans="2:5">
      <c r="B4686" s="1115">
        <v>45117</v>
      </c>
      <c r="C4686" s="242">
        <f t="shared" si="147"/>
        <v>7</v>
      </c>
      <c r="D4686" s="242">
        <v>63.5</v>
      </c>
      <c r="E4686" s="845">
        <f t="shared" si="148"/>
        <v>17.5</v>
      </c>
    </row>
    <row r="4687" spans="2:5">
      <c r="B4687" s="1115">
        <v>45117</v>
      </c>
      <c r="C4687" s="242">
        <f t="shared" si="147"/>
        <v>7</v>
      </c>
      <c r="D4687" s="242">
        <v>61.9</v>
      </c>
      <c r="E4687" s="845">
        <f t="shared" si="148"/>
        <v>16.611111111111111</v>
      </c>
    </row>
    <row r="4688" spans="2:5">
      <c r="B4688" s="1115">
        <v>45117</v>
      </c>
      <c r="C4688" s="242">
        <f t="shared" si="147"/>
        <v>7</v>
      </c>
      <c r="D4688" s="242">
        <v>61.3</v>
      </c>
      <c r="E4688" s="845">
        <f t="shared" si="148"/>
        <v>16.277777777777775</v>
      </c>
    </row>
    <row r="4689" spans="2:5">
      <c r="B4689" s="1115">
        <v>45118</v>
      </c>
      <c r="C4689" s="242">
        <f t="shared" si="147"/>
        <v>7</v>
      </c>
      <c r="D4689" s="242">
        <v>60.8</v>
      </c>
      <c r="E4689" s="845">
        <f t="shared" si="148"/>
        <v>15.999999999999998</v>
      </c>
    </row>
    <row r="4690" spans="2:5">
      <c r="B4690" s="1115">
        <v>45118</v>
      </c>
      <c r="C4690" s="242">
        <f t="shared" si="147"/>
        <v>7</v>
      </c>
      <c r="D4690" s="242">
        <v>62.2</v>
      </c>
      <c r="E4690" s="845">
        <f t="shared" si="148"/>
        <v>16.777777777777779</v>
      </c>
    </row>
    <row r="4691" spans="2:5">
      <c r="B4691" s="1115">
        <v>45118</v>
      </c>
      <c r="C4691" s="242">
        <f t="shared" si="147"/>
        <v>7</v>
      </c>
      <c r="D4691" s="242">
        <v>62.6</v>
      </c>
      <c r="E4691" s="845">
        <f t="shared" si="148"/>
        <v>17</v>
      </c>
    </row>
    <row r="4692" spans="2:5">
      <c r="B4692" s="1115">
        <v>45118</v>
      </c>
      <c r="C4692" s="242">
        <f t="shared" si="147"/>
        <v>7</v>
      </c>
      <c r="D4692" s="242">
        <v>63.7</v>
      </c>
      <c r="E4692" s="845">
        <f t="shared" si="148"/>
        <v>17.611111111111111</v>
      </c>
    </row>
    <row r="4693" spans="2:5">
      <c r="B4693" s="1115">
        <v>45118</v>
      </c>
      <c r="C4693" s="242">
        <f t="shared" si="147"/>
        <v>7</v>
      </c>
      <c r="D4693" s="242">
        <v>65.5</v>
      </c>
      <c r="E4693" s="845">
        <f t="shared" si="148"/>
        <v>18.611111111111111</v>
      </c>
    </row>
    <row r="4694" spans="2:5">
      <c r="B4694" s="1115">
        <v>45118</v>
      </c>
      <c r="C4694" s="242">
        <f t="shared" si="147"/>
        <v>7</v>
      </c>
      <c r="D4694" s="242">
        <v>66.900000000000006</v>
      </c>
      <c r="E4694" s="845">
        <f t="shared" si="148"/>
        <v>19.388888888888893</v>
      </c>
    </row>
    <row r="4695" spans="2:5">
      <c r="B4695" s="1115">
        <v>45118</v>
      </c>
      <c r="C4695" s="242">
        <f t="shared" si="147"/>
        <v>7</v>
      </c>
      <c r="D4695" s="242">
        <v>67.599999999999994</v>
      </c>
      <c r="E4695" s="845">
        <f t="shared" si="148"/>
        <v>19.777777777777775</v>
      </c>
    </row>
    <row r="4696" spans="2:5">
      <c r="B4696" s="1115">
        <v>45118</v>
      </c>
      <c r="C4696" s="242">
        <f t="shared" si="147"/>
        <v>7</v>
      </c>
      <c r="D4696" s="242" t="s">
        <v>1854</v>
      </c>
      <c r="E4696" s="845">
        <f t="shared" si="148"/>
        <v>20</v>
      </c>
    </row>
    <row r="4697" spans="2:5">
      <c r="B4697" s="1115">
        <v>45118</v>
      </c>
      <c r="C4697" s="242">
        <f t="shared" si="147"/>
        <v>7</v>
      </c>
      <c r="D4697" s="242">
        <v>67.3</v>
      </c>
      <c r="E4697" s="845">
        <f t="shared" si="148"/>
        <v>19.611111111111111</v>
      </c>
    </row>
    <row r="4698" spans="2:5">
      <c r="B4698" s="1115">
        <v>45118</v>
      </c>
      <c r="C4698" s="242">
        <f t="shared" si="147"/>
        <v>7</v>
      </c>
      <c r="D4698" s="242">
        <v>65.099999999999994</v>
      </c>
      <c r="E4698" s="845">
        <f t="shared" si="148"/>
        <v>18.388888888888886</v>
      </c>
    </row>
    <row r="4699" spans="2:5">
      <c r="B4699" s="1115">
        <v>45118</v>
      </c>
      <c r="C4699" s="242">
        <f t="shared" si="147"/>
        <v>7</v>
      </c>
      <c r="D4699" s="242">
        <v>64.8</v>
      </c>
      <c r="E4699" s="845">
        <f t="shared" si="148"/>
        <v>18.222222222222221</v>
      </c>
    </row>
    <row r="4700" spans="2:5">
      <c r="B4700" s="1115">
        <v>45118</v>
      </c>
      <c r="C4700" s="242">
        <f t="shared" si="147"/>
        <v>7</v>
      </c>
      <c r="D4700" s="242">
        <v>63.1</v>
      </c>
      <c r="E4700" s="845">
        <f t="shared" si="148"/>
        <v>17.277777777777779</v>
      </c>
    </row>
    <row r="4701" spans="2:5">
      <c r="B4701" s="1115">
        <v>45118</v>
      </c>
      <c r="C4701" s="242">
        <f t="shared" si="147"/>
        <v>7</v>
      </c>
      <c r="D4701" s="242">
        <v>62.2</v>
      </c>
      <c r="E4701" s="845">
        <f t="shared" si="148"/>
        <v>16.777777777777779</v>
      </c>
    </row>
    <row r="4702" spans="2:5">
      <c r="B4702" s="1115">
        <v>45118</v>
      </c>
      <c r="C4702" s="242">
        <f t="shared" si="147"/>
        <v>7</v>
      </c>
      <c r="D4702" s="242">
        <v>63.5</v>
      </c>
      <c r="E4702" s="845">
        <f t="shared" si="148"/>
        <v>17.5</v>
      </c>
    </row>
    <row r="4703" spans="2:5">
      <c r="B4703" s="1115">
        <v>45118</v>
      </c>
      <c r="C4703" s="242">
        <f t="shared" si="147"/>
        <v>7</v>
      </c>
      <c r="D4703" s="242">
        <v>63.3</v>
      </c>
      <c r="E4703" s="845">
        <f t="shared" si="148"/>
        <v>17.388888888888886</v>
      </c>
    </row>
    <row r="4704" spans="2:5">
      <c r="B4704" s="1115">
        <v>45118</v>
      </c>
      <c r="C4704" s="242">
        <f t="shared" si="147"/>
        <v>7</v>
      </c>
      <c r="D4704" s="242">
        <v>64.599999999999994</v>
      </c>
      <c r="E4704" s="845">
        <f t="shared" si="148"/>
        <v>18.111111111111107</v>
      </c>
    </row>
    <row r="4705" spans="2:5">
      <c r="B4705" s="1115">
        <v>45118</v>
      </c>
      <c r="C4705" s="242">
        <f t="shared" si="147"/>
        <v>7</v>
      </c>
      <c r="D4705" s="242">
        <v>66.2</v>
      </c>
      <c r="E4705" s="845">
        <f t="shared" si="148"/>
        <v>19</v>
      </c>
    </row>
    <row r="4706" spans="2:5">
      <c r="B4706" s="1115">
        <v>45118</v>
      </c>
      <c r="C4706" s="242">
        <f t="shared" si="147"/>
        <v>7</v>
      </c>
      <c r="D4706" s="242">
        <v>67.5</v>
      </c>
      <c r="E4706" s="845">
        <f t="shared" si="148"/>
        <v>19.722222222222221</v>
      </c>
    </row>
    <row r="4707" spans="2:5">
      <c r="B4707" s="1115">
        <v>45118</v>
      </c>
      <c r="C4707" s="242">
        <f t="shared" si="147"/>
        <v>7</v>
      </c>
      <c r="D4707" s="242">
        <v>68.400000000000006</v>
      </c>
      <c r="E4707" s="845">
        <f t="shared" si="148"/>
        <v>20.222222222222225</v>
      </c>
    </row>
    <row r="4708" spans="2:5">
      <c r="B4708" s="1115">
        <v>45118</v>
      </c>
      <c r="C4708" s="242">
        <f t="shared" si="147"/>
        <v>7</v>
      </c>
      <c r="D4708" s="242">
        <v>69.099999999999994</v>
      </c>
      <c r="E4708" s="845">
        <f t="shared" si="148"/>
        <v>20.611111111111107</v>
      </c>
    </row>
    <row r="4709" spans="2:5">
      <c r="B4709" s="1115">
        <v>45118</v>
      </c>
      <c r="C4709" s="242">
        <f t="shared" si="147"/>
        <v>7</v>
      </c>
      <c r="D4709" s="242">
        <v>68.2</v>
      </c>
      <c r="E4709" s="845">
        <f t="shared" si="148"/>
        <v>20.111111111111111</v>
      </c>
    </row>
    <row r="4710" spans="2:5">
      <c r="B4710" s="1115">
        <v>45118</v>
      </c>
      <c r="C4710" s="242">
        <f t="shared" si="147"/>
        <v>7</v>
      </c>
      <c r="D4710" s="242">
        <v>65.7</v>
      </c>
      <c r="E4710" s="845">
        <f t="shared" si="148"/>
        <v>18.722222222222225</v>
      </c>
    </row>
    <row r="4711" spans="2:5">
      <c r="B4711" s="1115">
        <v>45118</v>
      </c>
      <c r="C4711" s="242">
        <f t="shared" si="147"/>
        <v>7</v>
      </c>
      <c r="D4711" s="242">
        <v>65.3</v>
      </c>
      <c r="E4711" s="845">
        <f t="shared" si="148"/>
        <v>18.499999999999996</v>
      </c>
    </row>
    <row r="4712" spans="2:5">
      <c r="B4712" s="1115">
        <v>45118</v>
      </c>
      <c r="C4712" s="242">
        <f t="shared" si="147"/>
        <v>7</v>
      </c>
      <c r="D4712" s="242">
        <v>66.400000000000006</v>
      </c>
      <c r="E4712" s="845">
        <f t="shared" si="148"/>
        <v>19.111111111111114</v>
      </c>
    </row>
    <row r="4713" spans="2:5">
      <c r="B4713" s="1115">
        <v>45119</v>
      </c>
      <c r="C4713" s="242">
        <f t="shared" si="147"/>
        <v>7</v>
      </c>
      <c r="D4713" s="242">
        <v>66.7</v>
      </c>
      <c r="E4713" s="845">
        <f t="shared" si="148"/>
        <v>19.277777777777779</v>
      </c>
    </row>
    <row r="4714" spans="2:5">
      <c r="B4714" s="1115">
        <v>45119</v>
      </c>
      <c r="C4714" s="242">
        <f t="shared" si="147"/>
        <v>7</v>
      </c>
      <c r="D4714" s="242">
        <v>65.5</v>
      </c>
      <c r="E4714" s="845">
        <f t="shared" si="148"/>
        <v>18.611111111111111</v>
      </c>
    </row>
    <row r="4715" spans="2:5">
      <c r="B4715" s="1115">
        <v>45119</v>
      </c>
      <c r="C4715" s="242">
        <f t="shared" si="147"/>
        <v>7</v>
      </c>
      <c r="D4715" s="242">
        <v>66.400000000000006</v>
      </c>
      <c r="E4715" s="845">
        <f t="shared" si="148"/>
        <v>19.111111111111114</v>
      </c>
    </row>
    <row r="4716" spans="2:5">
      <c r="B4716" s="1115">
        <v>45119</v>
      </c>
      <c r="C4716" s="242">
        <f t="shared" si="147"/>
        <v>7</v>
      </c>
      <c r="D4716" s="242">
        <v>66.7</v>
      </c>
      <c r="E4716" s="845">
        <f t="shared" si="148"/>
        <v>19.277777777777779</v>
      </c>
    </row>
    <row r="4717" spans="2:5">
      <c r="B4717" s="1115">
        <v>45119</v>
      </c>
      <c r="C4717" s="242">
        <f t="shared" si="147"/>
        <v>7</v>
      </c>
      <c r="D4717" s="242">
        <v>67.3</v>
      </c>
      <c r="E4717" s="845">
        <f t="shared" si="148"/>
        <v>19.611111111111111</v>
      </c>
    </row>
    <row r="4718" spans="2:5">
      <c r="B4718" s="1115">
        <v>45119</v>
      </c>
      <c r="C4718" s="242">
        <f t="shared" si="147"/>
        <v>7</v>
      </c>
      <c r="D4718" s="242">
        <v>67.8</v>
      </c>
      <c r="E4718" s="845">
        <f t="shared" si="148"/>
        <v>19.888888888888886</v>
      </c>
    </row>
    <row r="4719" spans="2:5">
      <c r="B4719" s="1115">
        <v>45119</v>
      </c>
      <c r="C4719" s="242">
        <f t="shared" si="147"/>
        <v>7</v>
      </c>
      <c r="D4719" s="242">
        <v>68.5</v>
      </c>
      <c r="E4719" s="845">
        <f t="shared" si="148"/>
        <v>20.277777777777779</v>
      </c>
    </row>
    <row r="4720" spans="2:5">
      <c r="B4720" s="1115">
        <v>45119</v>
      </c>
      <c r="C4720" s="242">
        <f t="shared" si="147"/>
        <v>7</v>
      </c>
      <c r="D4720" s="242">
        <v>69.099999999999994</v>
      </c>
      <c r="E4720" s="845">
        <f t="shared" si="148"/>
        <v>20.611111111111107</v>
      </c>
    </row>
    <row r="4721" spans="2:5">
      <c r="B4721" s="1115">
        <v>45119</v>
      </c>
      <c r="C4721" s="242">
        <f t="shared" si="147"/>
        <v>7</v>
      </c>
      <c r="D4721" s="242">
        <v>69.400000000000006</v>
      </c>
      <c r="E4721" s="845">
        <f t="shared" si="148"/>
        <v>20.777777777777782</v>
      </c>
    </row>
    <row r="4722" spans="2:5">
      <c r="B4722" s="1115">
        <v>45119</v>
      </c>
      <c r="C4722" s="242">
        <f t="shared" si="147"/>
        <v>7</v>
      </c>
      <c r="D4722" s="242">
        <v>68.900000000000006</v>
      </c>
      <c r="E4722" s="845">
        <f t="shared" si="148"/>
        <v>20.500000000000004</v>
      </c>
    </row>
    <row r="4723" spans="2:5">
      <c r="B4723" s="1115">
        <v>45119</v>
      </c>
      <c r="C4723" s="242">
        <f t="shared" si="147"/>
        <v>7</v>
      </c>
      <c r="D4723" s="242">
        <v>63.3</v>
      </c>
      <c r="E4723" s="845">
        <f t="shared" si="148"/>
        <v>17.388888888888886</v>
      </c>
    </row>
    <row r="4724" spans="2:5">
      <c r="B4724" s="1115">
        <v>45119</v>
      </c>
      <c r="C4724" s="242">
        <f t="shared" si="147"/>
        <v>7</v>
      </c>
      <c r="D4724" s="242">
        <v>60.8</v>
      </c>
      <c r="E4724" s="845">
        <f t="shared" si="148"/>
        <v>15.999999999999998</v>
      </c>
    </row>
    <row r="4725" spans="2:5">
      <c r="B4725" s="1115">
        <v>45119</v>
      </c>
      <c r="C4725" s="242">
        <f t="shared" si="147"/>
        <v>7</v>
      </c>
      <c r="D4725" s="242">
        <v>60.1</v>
      </c>
      <c r="E4725" s="845">
        <f t="shared" si="148"/>
        <v>15.611111111111111</v>
      </c>
    </row>
    <row r="4726" spans="2:5">
      <c r="B4726" s="1115">
        <v>45119</v>
      </c>
      <c r="C4726" s="242">
        <f t="shared" si="147"/>
        <v>7</v>
      </c>
      <c r="D4726" s="242">
        <v>60.1</v>
      </c>
      <c r="E4726" s="845">
        <f t="shared" si="148"/>
        <v>15.611111111111111</v>
      </c>
    </row>
    <row r="4727" spans="2:5">
      <c r="B4727" s="1115">
        <v>45119</v>
      </c>
      <c r="C4727" s="242">
        <f t="shared" si="147"/>
        <v>7</v>
      </c>
      <c r="D4727" s="242">
        <v>61.9</v>
      </c>
      <c r="E4727" s="845">
        <f t="shared" si="148"/>
        <v>16.611111111111111</v>
      </c>
    </row>
    <row r="4728" spans="2:5">
      <c r="B4728" s="1115">
        <v>45119</v>
      </c>
      <c r="C4728" s="242">
        <f t="shared" si="147"/>
        <v>7</v>
      </c>
      <c r="D4728" s="242">
        <v>61.5</v>
      </c>
      <c r="E4728" s="845">
        <f t="shared" si="148"/>
        <v>16.388888888888889</v>
      </c>
    </row>
    <row r="4729" spans="2:5">
      <c r="B4729" s="1115">
        <v>45119</v>
      </c>
      <c r="C4729" s="242">
        <f t="shared" si="147"/>
        <v>7</v>
      </c>
      <c r="D4729" s="242">
        <v>62.8</v>
      </c>
      <c r="E4729" s="845">
        <f t="shared" si="148"/>
        <v>17.111111111111111</v>
      </c>
    </row>
    <row r="4730" spans="2:5">
      <c r="B4730" s="1115">
        <v>45119</v>
      </c>
      <c r="C4730" s="242">
        <f t="shared" si="147"/>
        <v>7</v>
      </c>
      <c r="D4730" s="242">
        <v>65.5</v>
      </c>
      <c r="E4730" s="845">
        <f t="shared" si="148"/>
        <v>18.611111111111111</v>
      </c>
    </row>
    <row r="4731" spans="2:5">
      <c r="B4731" s="1115">
        <v>45119</v>
      </c>
      <c r="C4731" s="242">
        <f t="shared" si="147"/>
        <v>7</v>
      </c>
      <c r="D4731" s="242">
        <v>68.2</v>
      </c>
      <c r="E4731" s="845">
        <f t="shared" si="148"/>
        <v>20.111111111111111</v>
      </c>
    </row>
    <row r="4732" spans="2:5">
      <c r="B4732" s="1115">
        <v>45119</v>
      </c>
      <c r="C4732" s="242">
        <f t="shared" si="147"/>
        <v>7</v>
      </c>
      <c r="D4732" s="242">
        <v>69.400000000000006</v>
      </c>
      <c r="E4732" s="845">
        <f t="shared" si="148"/>
        <v>20.777777777777782</v>
      </c>
    </row>
    <row r="4733" spans="2:5">
      <c r="B4733" s="1115">
        <v>45119</v>
      </c>
      <c r="C4733" s="242">
        <f t="shared" si="147"/>
        <v>7</v>
      </c>
      <c r="D4733" s="242" t="s">
        <v>1855</v>
      </c>
      <c r="E4733" s="845">
        <f t="shared" si="148"/>
        <v>21.111111111111111</v>
      </c>
    </row>
    <row r="4734" spans="2:5">
      <c r="B4734" s="1115">
        <v>45119</v>
      </c>
      <c r="C4734" s="242">
        <f t="shared" si="147"/>
        <v>7</v>
      </c>
      <c r="D4734" s="242">
        <v>68.900000000000006</v>
      </c>
      <c r="E4734" s="845">
        <f t="shared" si="148"/>
        <v>20.500000000000004</v>
      </c>
    </row>
    <row r="4735" spans="2:5">
      <c r="B4735" s="1115">
        <v>45119</v>
      </c>
      <c r="C4735" s="242">
        <f t="shared" si="147"/>
        <v>7</v>
      </c>
      <c r="D4735" s="242">
        <v>65.3</v>
      </c>
      <c r="E4735" s="845">
        <f t="shared" si="148"/>
        <v>18.499999999999996</v>
      </c>
    </row>
    <row r="4736" spans="2:5">
      <c r="B4736" s="1115">
        <v>45119</v>
      </c>
      <c r="C4736" s="242">
        <f t="shared" si="147"/>
        <v>7</v>
      </c>
      <c r="D4736" s="242">
        <v>63.7</v>
      </c>
      <c r="E4736" s="845">
        <f t="shared" si="148"/>
        <v>17.611111111111111</v>
      </c>
    </row>
    <row r="4737" spans="2:5">
      <c r="B4737" s="1115">
        <v>45120</v>
      </c>
      <c r="C4737" s="242">
        <f t="shared" si="147"/>
        <v>7</v>
      </c>
      <c r="D4737" s="242">
        <v>62.1</v>
      </c>
      <c r="E4737" s="845">
        <f t="shared" si="148"/>
        <v>16.722222222222221</v>
      </c>
    </row>
    <row r="4738" spans="2:5">
      <c r="B4738" s="1115">
        <v>45120</v>
      </c>
      <c r="C4738" s="242">
        <f t="shared" si="147"/>
        <v>7</v>
      </c>
      <c r="D4738" s="242">
        <v>61.5</v>
      </c>
      <c r="E4738" s="845">
        <f t="shared" si="148"/>
        <v>16.388888888888889</v>
      </c>
    </row>
    <row r="4739" spans="2:5">
      <c r="B4739" s="1115">
        <v>45120</v>
      </c>
      <c r="C4739" s="242">
        <f t="shared" si="147"/>
        <v>7</v>
      </c>
      <c r="D4739" s="242">
        <v>61.5</v>
      </c>
      <c r="E4739" s="845">
        <f t="shared" si="148"/>
        <v>16.388888888888889</v>
      </c>
    </row>
    <row r="4740" spans="2:5">
      <c r="B4740" s="1115">
        <v>45120</v>
      </c>
      <c r="C4740" s="242">
        <f t="shared" si="147"/>
        <v>7</v>
      </c>
      <c r="D4740" s="242">
        <v>61.9</v>
      </c>
      <c r="E4740" s="845">
        <f t="shared" si="148"/>
        <v>16.611111111111111</v>
      </c>
    </row>
    <row r="4741" spans="2:5">
      <c r="B4741" s="1115">
        <v>45120</v>
      </c>
      <c r="C4741" s="242">
        <f t="shared" si="147"/>
        <v>7</v>
      </c>
      <c r="D4741" s="242">
        <v>62.4</v>
      </c>
      <c r="E4741" s="845">
        <f t="shared" si="148"/>
        <v>16.888888888888889</v>
      </c>
    </row>
    <row r="4742" spans="2:5">
      <c r="B4742" s="1115">
        <v>45120</v>
      </c>
      <c r="C4742" s="242">
        <f t="shared" si="147"/>
        <v>7</v>
      </c>
      <c r="D4742" s="242">
        <v>64.2</v>
      </c>
      <c r="E4742" s="845">
        <f t="shared" si="148"/>
        <v>17.888888888888889</v>
      </c>
    </row>
    <row r="4743" spans="2:5">
      <c r="B4743" s="1115">
        <v>45120</v>
      </c>
      <c r="C4743" s="242">
        <f t="shared" si="147"/>
        <v>7</v>
      </c>
      <c r="D4743" s="242">
        <v>66.7</v>
      </c>
      <c r="E4743" s="845">
        <f t="shared" si="148"/>
        <v>19.277777777777779</v>
      </c>
    </row>
    <row r="4744" spans="2:5">
      <c r="B4744" s="1115">
        <v>45120</v>
      </c>
      <c r="C4744" s="242">
        <f t="shared" si="147"/>
        <v>7</v>
      </c>
      <c r="D4744" s="242">
        <v>68.400000000000006</v>
      </c>
      <c r="E4744" s="845">
        <f t="shared" si="148"/>
        <v>20.222222222222225</v>
      </c>
    </row>
    <row r="4745" spans="2:5">
      <c r="B4745" s="1115">
        <v>45120</v>
      </c>
      <c r="C4745" s="242">
        <f t="shared" si="147"/>
        <v>7</v>
      </c>
      <c r="D4745" s="242">
        <v>69.3</v>
      </c>
      <c r="E4745" s="845">
        <f t="shared" si="148"/>
        <v>20.722222222222221</v>
      </c>
    </row>
    <row r="4746" spans="2:5">
      <c r="B4746" s="1115">
        <v>45120</v>
      </c>
      <c r="C4746" s="242">
        <f t="shared" ref="C4746:C4809" si="149">MONTH(B4746)</f>
        <v>7</v>
      </c>
      <c r="D4746" s="242">
        <v>69.599999999999994</v>
      </c>
      <c r="E4746" s="845">
        <f t="shared" ref="E4746:E4809" si="150">CONVERT(D4746,"F","C")</f>
        <v>20.888888888888886</v>
      </c>
    </row>
    <row r="4747" spans="2:5">
      <c r="B4747" s="1115">
        <v>45120</v>
      </c>
      <c r="C4747" s="242">
        <f t="shared" si="149"/>
        <v>7</v>
      </c>
      <c r="D4747" s="242">
        <v>68.900000000000006</v>
      </c>
      <c r="E4747" s="845">
        <f t="shared" si="150"/>
        <v>20.500000000000004</v>
      </c>
    </row>
    <row r="4748" spans="2:5">
      <c r="B4748" s="1115">
        <v>45120</v>
      </c>
      <c r="C4748" s="242">
        <f t="shared" si="149"/>
        <v>7</v>
      </c>
      <c r="D4748" s="242">
        <v>65.7</v>
      </c>
      <c r="E4748" s="845">
        <f t="shared" si="150"/>
        <v>18.722222222222225</v>
      </c>
    </row>
    <row r="4749" spans="2:5">
      <c r="B4749" s="1115">
        <v>45120</v>
      </c>
      <c r="C4749" s="242">
        <f t="shared" si="149"/>
        <v>7</v>
      </c>
      <c r="D4749" s="242">
        <v>62.1</v>
      </c>
      <c r="E4749" s="845">
        <f t="shared" si="150"/>
        <v>16.722222222222221</v>
      </c>
    </row>
    <row r="4750" spans="2:5">
      <c r="B4750" s="1115">
        <v>45120</v>
      </c>
      <c r="C4750" s="242">
        <f t="shared" si="149"/>
        <v>7</v>
      </c>
      <c r="D4750" s="242">
        <v>61.9</v>
      </c>
      <c r="E4750" s="845">
        <f t="shared" si="150"/>
        <v>16.611111111111111</v>
      </c>
    </row>
    <row r="4751" spans="2:5">
      <c r="B4751" s="1115">
        <v>45120</v>
      </c>
      <c r="C4751" s="242">
        <f t="shared" si="149"/>
        <v>7</v>
      </c>
      <c r="D4751" s="242">
        <v>59.5</v>
      </c>
      <c r="E4751" s="845">
        <f t="shared" si="150"/>
        <v>15.277777777777777</v>
      </c>
    </row>
    <row r="4752" spans="2:5">
      <c r="B4752" s="1115">
        <v>45120</v>
      </c>
      <c r="C4752" s="242">
        <f t="shared" si="149"/>
        <v>7</v>
      </c>
      <c r="D4752" s="242" t="s">
        <v>1850</v>
      </c>
      <c r="E4752" s="845">
        <f t="shared" si="150"/>
        <v>16.111111111111111</v>
      </c>
    </row>
    <row r="4753" spans="2:5">
      <c r="B4753" s="1115">
        <v>45120</v>
      </c>
      <c r="C4753" s="242">
        <f t="shared" si="149"/>
        <v>7</v>
      </c>
      <c r="D4753" s="242">
        <v>61.2</v>
      </c>
      <c r="E4753" s="845">
        <f t="shared" si="150"/>
        <v>16.222222222222225</v>
      </c>
    </row>
    <row r="4754" spans="2:5">
      <c r="B4754" s="1115">
        <v>45120</v>
      </c>
      <c r="C4754" s="242">
        <f t="shared" si="149"/>
        <v>7</v>
      </c>
      <c r="D4754" s="242">
        <v>62.8</v>
      </c>
      <c r="E4754" s="845">
        <f t="shared" si="150"/>
        <v>17.111111111111111</v>
      </c>
    </row>
    <row r="4755" spans="2:5">
      <c r="B4755" s="1115">
        <v>45120</v>
      </c>
      <c r="C4755" s="242">
        <f t="shared" si="149"/>
        <v>7</v>
      </c>
      <c r="D4755" s="242">
        <v>65.5</v>
      </c>
      <c r="E4755" s="845">
        <f t="shared" si="150"/>
        <v>18.611111111111111</v>
      </c>
    </row>
    <row r="4756" spans="2:5">
      <c r="B4756" s="1115">
        <v>45120</v>
      </c>
      <c r="C4756" s="242">
        <f t="shared" si="149"/>
        <v>7</v>
      </c>
      <c r="D4756" s="242" t="s">
        <v>1854</v>
      </c>
      <c r="E4756" s="845">
        <f t="shared" si="150"/>
        <v>20</v>
      </c>
    </row>
    <row r="4757" spans="2:5">
      <c r="B4757" s="1115">
        <v>45120</v>
      </c>
      <c r="C4757" s="242">
        <f t="shared" si="149"/>
        <v>7</v>
      </c>
      <c r="D4757" s="242">
        <v>69.3</v>
      </c>
      <c r="E4757" s="845">
        <f t="shared" si="150"/>
        <v>20.722222222222221</v>
      </c>
    </row>
    <row r="4758" spans="2:5">
      <c r="B4758" s="1115">
        <v>45120</v>
      </c>
      <c r="C4758" s="242">
        <f t="shared" si="149"/>
        <v>7</v>
      </c>
      <c r="D4758" s="242">
        <v>69.8</v>
      </c>
      <c r="E4758" s="845">
        <f t="shared" si="150"/>
        <v>20.999999999999996</v>
      </c>
    </row>
    <row r="4759" spans="2:5">
      <c r="B4759" s="1115">
        <v>45120</v>
      </c>
      <c r="C4759" s="242">
        <f t="shared" si="149"/>
        <v>7</v>
      </c>
      <c r="D4759" s="242" t="s">
        <v>603</v>
      </c>
      <c r="E4759" s="845"/>
    </row>
    <row r="4760" spans="2:5">
      <c r="B4760" s="1115">
        <v>45120</v>
      </c>
      <c r="C4760" s="242">
        <f t="shared" si="149"/>
        <v>7</v>
      </c>
      <c r="D4760" s="242">
        <v>64.900000000000006</v>
      </c>
      <c r="E4760" s="845">
        <f t="shared" si="150"/>
        <v>18.277777777777782</v>
      </c>
    </row>
    <row r="4761" spans="2:5">
      <c r="B4761" s="1115">
        <v>45121</v>
      </c>
      <c r="C4761" s="242">
        <f t="shared" si="149"/>
        <v>7</v>
      </c>
      <c r="D4761" s="242">
        <v>64.2</v>
      </c>
      <c r="E4761" s="845">
        <f t="shared" si="150"/>
        <v>17.888888888888889</v>
      </c>
    </row>
    <row r="4762" spans="2:5">
      <c r="B4762" s="1115">
        <v>45121</v>
      </c>
      <c r="C4762" s="242">
        <f t="shared" si="149"/>
        <v>7</v>
      </c>
      <c r="D4762" s="242">
        <v>62.4</v>
      </c>
      <c r="E4762" s="845">
        <f t="shared" si="150"/>
        <v>16.888888888888889</v>
      </c>
    </row>
    <row r="4763" spans="2:5">
      <c r="B4763" s="1115">
        <v>45121</v>
      </c>
      <c r="C4763" s="242">
        <f t="shared" si="149"/>
        <v>7</v>
      </c>
      <c r="D4763" s="242">
        <v>62.6</v>
      </c>
      <c r="E4763" s="845">
        <f t="shared" si="150"/>
        <v>17</v>
      </c>
    </row>
    <row r="4764" spans="2:5">
      <c r="B4764" s="1115">
        <v>45121</v>
      </c>
      <c r="C4764" s="242">
        <f t="shared" si="149"/>
        <v>7</v>
      </c>
      <c r="D4764" s="242">
        <v>63.7</v>
      </c>
      <c r="E4764" s="845">
        <f t="shared" si="150"/>
        <v>17.611111111111111</v>
      </c>
    </row>
    <row r="4765" spans="2:5">
      <c r="B4765" s="1115">
        <v>45121</v>
      </c>
      <c r="C4765" s="242">
        <f t="shared" si="149"/>
        <v>7</v>
      </c>
      <c r="D4765" s="242">
        <v>63.9</v>
      </c>
      <c r="E4765" s="845">
        <f t="shared" si="150"/>
        <v>17.722222222222221</v>
      </c>
    </row>
    <row r="4766" spans="2:5">
      <c r="B4766" s="1115">
        <v>45121</v>
      </c>
      <c r="C4766" s="242">
        <f t="shared" si="149"/>
        <v>7</v>
      </c>
      <c r="D4766" s="242" t="s">
        <v>1852</v>
      </c>
      <c r="E4766" s="845">
        <f t="shared" si="150"/>
        <v>17.777777777777779</v>
      </c>
    </row>
    <row r="4767" spans="2:5">
      <c r="B4767" s="1115">
        <v>45121</v>
      </c>
      <c r="C4767" s="242">
        <f t="shared" si="149"/>
        <v>7</v>
      </c>
      <c r="D4767" s="242">
        <v>65.3</v>
      </c>
      <c r="E4767" s="845">
        <f t="shared" si="150"/>
        <v>18.499999999999996</v>
      </c>
    </row>
    <row r="4768" spans="2:5">
      <c r="B4768" s="1115">
        <v>45121</v>
      </c>
      <c r="C4768" s="242">
        <f t="shared" si="149"/>
        <v>7</v>
      </c>
      <c r="D4768" s="242">
        <v>67.3</v>
      </c>
      <c r="E4768" s="845">
        <f t="shared" si="150"/>
        <v>19.611111111111111</v>
      </c>
    </row>
    <row r="4769" spans="2:5">
      <c r="B4769" s="1115">
        <v>45121</v>
      </c>
      <c r="C4769" s="242">
        <f t="shared" si="149"/>
        <v>7</v>
      </c>
      <c r="D4769" s="242">
        <v>68.7</v>
      </c>
      <c r="E4769" s="845">
        <f t="shared" si="150"/>
        <v>20.388888888888889</v>
      </c>
    </row>
    <row r="4770" spans="2:5">
      <c r="B4770" s="1115">
        <v>45121</v>
      </c>
      <c r="C4770" s="242">
        <f t="shared" si="149"/>
        <v>7</v>
      </c>
      <c r="D4770" s="242">
        <v>69.599999999999994</v>
      </c>
      <c r="E4770" s="845">
        <f t="shared" si="150"/>
        <v>20.888888888888886</v>
      </c>
    </row>
    <row r="4771" spans="2:5">
      <c r="B4771" s="1115">
        <v>45121</v>
      </c>
      <c r="C4771" s="242">
        <f t="shared" si="149"/>
        <v>7</v>
      </c>
      <c r="D4771" s="242" t="s">
        <v>1855</v>
      </c>
      <c r="E4771" s="845">
        <f t="shared" si="150"/>
        <v>21.111111111111111</v>
      </c>
    </row>
    <row r="4772" spans="2:5">
      <c r="B4772" s="1115">
        <v>45121</v>
      </c>
      <c r="C4772" s="242">
        <f t="shared" si="149"/>
        <v>7</v>
      </c>
      <c r="D4772" s="242">
        <v>69.099999999999994</v>
      </c>
      <c r="E4772" s="845">
        <f t="shared" si="150"/>
        <v>20.611111111111107</v>
      </c>
    </row>
    <row r="4773" spans="2:5">
      <c r="B4773" s="1115">
        <v>45121</v>
      </c>
      <c r="C4773" s="242">
        <f t="shared" si="149"/>
        <v>7</v>
      </c>
      <c r="D4773" s="242">
        <v>64.400000000000006</v>
      </c>
      <c r="E4773" s="845">
        <f t="shared" si="150"/>
        <v>18.000000000000004</v>
      </c>
    </row>
    <row r="4774" spans="2:5">
      <c r="B4774" s="1115">
        <v>45121</v>
      </c>
      <c r="C4774" s="242">
        <f t="shared" si="149"/>
        <v>7</v>
      </c>
      <c r="D4774" s="242">
        <v>63.5</v>
      </c>
      <c r="E4774" s="845">
        <f t="shared" si="150"/>
        <v>17.5</v>
      </c>
    </row>
    <row r="4775" spans="2:5">
      <c r="B4775" s="1115">
        <v>45121</v>
      </c>
      <c r="C4775" s="242">
        <f t="shared" si="149"/>
        <v>7</v>
      </c>
      <c r="D4775" s="242">
        <v>59.4</v>
      </c>
      <c r="E4775" s="845">
        <f t="shared" si="150"/>
        <v>15.222222222222221</v>
      </c>
    </row>
    <row r="4776" spans="2:5">
      <c r="B4776" s="1115">
        <v>45121</v>
      </c>
      <c r="C4776" s="242">
        <f t="shared" si="149"/>
        <v>7</v>
      </c>
      <c r="D4776" s="242">
        <v>58.8</v>
      </c>
      <c r="E4776" s="845">
        <f t="shared" si="150"/>
        <v>14.888888888888888</v>
      </c>
    </row>
    <row r="4777" spans="2:5">
      <c r="B4777" s="1115">
        <v>45121</v>
      </c>
      <c r="C4777" s="242">
        <f t="shared" si="149"/>
        <v>7</v>
      </c>
      <c r="D4777" s="242">
        <v>59.5</v>
      </c>
      <c r="E4777" s="845">
        <f t="shared" si="150"/>
        <v>15.277777777777777</v>
      </c>
    </row>
    <row r="4778" spans="2:5">
      <c r="B4778" s="1115">
        <v>45121</v>
      </c>
      <c r="C4778" s="242">
        <f t="shared" si="149"/>
        <v>7</v>
      </c>
      <c r="D4778" s="242">
        <v>60.1</v>
      </c>
      <c r="E4778" s="845">
        <f t="shared" si="150"/>
        <v>15.611111111111111</v>
      </c>
    </row>
    <row r="4779" spans="2:5">
      <c r="B4779" s="1115">
        <v>45121</v>
      </c>
      <c r="C4779" s="242">
        <f t="shared" si="149"/>
        <v>7</v>
      </c>
      <c r="D4779" s="242">
        <v>61.9</v>
      </c>
      <c r="E4779" s="845">
        <f t="shared" si="150"/>
        <v>16.611111111111111</v>
      </c>
    </row>
    <row r="4780" spans="2:5">
      <c r="B4780" s="1115">
        <v>45121</v>
      </c>
      <c r="C4780" s="242">
        <f t="shared" si="149"/>
        <v>7</v>
      </c>
      <c r="D4780" s="242">
        <v>65.3</v>
      </c>
      <c r="E4780" s="845">
        <f t="shared" si="150"/>
        <v>18.499999999999996</v>
      </c>
    </row>
    <row r="4781" spans="2:5">
      <c r="B4781" s="1115">
        <v>45121</v>
      </c>
      <c r="C4781" s="242">
        <f t="shared" si="149"/>
        <v>7</v>
      </c>
      <c r="D4781" s="242" t="s">
        <v>1854</v>
      </c>
      <c r="E4781" s="845">
        <f t="shared" si="150"/>
        <v>20</v>
      </c>
    </row>
    <row r="4782" spans="2:5">
      <c r="B4782" s="1115">
        <v>45121</v>
      </c>
      <c r="C4782" s="242">
        <f t="shared" si="149"/>
        <v>7</v>
      </c>
      <c r="D4782" s="242">
        <v>69.400000000000006</v>
      </c>
      <c r="E4782" s="845">
        <f t="shared" si="150"/>
        <v>20.777777777777782</v>
      </c>
    </row>
    <row r="4783" spans="2:5">
      <c r="B4783" s="1115">
        <v>45121</v>
      </c>
      <c r="C4783" s="242">
        <f t="shared" si="149"/>
        <v>7</v>
      </c>
      <c r="D4783" s="242">
        <v>69.599999999999994</v>
      </c>
      <c r="E4783" s="845">
        <f t="shared" si="150"/>
        <v>20.888888888888886</v>
      </c>
    </row>
    <row r="4784" spans="2:5">
      <c r="B4784" s="1115">
        <v>45121</v>
      </c>
      <c r="C4784" s="242">
        <f t="shared" si="149"/>
        <v>7</v>
      </c>
      <c r="D4784" s="242">
        <v>66.400000000000006</v>
      </c>
      <c r="E4784" s="845">
        <f t="shared" si="150"/>
        <v>19.111111111111114</v>
      </c>
    </row>
    <row r="4785" spans="2:5">
      <c r="B4785" s="1115">
        <v>45122</v>
      </c>
      <c r="C4785" s="242">
        <f t="shared" si="149"/>
        <v>7</v>
      </c>
      <c r="D4785" s="242">
        <v>63.7</v>
      </c>
      <c r="E4785" s="845">
        <f t="shared" si="150"/>
        <v>17.611111111111111</v>
      </c>
    </row>
    <row r="4786" spans="2:5">
      <c r="B4786" s="1115">
        <v>45122</v>
      </c>
      <c r="C4786" s="242">
        <f t="shared" si="149"/>
        <v>7</v>
      </c>
      <c r="D4786" s="242">
        <v>62.4</v>
      </c>
      <c r="E4786" s="845">
        <f t="shared" si="150"/>
        <v>16.888888888888889</v>
      </c>
    </row>
    <row r="4787" spans="2:5">
      <c r="B4787" s="1115">
        <v>45122</v>
      </c>
      <c r="C4787" s="242">
        <f t="shared" si="149"/>
        <v>7</v>
      </c>
      <c r="D4787" s="242">
        <v>61.9</v>
      </c>
      <c r="E4787" s="845">
        <f t="shared" si="150"/>
        <v>16.611111111111111</v>
      </c>
    </row>
    <row r="4788" spans="2:5">
      <c r="B4788" s="1115">
        <v>45122</v>
      </c>
      <c r="C4788" s="242">
        <f t="shared" si="149"/>
        <v>7</v>
      </c>
      <c r="D4788" s="242">
        <v>60.8</v>
      </c>
      <c r="E4788" s="845">
        <f t="shared" si="150"/>
        <v>15.999999999999998</v>
      </c>
    </row>
    <row r="4789" spans="2:5">
      <c r="B4789" s="1115">
        <v>45122</v>
      </c>
      <c r="C4789" s="242">
        <f t="shared" si="149"/>
        <v>7</v>
      </c>
      <c r="D4789" s="242">
        <v>60.3</v>
      </c>
      <c r="E4789" s="845">
        <f t="shared" si="150"/>
        <v>15.72222222222222</v>
      </c>
    </row>
    <row r="4790" spans="2:5">
      <c r="B4790" s="1115">
        <v>45122</v>
      </c>
      <c r="C4790" s="242">
        <f t="shared" si="149"/>
        <v>7</v>
      </c>
      <c r="D4790" s="242">
        <v>60.6</v>
      </c>
      <c r="E4790" s="845">
        <f t="shared" si="150"/>
        <v>15.888888888888889</v>
      </c>
    </row>
    <row r="4791" spans="2:5">
      <c r="B4791" s="1115">
        <v>45122</v>
      </c>
      <c r="C4791" s="242">
        <f t="shared" si="149"/>
        <v>7</v>
      </c>
      <c r="D4791" s="242">
        <v>62.1</v>
      </c>
      <c r="E4791" s="845">
        <f t="shared" si="150"/>
        <v>16.722222222222221</v>
      </c>
    </row>
    <row r="4792" spans="2:5">
      <c r="B4792" s="1115">
        <v>45122</v>
      </c>
      <c r="C4792" s="242">
        <f t="shared" si="149"/>
        <v>7</v>
      </c>
      <c r="D4792" s="242">
        <v>64.400000000000006</v>
      </c>
      <c r="E4792" s="845">
        <f t="shared" si="150"/>
        <v>18.000000000000004</v>
      </c>
    </row>
    <row r="4793" spans="2:5">
      <c r="B4793" s="1115">
        <v>45122</v>
      </c>
      <c r="C4793" s="242">
        <f t="shared" si="149"/>
        <v>7</v>
      </c>
      <c r="D4793" s="242">
        <v>66.599999999999994</v>
      </c>
      <c r="E4793" s="845">
        <f t="shared" si="150"/>
        <v>19.222222222222218</v>
      </c>
    </row>
    <row r="4794" spans="2:5">
      <c r="B4794" s="1115">
        <v>45122</v>
      </c>
      <c r="C4794" s="242">
        <f t="shared" si="149"/>
        <v>7</v>
      </c>
      <c r="D4794" s="242">
        <v>68.400000000000006</v>
      </c>
      <c r="E4794" s="845">
        <f t="shared" si="150"/>
        <v>20.222222222222225</v>
      </c>
    </row>
    <row r="4795" spans="2:5">
      <c r="B4795" s="1115">
        <v>45122</v>
      </c>
      <c r="C4795" s="242">
        <f t="shared" si="149"/>
        <v>7</v>
      </c>
      <c r="D4795" s="242">
        <v>69.400000000000006</v>
      </c>
      <c r="E4795" s="845">
        <f t="shared" si="150"/>
        <v>20.777777777777782</v>
      </c>
    </row>
    <row r="4796" spans="2:5">
      <c r="B4796" s="1115">
        <v>45122</v>
      </c>
      <c r="C4796" s="242">
        <f t="shared" si="149"/>
        <v>7</v>
      </c>
      <c r="D4796" s="242">
        <v>69.599999999999994</v>
      </c>
      <c r="E4796" s="845">
        <f t="shared" si="150"/>
        <v>20.888888888888886</v>
      </c>
    </row>
    <row r="4797" spans="2:5">
      <c r="B4797" s="1115">
        <v>45122</v>
      </c>
      <c r="C4797" s="242">
        <f t="shared" si="149"/>
        <v>7</v>
      </c>
      <c r="D4797" s="242">
        <v>67.8</v>
      </c>
      <c r="E4797" s="845">
        <f t="shared" si="150"/>
        <v>19.888888888888886</v>
      </c>
    </row>
    <row r="4798" spans="2:5">
      <c r="B4798" s="1115">
        <v>45122</v>
      </c>
      <c r="C4798" s="242">
        <f t="shared" si="149"/>
        <v>7</v>
      </c>
      <c r="D4798" s="242" t="s">
        <v>1852</v>
      </c>
      <c r="E4798" s="845">
        <f t="shared" si="150"/>
        <v>17.777777777777779</v>
      </c>
    </row>
    <row r="4799" spans="2:5">
      <c r="B4799" s="1115">
        <v>45122</v>
      </c>
      <c r="C4799" s="242">
        <f t="shared" si="149"/>
        <v>7</v>
      </c>
      <c r="D4799" s="242">
        <v>61.3</v>
      </c>
      <c r="E4799" s="845">
        <f t="shared" si="150"/>
        <v>16.277777777777775</v>
      </c>
    </row>
    <row r="4800" spans="2:5">
      <c r="B4800" s="1115">
        <v>45122</v>
      </c>
      <c r="C4800" s="242">
        <f t="shared" si="149"/>
        <v>7</v>
      </c>
      <c r="D4800" s="242">
        <v>60.8</v>
      </c>
      <c r="E4800" s="845">
        <f t="shared" si="150"/>
        <v>15.999999999999998</v>
      </c>
    </row>
    <row r="4801" spans="2:5">
      <c r="B4801" s="1115">
        <v>45122</v>
      </c>
      <c r="C4801" s="242">
        <f t="shared" si="149"/>
        <v>7</v>
      </c>
      <c r="D4801" s="242">
        <v>58.6</v>
      </c>
      <c r="E4801" s="845">
        <f t="shared" si="150"/>
        <v>14.777777777777779</v>
      </c>
    </row>
    <row r="4802" spans="2:5">
      <c r="B4802" s="1115">
        <v>45122</v>
      </c>
      <c r="C4802" s="242">
        <f t="shared" si="149"/>
        <v>7</v>
      </c>
      <c r="D4802" s="242">
        <v>61.3</v>
      </c>
      <c r="E4802" s="845">
        <f t="shared" si="150"/>
        <v>16.277777777777775</v>
      </c>
    </row>
    <row r="4803" spans="2:5">
      <c r="B4803" s="1115">
        <v>45122</v>
      </c>
      <c r="C4803" s="242">
        <f t="shared" si="149"/>
        <v>7</v>
      </c>
      <c r="D4803" s="242" t="s">
        <v>1850</v>
      </c>
      <c r="E4803" s="845">
        <f t="shared" si="150"/>
        <v>16.111111111111111</v>
      </c>
    </row>
    <row r="4804" spans="2:5">
      <c r="B4804" s="1115">
        <v>45122</v>
      </c>
      <c r="C4804" s="242">
        <f t="shared" si="149"/>
        <v>7</v>
      </c>
      <c r="D4804" s="242" t="s">
        <v>1851</v>
      </c>
      <c r="E4804" s="845">
        <f t="shared" si="150"/>
        <v>17.222222222222221</v>
      </c>
    </row>
    <row r="4805" spans="2:5">
      <c r="B4805" s="1115">
        <v>45122</v>
      </c>
      <c r="C4805" s="242">
        <f t="shared" si="149"/>
        <v>7</v>
      </c>
      <c r="D4805" s="242">
        <v>65.7</v>
      </c>
      <c r="E4805" s="845">
        <f t="shared" si="150"/>
        <v>18.722222222222225</v>
      </c>
    </row>
    <row r="4806" spans="2:5">
      <c r="B4806" s="1115">
        <v>45122</v>
      </c>
      <c r="C4806" s="242">
        <f t="shared" si="149"/>
        <v>7</v>
      </c>
      <c r="D4806" s="242">
        <v>68.2</v>
      </c>
      <c r="E4806" s="845">
        <f t="shared" si="150"/>
        <v>20.111111111111111</v>
      </c>
    </row>
    <row r="4807" spans="2:5">
      <c r="B4807" s="1115">
        <v>45122</v>
      </c>
      <c r="C4807" s="242">
        <f t="shared" si="149"/>
        <v>7</v>
      </c>
      <c r="D4807" s="242">
        <v>69.3</v>
      </c>
      <c r="E4807" s="845">
        <f t="shared" si="150"/>
        <v>20.722222222222221</v>
      </c>
    </row>
    <row r="4808" spans="2:5">
      <c r="B4808" s="1115">
        <v>45122</v>
      </c>
      <c r="C4808" s="242">
        <f t="shared" si="149"/>
        <v>7</v>
      </c>
      <c r="D4808" s="242">
        <v>69.099999999999994</v>
      </c>
      <c r="E4808" s="845">
        <f t="shared" si="150"/>
        <v>20.611111111111107</v>
      </c>
    </row>
    <row r="4809" spans="2:5">
      <c r="B4809" s="1115">
        <v>45123</v>
      </c>
      <c r="C4809" s="242">
        <f t="shared" si="149"/>
        <v>7</v>
      </c>
      <c r="D4809" s="242">
        <v>66.2</v>
      </c>
      <c r="E4809" s="845">
        <f t="shared" si="150"/>
        <v>19</v>
      </c>
    </row>
    <row r="4810" spans="2:5">
      <c r="B4810" s="1115">
        <v>45123</v>
      </c>
      <c r="C4810" s="242">
        <f t="shared" ref="C4810:C4873" si="151">MONTH(B4810)</f>
        <v>7</v>
      </c>
      <c r="D4810" s="242">
        <v>63.3</v>
      </c>
      <c r="E4810" s="845">
        <f t="shared" ref="E4810:E4873" si="152">CONVERT(D4810,"F","C")</f>
        <v>17.388888888888886</v>
      </c>
    </row>
    <row r="4811" spans="2:5">
      <c r="B4811" s="1115">
        <v>45123</v>
      </c>
      <c r="C4811" s="242">
        <f t="shared" si="151"/>
        <v>7</v>
      </c>
      <c r="D4811" s="242">
        <v>60.4</v>
      </c>
      <c r="E4811" s="845">
        <f t="shared" si="152"/>
        <v>15.777777777777777</v>
      </c>
    </row>
    <row r="4812" spans="2:5">
      <c r="B4812" s="1115">
        <v>45123</v>
      </c>
      <c r="C4812" s="242">
        <f t="shared" si="151"/>
        <v>7</v>
      </c>
      <c r="D4812" s="242" t="s">
        <v>1849</v>
      </c>
      <c r="E4812" s="845">
        <f t="shared" si="152"/>
        <v>15</v>
      </c>
    </row>
    <row r="4813" spans="2:5">
      <c r="B4813" s="1115">
        <v>45123</v>
      </c>
      <c r="C4813" s="242">
        <f t="shared" si="151"/>
        <v>7</v>
      </c>
      <c r="D4813" s="242">
        <v>57.7</v>
      </c>
      <c r="E4813" s="845">
        <f t="shared" si="152"/>
        <v>14.277777777777779</v>
      </c>
    </row>
    <row r="4814" spans="2:5">
      <c r="B4814" s="1115">
        <v>45123</v>
      </c>
      <c r="C4814" s="242">
        <f t="shared" si="151"/>
        <v>7</v>
      </c>
      <c r="D4814" s="242">
        <v>59.7</v>
      </c>
      <c r="E4814" s="845">
        <f t="shared" si="152"/>
        <v>15.388888888888889</v>
      </c>
    </row>
    <row r="4815" spans="2:5">
      <c r="B4815" s="1115">
        <v>45123</v>
      </c>
      <c r="C4815" s="242">
        <f t="shared" si="151"/>
        <v>7</v>
      </c>
      <c r="D4815" s="242">
        <v>58.6</v>
      </c>
      <c r="E4815" s="845">
        <f t="shared" si="152"/>
        <v>14.777777777777779</v>
      </c>
    </row>
    <row r="4816" spans="2:5">
      <c r="B4816" s="1115">
        <v>45123</v>
      </c>
      <c r="C4816" s="242">
        <f t="shared" si="151"/>
        <v>7</v>
      </c>
      <c r="D4816" s="242">
        <v>60.6</v>
      </c>
      <c r="E4816" s="845">
        <f t="shared" si="152"/>
        <v>15.888888888888889</v>
      </c>
    </row>
    <row r="4817" spans="2:5">
      <c r="B4817" s="1115">
        <v>45123</v>
      </c>
      <c r="C4817" s="242">
        <f t="shared" si="151"/>
        <v>7</v>
      </c>
      <c r="D4817" s="242" t="s">
        <v>1852</v>
      </c>
      <c r="E4817" s="845">
        <f t="shared" si="152"/>
        <v>17.777777777777779</v>
      </c>
    </row>
    <row r="4818" spans="2:5">
      <c r="B4818" s="1115">
        <v>45123</v>
      </c>
      <c r="C4818" s="242">
        <f t="shared" si="151"/>
        <v>7</v>
      </c>
      <c r="D4818" s="242">
        <v>66.599999999999994</v>
      </c>
      <c r="E4818" s="845">
        <f t="shared" si="152"/>
        <v>19.222222222222218</v>
      </c>
    </row>
    <row r="4819" spans="2:5">
      <c r="B4819" s="1115">
        <v>45123</v>
      </c>
      <c r="C4819" s="242">
        <f t="shared" si="151"/>
        <v>7</v>
      </c>
      <c r="D4819" s="242">
        <v>68.5</v>
      </c>
      <c r="E4819" s="845">
        <f t="shared" si="152"/>
        <v>20.277777777777779</v>
      </c>
    </row>
    <row r="4820" spans="2:5">
      <c r="B4820" s="1115">
        <v>45123</v>
      </c>
      <c r="C4820" s="242">
        <f t="shared" si="151"/>
        <v>7</v>
      </c>
      <c r="D4820" s="242">
        <v>69.400000000000006</v>
      </c>
      <c r="E4820" s="845">
        <f t="shared" si="152"/>
        <v>20.777777777777782</v>
      </c>
    </row>
    <row r="4821" spans="2:5">
      <c r="B4821" s="1115">
        <v>45123</v>
      </c>
      <c r="C4821" s="242">
        <f t="shared" si="151"/>
        <v>7</v>
      </c>
      <c r="D4821" s="242">
        <v>69.400000000000006</v>
      </c>
      <c r="E4821" s="845">
        <f t="shared" si="152"/>
        <v>20.777777777777782</v>
      </c>
    </row>
    <row r="4822" spans="2:5">
      <c r="B4822" s="1115">
        <v>45123</v>
      </c>
      <c r="C4822" s="242">
        <f t="shared" si="151"/>
        <v>7</v>
      </c>
      <c r="D4822" s="242">
        <v>66.400000000000006</v>
      </c>
      <c r="E4822" s="845">
        <f t="shared" si="152"/>
        <v>19.111111111111114</v>
      </c>
    </row>
    <row r="4823" spans="2:5">
      <c r="B4823" s="1115">
        <v>45123</v>
      </c>
      <c r="C4823" s="242">
        <f t="shared" si="151"/>
        <v>7</v>
      </c>
      <c r="D4823" s="242">
        <v>63.5</v>
      </c>
      <c r="E4823" s="845">
        <f t="shared" si="152"/>
        <v>17.5</v>
      </c>
    </row>
    <row r="4824" spans="2:5">
      <c r="B4824" s="1115">
        <v>45123</v>
      </c>
      <c r="C4824" s="242">
        <f t="shared" si="151"/>
        <v>7</v>
      </c>
      <c r="D4824" s="242">
        <v>60.8</v>
      </c>
      <c r="E4824" s="845">
        <f t="shared" si="152"/>
        <v>15.999999999999998</v>
      </c>
    </row>
    <row r="4825" spans="2:5">
      <c r="B4825" s="1115">
        <v>45123</v>
      </c>
      <c r="C4825" s="242">
        <f t="shared" si="151"/>
        <v>7</v>
      </c>
      <c r="D4825" s="242">
        <v>60.8</v>
      </c>
      <c r="E4825" s="845">
        <f t="shared" si="152"/>
        <v>15.999999999999998</v>
      </c>
    </row>
    <row r="4826" spans="2:5">
      <c r="B4826" s="1115">
        <v>45123</v>
      </c>
      <c r="C4826" s="242">
        <f t="shared" si="151"/>
        <v>7</v>
      </c>
      <c r="D4826" s="242">
        <v>58.3</v>
      </c>
      <c r="E4826" s="845">
        <f t="shared" si="152"/>
        <v>14.611111111111109</v>
      </c>
    </row>
    <row r="4827" spans="2:5">
      <c r="B4827" s="1115">
        <v>45123</v>
      </c>
      <c r="C4827" s="242">
        <f t="shared" si="151"/>
        <v>7</v>
      </c>
      <c r="D4827" s="242">
        <v>58.8</v>
      </c>
      <c r="E4827" s="845">
        <f t="shared" si="152"/>
        <v>14.888888888888888</v>
      </c>
    </row>
    <row r="4828" spans="2:5">
      <c r="B4828" s="1115">
        <v>45123</v>
      </c>
      <c r="C4828" s="242">
        <f t="shared" si="151"/>
        <v>7</v>
      </c>
      <c r="D4828" s="242">
        <v>59.4</v>
      </c>
      <c r="E4828" s="845">
        <f t="shared" si="152"/>
        <v>15.222222222222221</v>
      </c>
    </row>
    <row r="4829" spans="2:5">
      <c r="B4829" s="1115">
        <v>45123</v>
      </c>
      <c r="C4829" s="242">
        <f t="shared" si="151"/>
        <v>7</v>
      </c>
      <c r="D4829" s="242">
        <v>61.7</v>
      </c>
      <c r="E4829" s="845">
        <f t="shared" si="152"/>
        <v>16.5</v>
      </c>
    </row>
    <row r="4830" spans="2:5">
      <c r="B4830" s="1115">
        <v>45123</v>
      </c>
      <c r="C4830" s="242">
        <f t="shared" si="151"/>
        <v>7</v>
      </c>
      <c r="D4830" s="242">
        <v>64.900000000000006</v>
      </c>
      <c r="E4830" s="845">
        <f t="shared" si="152"/>
        <v>18.277777777777782</v>
      </c>
    </row>
    <row r="4831" spans="2:5">
      <c r="B4831" s="1115">
        <v>45123</v>
      </c>
      <c r="C4831" s="242">
        <f t="shared" si="151"/>
        <v>7</v>
      </c>
      <c r="D4831" s="242">
        <v>67.5</v>
      </c>
      <c r="E4831" s="845">
        <f t="shared" si="152"/>
        <v>19.722222222222221</v>
      </c>
    </row>
    <row r="4832" spans="2:5">
      <c r="B4832" s="1115">
        <v>45123</v>
      </c>
      <c r="C4832" s="242">
        <f t="shared" si="151"/>
        <v>7</v>
      </c>
      <c r="D4832" s="242">
        <v>68.400000000000006</v>
      </c>
      <c r="E4832" s="845">
        <f t="shared" si="152"/>
        <v>20.222222222222225</v>
      </c>
    </row>
    <row r="4833" spans="2:5">
      <c r="B4833" s="1115">
        <v>45124</v>
      </c>
      <c r="C4833" s="242">
        <f t="shared" si="151"/>
        <v>7</v>
      </c>
      <c r="D4833" s="242">
        <v>67.3</v>
      </c>
      <c r="E4833" s="845">
        <f t="shared" si="152"/>
        <v>19.611111111111111</v>
      </c>
    </row>
    <row r="4834" spans="2:5">
      <c r="B4834" s="1115">
        <v>45124</v>
      </c>
      <c r="C4834" s="242">
        <f t="shared" si="151"/>
        <v>7</v>
      </c>
      <c r="D4834" s="242">
        <v>64.400000000000006</v>
      </c>
      <c r="E4834" s="845">
        <f t="shared" si="152"/>
        <v>18.000000000000004</v>
      </c>
    </row>
    <row r="4835" spans="2:5">
      <c r="B4835" s="1115">
        <v>45124</v>
      </c>
      <c r="C4835" s="242">
        <f t="shared" si="151"/>
        <v>7</v>
      </c>
      <c r="D4835" s="242">
        <v>61.3</v>
      </c>
      <c r="E4835" s="845">
        <f t="shared" si="152"/>
        <v>16.277777777777775</v>
      </c>
    </row>
    <row r="4836" spans="2:5">
      <c r="B4836" s="1115">
        <v>45124</v>
      </c>
      <c r="C4836" s="242">
        <f t="shared" si="151"/>
        <v>7</v>
      </c>
      <c r="D4836" s="242">
        <v>59.5</v>
      </c>
      <c r="E4836" s="845">
        <f t="shared" si="152"/>
        <v>15.277777777777777</v>
      </c>
    </row>
    <row r="4837" spans="2:5">
      <c r="B4837" s="1115">
        <v>45124</v>
      </c>
      <c r="C4837" s="242">
        <f t="shared" si="151"/>
        <v>7</v>
      </c>
      <c r="D4837" s="242">
        <v>57.9</v>
      </c>
      <c r="E4837" s="845">
        <f t="shared" si="152"/>
        <v>14.388888888888888</v>
      </c>
    </row>
    <row r="4838" spans="2:5">
      <c r="B4838" s="1115">
        <v>45124</v>
      </c>
      <c r="C4838" s="242">
        <f t="shared" si="151"/>
        <v>7</v>
      </c>
      <c r="D4838" s="242">
        <v>56.7</v>
      </c>
      <c r="E4838" s="845">
        <f t="shared" si="152"/>
        <v>13.722222222222223</v>
      </c>
    </row>
    <row r="4839" spans="2:5">
      <c r="B4839" s="1115">
        <v>45124</v>
      </c>
      <c r="C4839" s="242">
        <f t="shared" si="151"/>
        <v>7</v>
      </c>
      <c r="D4839" s="242">
        <v>57.6</v>
      </c>
      <c r="E4839" s="845">
        <f t="shared" si="152"/>
        <v>14.222222222222223</v>
      </c>
    </row>
    <row r="4840" spans="2:5">
      <c r="B4840" s="1115">
        <v>45124</v>
      </c>
      <c r="C4840" s="242">
        <f t="shared" si="151"/>
        <v>7</v>
      </c>
      <c r="D4840" s="242">
        <v>57.9</v>
      </c>
      <c r="E4840" s="845">
        <f t="shared" si="152"/>
        <v>14.388888888888888</v>
      </c>
    </row>
    <row r="4841" spans="2:5">
      <c r="B4841" s="1115">
        <v>45124</v>
      </c>
      <c r="C4841" s="242">
        <f t="shared" si="151"/>
        <v>7</v>
      </c>
      <c r="D4841" s="242">
        <v>60.1</v>
      </c>
      <c r="E4841" s="845">
        <f t="shared" si="152"/>
        <v>15.611111111111111</v>
      </c>
    </row>
    <row r="4842" spans="2:5">
      <c r="B4842" s="1115">
        <v>45124</v>
      </c>
      <c r="C4842" s="242">
        <f t="shared" si="151"/>
        <v>7</v>
      </c>
      <c r="D4842" s="242">
        <v>63.7</v>
      </c>
      <c r="E4842" s="845">
        <f t="shared" si="152"/>
        <v>17.611111111111111</v>
      </c>
    </row>
    <row r="4843" spans="2:5">
      <c r="B4843" s="1115">
        <v>45124</v>
      </c>
      <c r="C4843" s="242">
        <f t="shared" si="151"/>
        <v>7</v>
      </c>
      <c r="D4843" s="242">
        <v>66.2</v>
      </c>
      <c r="E4843" s="845">
        <f t="shared" si="152"/>
        <v>19</v>
      </c>
    </row>
    <row r="4844" spans="2:5">
      <c r="B4844" s="1115">
        <v>45124</v>
      </c>
      <c r="C4844" s="242">
        <f t="shared" si="151"/>
        <v>7</v>
      </c>
      <c r="D4844" s="242" t="s">
        <v>1854</v>
      </c>
      <c r="E4844" s="845">
        <f t="shared" si="152"/>
        <v>20</v>
      </c>
    </row>
    <row r="4845" spans="2:5">
      <c r="B4845" s="1115">
        <v>45124</v>
      </c>
      <c r="C4845" s="242">
        <f t="shared" si="151"/>
        <v>7</v>
      </c>
      <c r="D4845" s="242">
        <v>68.900000000000006</v>
      </c>
      <c r="E4845" s="845">
        <f t="shared" si="152"/>
        <v>20.500000000000004</v>
      </c>
    </row>
    <row r="4846" spans="2:5">
      <c r="B4846" s="1115">
        <v>45124</v>
      </c>
      <c r="C4846" s="242">
        <f t="shared" si="151"/>
        <v>7</v>
      </c>
      <c r="D4846" s="242">
        <v>68.2</v>
      </c>
      <c r="E4846" s="845">
        <f t="shared" si="152"/>
        <v>20.111111111111111</v>
      </c>
    </row>
    <row r="4847" spans="2:5">
      <c r="B4847" s="1115">
        <v>45124</v>
      </c>
      <c r="C4847" s="242">
        <f t="shared" si="151"/>
        <v>7</v>
      </c>
      <c r="D4847" s="242">
        <v>64.8</v>
      </c>
      <c r="E4847" s="845">
        <f t="shared" si="152"/>
        <v>18.222222222222221</v>
      </c>
    </row>
    <row r="4848" spans="2:5">
      <c r="B4848" s="1115">
        <v>45124</v>
      </c>
      <c r="C4848" s="242">
        <f t="shared" si="151"/>
        <v>7</v>
      </c>
      <c r="D4848" s="242">
        <v>59.5</v>
      </c>
      <c r="E4848" s="845">
        <f t="shared" si="152"/>
        <v>15.277777777777777</v>
      </c>
    </row>
    <row r="4849" spans="2:5">
      <c r="B4849" s="1115">
        <v>45124</v>
      </c>
      <c r="C4849" s="242">
        <f t="shared" si="151"/>
        <v>7</v>
      </c>
      <c r="D4849" s="242">
        <v>58.5</v>
      </c>
      <c r="E4849" s="845">
        <f t="shared" si="152"/>
        <v>14.722222222222221</v>
      </c>
    </row>
    <row r="4850" spans="2:5">
      <c r="B4850" s="1115">
        <v>45124</v>
      </c>
      <c r="C4850" s="242">
        <f t="shared" si="151"/>
        <v>7</v>
      </c>
      <c r="D4850" s="242">
        <v>57.9</v>
      </c>
      <c r="E4850" s="845">
        <f t="shared" si="152"/>
        <v>14.388888888888888</v>
      </c>
    </row>
    <row r="4851" spans="2:5">
      <c r="B4851" s="1115">
        <v>45124</v>
      </c>
      <c r="C4851" s="242">
        <f t="shared" si="151"/>
        <v>7</v>
      </c>
      <c r="D4851" s="242">
        <v>56.5</v>
      </c>
      <c r="E4851" s="845">
        <f t="shared" si="152"/>
        <v>13.611111111111111</v>
      </c>
    </row>
    <row r="4852" spans="2:5">
      <c r="B4852" s="1115">
        <v>45124</v>
      </c>
      <c r="C4852" s="242">
        <f t="shared" si="151"/>
        <v>7</v>
      </c>
      <c r="D4852" s="242">
        <v>59.2</v>
      </c>
      <c r="E4852" s="845">
        <f t="shared" si="152"/>
        <v>15.111111111111112</v>
      </c>
    </row>
    <row r="4853" spans="2:5">
      <c r="B4853" s="1115">
        <v>45124</v>
      </c>
      <c r="C4853" s="242">
        <f t="shared" si="151"/>
        <v>7</v>
      </c>
      <c r="D4853" s="242">
        <v>59.2</v>
      </c>
      <c r="E4853" s="845">
        <f t="shared" si="152"/>
        <v>15.111111111111112</v>
      </c>
    </row>
    <row r="4854" spans="2:5">
      <c r="B4854" s="1115">
        <v>45124</v>
      </c>
      <c r="C4854" s="242">
        <f t="shared" si="151"/>
        <v>7</v>
      </c>
      <c r="D4854" s="242">
        <v>62.2</v>
      </c>
      <c r="E4854" s="845">
        <f t="shared" si="152"/>
        <v>16.777777777777779</v>
      </c>
    </row>
    <row r="4855" spans="2:5">
      <c r="B4855" s="1115">
        <v>45124</v>
      </c>
      <c r="C4855" s="242">
        <f t="shared" si="151"/>
        <v>7</v>
      </c>
      <c r="D4855" s="242" t="s">
        <v>1853</v>
      </c>
      <c r="E4855" s="845">
        <f t="shared" si="152"/>
        <v>18.888888888888889</v>
      </c>
    </row>
    <row r="4856" spans="2:5">
      <c r="B4856" s="1115">
        <v>45124</v>
      </c>
      <c r="C4856" s="242">
        <f t="shared" si="151"/>
        <v>7</v>
      </c>
      <c r="D4856" s="242">
        <v>68.400000000000006</v>
      </c>
      <c r="E4856" s="845">
        <f t="shared" si="152"/>
        <v>20.222222222222225</v>
      </c>
    </row>
    <row r="4857" spans="2:5">
      <c r="B4857" s="1115">
        <v>45125</v>
      </c>
      <c r="C4857" s="242">
        <f t="shared" si="151"/>
        <v>7</v>
      </c>
      <c r="D4857" s="242">
        <v>69.3</v>
      </c>
      <c r="E4857" s="845">
        <f t="shared" si="152"/>
        <v>20.722222222222221</v>
      </c>
    </row>
    <row r="4858" spans="2:5">
      <c r="B4858" s="1115">
        <v>45125</v>
      </c>
      <c r="C4858" s="242">
        <f t="shared" si="151"/>
        <v>7</v>
      </c>
      <c r="D4858" s="242">
        <v>67.3</v>
      </c>
      <c r="E4858" s="845">
        <f t="shared" si="152"/>
        <v>19.611111111111111</v>
      </c>
    </row>
    <row r="4859" spans="2:5">
      <c r="B4859" s="1115">
        <v>45125</v>
      </c>
      <c r="C4859" s="242">
        <f t="shared" si="151"/>
        <v>7</v>
      </c>
      <c r="D4859" s="242">
        <v>62.1</v>
      </c>
      <c r="E4859" s="845">
        <f t="shared" si="152"/>
        <v>16.722222222222221</v>
      </c>
    </row>
    <row r="4860" spans="2:5">
      <c r="B4860" s="1115">
        <v>45125</v>
      </c>
      <c r="C4860" s="242">
        <f t="shared" si="151"/>
        <v>7</v>
      </c>
      <c r="D4860" s="242">
        <v>60.1</v>
      </c>
      <c r="E4860" s="845">
        <f t="shared" si="152"/>
        <v>15.611111111111111</v>
      </c>
    </row>
    <row r="4861" spans="2:5">
      <c r="B4861" s="1115">
        <v>45125</v>
      </c>
      <c r="C4861" s="242">
        <f t="shared" si="151"/>
        <v>7</v>
      </c>
      <c r="D4861" s="242">
        <v>58.1</v>
      </c>
      <c r="E4861" s="845">
        <f t="shared" si="152"/>
        <v>14.5</v>
      </c>
    </row>
    <row r="4862" spans="2:5">
      <c r="B4862" s="1115">
        <v>45125</v>
      </c>
      <c r="C4862" s="242">
        <f t="shared" si="151"/>
        <v>7</v>
      </c>
      <c r="D4862" s="242">
        <v>56.8</v>
      </c>
      <c r="E4862" s="845">
        <f t="shared" si="152"/>
        <v>13.777777777777775</v>
      </c>
    </row>
    <row r="4863" spans="2:5">
      <c r="B4863" s="1115">
        <v>45125</v>
      </c>
      <c r="C4863" s="242">
        <f t="shared" si="151"/>
        <v>7</v>
      </c>
      <c r="D4863" s="242">
        <v>56.3</v>
      </c>
      <c r="E4863" s="845">
        <f t="shared" si="152"/>
        <v>13.499999999999998</v>
      </c>
    </row>
    <row r="4864" spans="2:5">
      <c r="B4864" s="1115">
        <v>45125</v>
      </c>
      <c r="C4864" s="242">
        <f t="shared" si="151"/>
        <v>7</v>
      </c>
      <c r="D4864" s="242">
        <v>56.3</v>
      </c>
      <c r="E4864" s="845">
        <f t="shared" si="152"/>
        <v>13.499999999999998</v>
      </c>
    </row>
    <row r="4865" spans="2:5">
      <c r="B4865" s="1115">
        <v>45125</v>
      </c>
      <c r="C4865" s="242">
        <f t="shared" si="151"/>
        <v>7</v>
      </c>
      <c r="D4865" s="242">
        <v>57.7</v>
      </c>
      <c r="E4865" s="845">
        <f t="shared" si="152"/>
        <v>14.277777777777779</v>
      </c>
    </row>
    <row r="4866" spans="2:5">
      <c r="B4866" s="1115">
        <v>45125</v>
      </c>
      <c r="C4866" s="242">
        <f t="shared" si="151"/>
        <v>7</v>
      </c>
      <c r="D4866" s="242" t="s">
        <v>1850</v>
      </c>
      <c r="E4866" s="845">
        <f t="shared" si="152"/>
        <v>16.111111111111111</v>
      </c>
    </row>
    <row r="4867" spans="2:5">
      <c r="B4867" s="1115">
        <v>45125</v>
      </c>
      <c r="C4867" s="242">
        <f t="shared" si="151"/>
        <v>7</v>
      </c>
      <c r="D4867" s="242">
        <v>64.8</v>
      </c>
      <c r="E4867" s="845">
        <f t="shared" si="152"/>
        <v>18.222222222222221</v>
      </c>
    </row>
    <row r="4868" spans="2:5">
      <c r="B4868" s="1115">
        <v>45125</v>
      </c>
      <c r="C4868" s="242">
        <f t="shared" si="151"/>
        <v>7</v>
      </c>
      <c r="D4868" s="242">
        <v>67.3</v>
      </c>
      <c r="E4868" s="845">
        <f t="shared" si="152"/>
        <v>19.611111111111111</v>
      </c>
    </row>
    <row r="4869" spans="2:5">
      <c r="B4869" s="1115">
        <v>45125</v>
      </c>
      <c r="C4869" s="242">
        <f t="shared" si="151"/>
        <v>7</v>
      </c>
      <c r="D4869" s="242">
        <v>68.7</v>
      </c>
      <c r="E4869" s="845">
        <f t="shared" si="152"/>
        <v>20.388888888888889</v>
      </c>
    </row>
    <row r="4870" spans="2:5">
      <c r="B4870" s="1115">
        <v>45125</v>
      </c>
      <c r="C4870" s="242">
        <f t="shared" si="151"/>
        <v>7</v>
      </c>
      <c r="D4870" s="242">
        <v>69.599999999999994</v>
      </c>
      <c r="E4870" s="845">
        <f t="shared" si="152"/>
        <v>20.888888888888886</v>
      </c>
    </row>
    <row r="4871" spans="2:5">
      <c r="B4871" s="1115">
        <v>45125</v>
      </c>
      <c r="C4871" s="242">
        <f t="shared" si="151"/>
        <v>7</v>
      </c>
      <c r="D4871" s="242" t="s">
        <v>1854</v>
      </c>
      <c r="E4871" s="845">
        <f t="shared" si="152"/>
        <v>20</v>
      </c>
    </row>
    <row r="4872" spans="2:5">
      <c r="B4872" s="1115">
        <v>45125</v>
      </c>
      <c r="C4872" s="242">
        <f t="shared" si="151"/>
        <v>7</v>
      </c>
      <c r="D4872" s="242">
        <v>61.2</v>
      </c>
      <c r="E4872" s="845">
        <f t="shared" si="152"/>
        <v>16.222222222222225</v>
      </c>
    </row>
    <row r="4873" spans="2:5">
      <c r="B4873" s="1115">
        <v>45125</v>
      </c>
      <c r="C4873" s="242">
        <f t="shared" si="151"/>
        <v>7</v>
      </c>
      <c r="D4873" s="242">
        <v>60.6</v>
      </c>
      <c r="E4873" s="845">
        <f t="shared" si="152"/>
        <v>15.888888888888889</v>
      </c>
    </row>
    <row r="4874" spans="2:5">
      <c r="B4874" s="1115">
        <v>45125</v>
      </c>
      <c r="C4874" s="242">
        <f t="shared" ref="C4874:C4937" si="153">MONTH(B4874)</f>
        <v>7</v>
      </c>
      <c r="D4874" s="242">
        <v>59.4</v>
      </c>
      <c r="E4874" s="845">
        <f t="shared" ref="E4874:E4937" si="154">CONVERT(D4874,"F","C")</f>
        <v>15.222222222222221</v>
      </c>
    </row>
    <row r="4875" spans="2:5">
      <c r="B4875" s="1115">
        <v>45125</v>
      </c>
      <c r="C4875" s="242">
        <f t="shared" si="153"/>
        <v>7</v>
      </c>
      <c r="D4875" s="242">
        <v>57.2</v>
      </c>
      <c r="E4875" s="845">
        <f t="shared" si="154"/>
        <v>14.000000000000002</v>
      </c>
    </row>
    <row r="4876" spans="2:5">
      <c r="B4876" s="1115">
        <v>45125</v>
      </c>
      <c r="C4876" s="242">
        <f t="shared" si="153"/>
        <v>7</v>
      </c>
      <c r="D4876" s="242">
        <v>56.7</v>
      </c>
      <c r="E4876" s="845">
        <f t="shared" si="154"/>
        <v>13.722222222222223</v>
      </c>
    </row>
    <row r="4877" spans="2:5">
      <c r="B4877" s="1115">
        <v>45125</v>
      </c>
      <c r="C4877" s="242">
        <f t="shared" si="153"/>
        <v>7</v>
      </c>
      <c r="D4877" s="242">
        <v>58.1</v>
      </c>
      <c r="E4877" s="845">
        <f t="shared" si="154"/>
        <v>14.5</v>
      </c>
    </row>
    <row r="4878" spans="2:5">
      <c r="B4878" s="1115">
        <v>45125</v>
      </c>
      <c r="C4878" s="242">
        <f t="shared" si="153"/>
        <v>7</v>
      </c>
      <c r="D4878" s="242">
        <v>59.4</v>
      </c>
      <c r="E4878" s="845">
        <f t="shared" si="154"/>
        <v>15.222222222222221</v>
      </c>
    </row>
    <row r="4879" spans="2:5">
      <c r="B4879" s="1115">
        <v>45125</v>
      </c>
      <c r="C4879" s="242">
        <f t="shared" si="153"/>
        <v>7</v>
      </c>
      <c r="D4879" s="242" t="s">
        <v>1851</v>
      </c>
      <c r="E4879" s="845">
        <f t="shared" si="154"/>
        <v>17.222222222222221</v>
      </c>
    </row>
    <row r="4880" spans="2:5">
      <c r="B4880" s="1115">
        <v>45125</v>
      </c>
      <c r="C4880" s="242">
        <f t="shared" si="153"/>
        <v>7</v>
      </c>
      <c r="D4880" s="242">
        <v>66.400000000000006</v>
      </c>
      <c r="E4880" s="845">
        <f t="shared" si="154"/>
        <v>19.111111111111114</v>
      </c>
    </row>
    <row r="4881" spans="2:5">
      <c r="B4881" s="1115">
        <v>45126</v>
      </c>
      <c r="C4881" s="242">
        <f t="shared" si="153"/>
        <v>7</v>
      </c>
      <c r="D4881" s="242">
        <v>68.400000000000006</v>
      </c>
      <c r="E4881" s="845">
        <f t="shared" si="154"/>
        <v>20.222222222222225</v>
      </c>
    </row>
    <row r="4882" spans="2:5">
      <c r="B4882" s="1115">
        <v>45126</v>
      </c>
      <c r="C4882" s="242">
        <f t="shared" si="153"/>
        <v>7</v>
      </c>
      <c r="D4882" s="242">
        <v>68.900000000000006</v>
      </c>
      <c r="E4882" s="845">
        <f t="shared" si="154"/>
        <v>20.500000000000004</v>
      </c>
    </row>
    <row r="4883" spans="2:5">
      <c r="B4883" s="1115">
        <v>45126</v>
      </c>
      <c r="C4883" s="242">
        <f t="shared" si="153"/>
        <v>7</v>
      </c>
      <c r="D4883" s="242">
        <v>66.7</v>
      </c>
      <c r="E4883" s="845">
        <f t="shared" si="154"/>
        <v>19.277777777777779</v>
      </c>
    </row>
    <row r="4884" spans="2:5">
      <c r="B4884" s="1115">
        <v>45126</v>
      </c>
      <c r="C4884" s="242">
        <f t="shared" si="153"/>
        <v>7</v>
      </c>
      <c r="D4884" s="242">
        <v>61.9</v>
      </c>
      <c r="E4884" s="845">
        <f t="shared" si="154"/>
        <v>16.611111111111111</v>
      </c>
    </row>
    <row r="4885" spans="2:5">
      <c r="B4885" s="1115">
        <v>45126</v>
      </c>
      <c r="C4885" s="242">
        <f t="shared" si="153"/>
        <v>7</v>
      </c>
      <c r="D4885" s="242" t="s">
        <v>1849</v>
      </c>
      <c r="E4885" s="845">
        <f t="shared" si="154"/>
        <v>15</v>
      </c>
    </row>
    <row r="4886" spans="2:5">
      <c r="B4886" s="1115">
        <v>45126</v>
      </c>
      <c r="C4886" s="242">
        <f t="shared" si="153"/>
        <v>7</v>
      </c>
      <c r="D4886" s="242">
        <v>57.7</v>
      </c>
      <c r="E4886" s="845">
        <f t="shared" si="154"/>
        <v>14.277777777777779</v>
      </c>
    </row>
    <row r="4887" spans="2:5">
      <c r="B4887" s="1115">
        <v>45126</v>
      </c>
      <c r="C4887" s="242">
        <f t="shared" si="153"/>
        <v>7</v>
      </c>
      <c r="D4887" s="242">
        <v>56.8</v>
      </c>
      <c r="E4887" s="845">
        <f t="shared" si="154"/>
        <v>13.777777777777775</v>
      </c>
    </row>
    <row r="4888" spans="2:5">
      <c r="B4888" s="1115">
        <v>45126</v>
      </c>
      <c r="C4888" s="242">
        <f t="shared" si="153"/>
        <v>7</v>
      </c>
      <c r="D4888" s="242">
        <v>55.6</v>
      </c>
      <c r="E4888" s="845">
        <f t="shared" si="154"/>
        <v>13.111111111111111</v>
      </c>
    </row>
    <row r="4889" spans="2:5">
      <c r="B4889" s="1115">
        <v>45126</v>
      </c>
      <c r="C4889" s="242">
        <f t="shared" si="153"/>
        <v>7</v>
      </c>
      <c r="D4889" s="242">
        <v>56.5</v>
      </c>
      <c r="E4889" s="845">
        <f t="shared" si="154"/>
        <v>13.611111111111111</v>
      </c>
    </row>
    <row r="4890" spans="2:5">
      <c r="B4890" s="1115">
        <v>45126</v>
      </c>
      <c r="C4890" s="242">
        <f t="shared" si="153"/>
        <v>7</v>
      </c>
      <c r="D4890" s="242">
        <v>58.1</v>
      </c>
      <c r="E4890" s="845">
        <f t="shared" si="154"/>
        <v>14.5</v>
      </c>
    </row>
    <row r="4891" spans="2:5">
      <c r="B4891" s="1115">
        <v>45126</v>
      </c>
      <c r="C4891" s="242">
        <f t="shared" si="153"/>
        <v>7</v>
      </c>
      <c r="D4891" s="242">
        <v>61.7</v>
      </c>
      <c r="E4891" s="845">
        <f t="shared" si="154"/>
        <v>16.5</v>
      </c>
    </row>
    <row r="4892" spans="2:5">
      <c r="B4892" s="1115">
        <v>45126</v>
      </c>
      <c r="C4892" s="242">
        <f t="shared" si="153"/>
        <v>7</v>
      </c>
      <c r="D4892" s="242">
        <v>65.3</v>
      </c>
      <c r="E4892" s="845">
        <f t="shared" si="154"/>
        <v>18.499999999999996</v>
      </c>
    </row>
    <row r="4893" spans="2:5">
      <c r="B4893" s="1115">
        <v>45126</v>
      </c>
      <c r="C4893" s="242">
        <f t="shared" si="153"/>
        <v>7</v>
      </c>
      <c r="D4893" s="242">
        <v>67.599999999999994</v>
      </c>
      <c r="E4893" s="845">
        <f t="shared" si="154"/>
        <v>19.777777777777775</v>
      </c>
    </row>
    <row r="4894" spans="2:5">
      <c r="B4894" s="1115">
        <v>45126</v>
      </c>
      <c r="C4894" s="242">
        <f t="shared" si="153"/>
        <v>7</v>
      </c>
      <c r="D4894" s="242">
        <v>68.7</v>
      </c>
      <c r="E4894" s="845">
        <f t="shared" si="154"/>
        <v>20.388888888888889</v>
      </c>
    </row>
    <row r="4895" spans="2:5">
      <c r="B4895" s="1115">
        <v>45126</v>
      </c>
      <c r="C4895" s="242">
        <f t="shared" si="153"/>
        <v>7</v>
      </c>
      <c r="D4895" s="242">
        <v>69.400000000000006</v>
      </c>
      <c r="E4895" s="845">
        <f t="shared" si="154"/>
        <v>20.777777777777782</v>
      </c>
    </row>
    <row r="4896" spans="2:5">
      <c r="B4896" s="1115">
        <v>45126</v>
      </c>
      <c r="C4896" s="242">
        <f t="shared" si="153"/>
        <v>7</v>
      </c>
      <c r="D4896" s="242">
        <v>66.2</v>
      </c>
      <c r="E4896" s="845">
        <f t="shared" si="154"/>
        <v>19</v>
      </c>
    </row>
    <row r="4897" spans="2:5">
      <c r="B4897" s="1115">
        <v>45126</v>
      </c>
      <c r="C4897" s="242">
        <f t="shared" si="153"/>
        <v>7</v>
      </c>
      <c r="D4897" s="242">
        <v>59.2</v>
      </c>
      <c r="E4897" s="845">
        <f t="shared" si="154"/>
        <v>15.111111111111112</v>
      </c>
    </row>
    <row r="4898" spans="2:5">
      <c r="B4898" s="1115">
        <v>45126</v>
      </c>
      <c r="C4898" s="242">
        <f t="shared" si="153"/>
        <v>7</v>
      </c>
      <c r="D4898" s="242">
        <v>57.6</v>
      </c>
      <c r="E4898" s="845">
        <f t="shared" si="154"/>
        <v>14.222222222222223</v>
      </c>
    </row>
    <row r="4899" spans="2:5">
      <c r="B4899" s="1115">
        <v>45126</v>
      </c>
      <c r="C4899" s="242">
        <f t="shared" si="153"/>
        <v>7</v>
      </c>
      <c r="D4899" s="242">
        <v>56.3</v>
      </c>
      <c r="E4899" s="845">
        <f t="shared" si="154"/>
        <v>13.499999999999998</v>
      </c>
    </row>
    <row r="4900" spans="2:5">
      <c r="B4900" s="1115">
        <v>45126</v>
      </c>
      <c r="C4900" s="242">
        <f t="shared" si="153"/>
        <v>7</v>
      </c>
      <c r="D4900" s="242">
        <v>54.7</v>
      </c>
      <c r="E4900" s="845">
        <f t="shared" si="154"/>
        <v>12.611111111111112</v>
      </c>
    </row>
    <row r="4901" spans="2:5">
      <c r="B4901" s="1115">
        <v>45126</v>
      </c>
      <c r="C4901" s="242">
        <f t="shared" si="153"/>
        <v>7</v>
      </c>
      <c r="D4901" s="242">
        <v>58.5</v>
      </c>
      <c r="E4901" s="845">
        <f t="shared" si="154"/>
        <v>14.722222222222221</v>
      </c>
    </row>
    <row r="4902" spans="2:5">
      <c r="B4902" s="1115">
        <v>45126</v>
      </c>
      <c r="C4902" s="242">
        <f t="shared" si="153"/>
        <v>7</v>
      </c>
      <c r="D4902" s="242">
        <v>57.4</v>
      </c>
      <c r="E4902" s="845">
        <f t="shared" si="154"/>
        <v>14.111111111111111</v>
      </c>
    </row>
    <row r="4903" spans="2:5">
      <c r="B4903" s="1115">
        <v>45126</v>
      </c>
      <c r="C4903" s="242">
        <f t="shared" si="153"/>
        <v>7</v>
      </c>
      <c r="D4903" s="242">
        <v>60.1</v>
      </c>
      <c r="E4903" s="845">
        <f t="shared" si="154"/>
        <v>15.611111111111111</v>
      </c>
    </row>
    <row r="4904" spans="2:5">
      <c r="B4904" s="1115">
        <v>45126</v>
      </c>
      <c r="C4904" s="242">
        <f t="shared" si="153"/>
        <v>7</v>
      </c>
      <c r="D4904" s="242">
        <v>63.9</v>
      </c>
      <c r="E4904" s="845">
        <f t="shared" si="154"/>
        <v>17.722222222222221</v>
      </c>
    </row>
    <row r="4905" spans="2:5">
      <c r="B4905" s="1115">
        <v>45127</v>
      </c>
      <c r="C4905" s="242">
        <f t="shared" si="153"/>
        <v>7</v>
      </c>
      <c r="D4905" s="242">
        <v>67.099999999999994</v>
      </c>
      <c r="E4905" s="845">
        <f t="shared" si="154"/>
        <v>19.499999999999996</v>
      </c>
    </row>
    <row r="4906" spans="2:5">
      <c r="B4906" s="1115">
        <v>45127</v>
      </c>
      <c r="C4906" s="242">
        <f t="shared" si="153"/>
        <v>7</v>
      </c>
      <c r="D4906" s="242">
        <v>68.5</v>
      </c>
      <c r="E4906" s="845">
        <f t="shared" si="154"/>
        <v>20.277777777777779</v>
      </c>
    </row>
    <row r="4907" spans="2:5">
      <c r="B4907" s="1115">
        <v>45127</v>
      </c>
      <c r="C4907" s="242">
        <f t="shared" si="153"/>
        <v>7</v>
      </c>
      <c r="D4907" s="242">
        <v>67.599999999999994</v>
      </c>
      <c r="E4907" s="845">
        <f t="shared" si="154"/>
        <v>19.777777777777775</v>
      </c>
    </row>
    <row r="4908" spans="2:5">
      <c r="B4908" s="1115">
        <v>45127</v>
      </c>
      <c r="C4908" s="242">
        <f t="shared" si="153"/>
        <v>7</v>
      </c>
      <c r="D4908" s="242">
        <v>63.5</v>
      </c>
      <c r="E4908" s="845">
        <f t="shared" si="154"/>
        <v>17.5</v>
      </c>
    </row>
    <row r="4909" spans="2:5">
      <c r="B4909" s="1115">
        <v>45127</v>
      </c>
      <c r="C4909" s="242">
        <f t="shared" si="153"/>
        <v>7</v>
      </c>
      <c r="D4909" s="242">
        <v>60.1</v>
      </c>
      <c r="E4909" s="845">
        <f t="shared" si="154"/>
        <v>15.611111111111111</v>
      </c>
    </row>
    <row r="4910" spans="2:5">
      <c r="B4910" s="1115">
        <v>45127</v>
      </c>
      <c r="C4910" s="242">
        <f t="shared" si="153"/>
        <v>7</v>
      </c>
      <c r="D4910" s="242">
        <v>58.6</v>
      </c>
      <c r="E4910" s="845">
        <f t="shared" si="154"/>
        <v>14.777777777777779</v>
      </c>
    </row>
    <row r="4911" spans="2:5">
      <c r="B4911" s="1115">
        <v>45127</v>
      </c>
      <c r="C4911" s="242">
        <f t="shared" si="153"/>
        <v>7</v>
      </c>
      <c r="D4911" s="242">
        <v>56.7</v>
      </c>
      <c r="E4911" s="845">
        <f t="shared" si="154"/>
        <v>13.722222222222223</v>
      </c>
    </row>
    <row r="4912" spans="2:5">
      <c r="B4912" s="1115">
        <v>45127</v>
      </c>
      <c r="C4912" s="242">
        <f t="shared" si="153"/>
        <v>7</v>
      </c>
      <c r="D4912" s="242">
        <v>55.8</v>
      </c>
      <c r="E4912" s="845">
        <f t="shared" si="154"/>
        <v>13.22222222222222</v>
      </c>
    </row>
    <row r="4913" spans="2:5">
      <c r="B4913" s="1115">
        <v>45127</v>
      </c>
      <c r="C4913" s="242">
        <f t="shared" si="153"/>
        <v>7</v>
      </c>
      <c r="D4913" s="242">
        <v>56.5</v>
      </c>
      <c r="E4913" s="845">
        <f t="shared" si="154"/>
        <v>13.611111111111111</v>
      </c>
    </row>
    <row r="4914" spans="2:5">
      <c r="B4914" s="1115">
        <v>45127</v>
      </c>
      <c r="C4914" s="242">
        <f t="shared" si="153"/>
        <v>7</v>
      </c>
      <c r="D4914" s="242">
        <v>56.7</v>
      </c>
      <c r="E4914" s="845">
        <f t="shared" si="154"/>
        <v>13.722222222222223</v>
      </c>
    </row>
    <row r="4915" spans="2:5">
      <c r="B4915" s="1115">
        <v>45127</v>
      </c>
      <c r="C4915" s="242">
        <f t="shared" si="153"/>
        <v>7</v>
      </c>
      <c r="D4915" s="242">
        <v>58.8</v>
      </c>
      <c r="E4915" s="845">
        <f t="shared" si="154"/>
        <v>14.888888888888888</v>
      </c>
    </row>
    <row r="4916" spans="2:5">
      <c r="B4916" s="1115">
        <v>45127</v>
      </c>
      <c r="C4916" s="242">
        <f t="shared" si="153"/>
        <v>7</v>
      </c>
      <c r="D4916" s="242">
        <v>62.6</v>
      </c>
      <c r="E4916" s="845">
        <f t="shared" si="154"/>
        <v>17</v>
      </c>
    </row>
    <row r="4917" spans="2:5">
      <c r="B4917" s="1115">
        <v>45127</v>
      </c>
      <c r="C4917" s="242">
        <f t="shared" si="153"/>
        <v>7</v>
      </c>
      <c r="D4917" s="242">
        <v>65.8</v>
      </c>
      <c r="E4917" s="845">
        <f t="shared" si="154"/>
        <v>18.777777777777775</v>
      </c>
    </row>
    <row r="4918" spans="2:5">
      <c r="B4918" s="1115">
        <v>45127</v>
      </c>
      <c r="C4918" s="242">
        <f t="shared" si="153"/>
        <v>7</v>
      </c>
      <c r="D4918" s="242">
        <v>67.8</v>
      </c>
      <c r="E4918" s="845">
        <f t="shared" si="154"/>
        <v>19.888888888888886</v>
      </c>
    </row>
    <row r="4919" spans="2:5">
      <c r="B4919" s="1115">
        <v>45127</v>
      </c>
      <c r="C4919" s="242">
        <f t="shared" si="153"/>
        <v>7</v>
      </c>
      <c r="D4919" s="242">
        <v>68.7</v>
      </c>
      <c r="E4919" s="845">
        <f t="shared" si="154"/>
        <v>20.388888888888889</v>
      </c>
    </row>
    <row r="4920" spans="2:5">
      <c r="B4920" s="1115">
        <v>45127</v>
      </c>
      <c r="C4920" s="242">
        <f t="shared" si="153"/>
        <v>7</v>
      </c>
      <c r="D4920" s="242">
        <v>67.599999999999994</v>
      </c>
      <c r="E4920" s="845">
        <f t="shared" si="154"/>
        <v>19.777777777777775</v>
      </c>
    </row>
    <row r="4921" spans="2:5">
      <c r="B4921" s="1115">
        <v>45127</v>
      </c>
      <c r="C4921" s="242">
        <f t="shared" si="153"/>
        <v>7</v>
      </c>
      <c r="D4921" s="242">
        <v>62.8</v>
      </c>
      <c r="E4921" s="845">
        <f t="shared" si="154"/>
        <v>17.111111111111111</v>
      </c>
    </row>
    <row r="4922" spans="2:5">
      <c r="B4922" s="1115">
        <v>45127</v>
      </c>
      <c r="C4922" s="242">
        <f t="shared" si="153"/>
        <v>7</v>
      </c>
      <c r="D4922" s="242">
        <v>60.4</v>
      </c>
      <c r="E4922" s="845">
        <f t="shared" si="154"/>
        <v>15.777777777777777</v>
      </c>
    </row>
    <row r="4923" spans="2:5">
      <c r="B4923" s="1115">
        <v>45127</v>
      </c>
      <c r="C4923" s="242">
        <f t="shared" si="153"/>
        <v>7</v>
      </c>
      <c r="D4923" s="242">
        <v>59.7</v>
      </c>
      <c r="E4923" s="845">
        <f t="shared" si="154"/>
        <v>15.388888888888889</v>
      </c>
    </row>
    <row r="4924" spans="2:5">
      <c r="B4924" s="1115">
        <v>45127</v>
      </c>
      <c r="C4924" s="242">
        <f t="shared" si="153"/>
        <v>7</v>
      </c>
      <c r="D4924" s="242">
        <v>59.7</v>
      </c>
      <c r="E4924" s="845">
        <f t="shared" si="154"/>
        <v>15.388888888888889</v>
      </c>
    </row>
    <row r="4925" spans="2:5">
      <c r="B4925" s="1115">
        <v>45127</v>
      </c>
      <c r="C4925" s="242">
        <f t="shared" si="153"/>
        <v>7</v>
      </c>
      <c r="D4925" s="242">
        <v>58.5</v>
      </c>
      <c r="E4925" s="845">
        <f t="shared" si="154"/>
        <v>14.722222222222221</v>
      </c>
    </row>
    <row r="4926" spans="2:5">
      <c r="B4926" s="1115">
        <v>45127</v>
      </c>
      <c r="C4926" s="242">
        <f t="shared" si="153"/>
        <v>7</v>
      </c>
      <c r="D4926" s="242">
        <v>60.4</v>
      </c>
      <c r="E4926" s="845">
        <f t="shared" si="154"/>
        <v>15.777777777777777</v>
      </c>
    </row>
    <row r="4927" spans="2:5">
      <c r="B4927" s="1115">
        <v>45127</v>
      </c>
      <c r="C4927" s="242">
        <f t="shared" si="153"/>
        <v>7</v>
      </c>
      <c r="D4927" s="242">
        <v>60.6</v>
      </c>
      <c r="E4927" s="845">
        <f t="shared" si="154"/>
        <v>15.888888888888889</v>
      </c>
    </row>
    <row r="4928" spans="2:5">
      <c r="B4928" s="1115">
        <v>45127</v>
      </c>
      <c r="C4928" s="242">
        <f t="shared" si="153"/>
        <v>7</v>
      </c>
      <c r="D4928" s="242">
        <v>62.2</v>
      </c>
      <c r="E4928" s="845">
        <f t="shared" si="154"/>
        <v>16.777777777777779</v>
      </c>
    </row>
    <row r="4929" spans="2:5">
      <c r="B4929" s="1115">
        <v>45128</v>
      </c>
      <c r="C4929" s="242">
        <f t="shared" si="153"/>
        <v>7</v>
      </c>
      <c r="D4929" s="242">
        <v>65.3</v>
      </c>
      <c r="E4929" s="845">
        <f t="shared" si="154"/>
        <v>18.499999999999996</v>
      </c>
    </row>
    <row r="4930" spans="2:5">
      <c r="B4930" s="1115">
        <v>45128</v>
      </c>
      <c r="C4930" s="242">
        <f t="shared" si="153"/>
        <v>7</v>
      </c>
      <c r="D4930" s="242">
        <v>67.5</v>
      </c>
      <c r="E4930" s="845">
        <f t="shared" si="154"/>
        <v>19.722222222222221</v>
      </c>
    </row>
    <row r="4931" spans="2:5">
      <c r="B4931" s="1115">
        <v>45128</v>
      </c>
      <c r="C4931" s="242">
        <f t="shared" si="153"/>
        <v>7</v>
      </c>
      <c r="D4931" s="242">
        <v>68.400000000000006</v>
      </c>
      <c r="E4931" s="845">
        <f t="shared" si="154"/>
        <v>20.222222222222225</v>
      </c>
    </row>
    <row r="4932" spans="2:5">
      <c r="B4932" s="1115">
        <v>45128</v>
      </c>
      <c r="C4932" s="242">
        <f t="shared" si="153"/>
        <v>7</v>
      </c>
      <c r="D4932" s="242">
        <v>66.2</v>
      </c>
      <c r="E4932" s="845">
        <f t="shared" si="154"/>
        <v>19</v>
      </c>
    </row>
    <row r="4933" spans="2:5">
      <c r="B4933" s="1115">
        <v>45128</v>
      </c>
      <c r="C4933" s="242">
        <f t="shared" si="153"/>
        <v>7</v>
      </c>
      <c r="D4933" s="242">
        <v>62.6</v>
      </c>
      <c r="E4933" s="845">
        <f t="shared" si="154"/>
        <v>17</v>
      </c>
    </row>
    <row r="4934" spans="2:5">
      <c r="B4934" s="1115">
        <v>45128</v>
      </c>
      <c r="C4934" s="242">
        <f t="shared" si="153"/>
        <v>7</v>
      </c>
      <c r="D4934" s="242">
        <v>62.4</v>
      </c>
      <c r="E4934" s="845">
        <f t="shared" si="154"/>
        <v>16.888888888888889</v>
      </c>
    </row>
    <row r="4935" spans="2:5">
      <c r="B4935" s="1115">
        <v>45128</v>
      </c>
      <c r="C4935" s="242">
        <f t="shared" si="153"/>
        <v>7</v>
      </c>
      <c r="D4935" s="242">
        <v>62.2</v>
      </c>
      <c r="E4935" s="845">
        <f t="shared" si="154"/>
        <v>16.777777777777779</v>
      </c>
    </row>
    <row r="4936" spans="2:5">
      <c r="B4936" s="1115">
        <v>45128</v>
      </c>
      <c r="C4936" s="242">
        <f t="shared" si="153"/>
        <v>7</v>
      </c>
      <c r="D4936" s="242">
        <v>61.7</v>
      </c>
      <c r="E4936" s="845">
        <f t="shared" si="154"/>
        <v>16.5</v>
      </c>
    </row>
    <row r="4937" spans="2:5">
      <c r="B4937" s="1115">
        <v>45128</v>
      </c>
      <c r="C4937" s="242">
        <f t="shared" si="153"/>
        <v>7</v>
      </c>
      <c r="D4937" s="242">
        <v>60.8</v>
      </c>
      <c r="E4937" s="845">
        <f t="shared" si="154"/>
        <v>15.999999999999998</v>
      </c>
    </row>
    <row r="4938" spans="2:5">
      <c r="B4938" s="1115">
        <v>45128</v>
      </c>
      <c r="C4938" s="242">
        <f t="shared" ref="C4938:C5001" si="155">MONTH(B4938)</f>
        <v>7</v>
      </c>
      <c r="D4938" s="242">
        <v>61.3</v>
      </c>
      <c r="E4938" s="845">
        <f t="shared" ref="E4938:E5001" si="156">CONVERT(D4938,"F","C")</f>
        <v>16.277777777777775</v>
      </c>
    </row>
    <row r="4939" spans="2:5">
      <c r="B4939" s="1115">
        <v>45128</v>
      </c>
      <c r="C4939" s="242">
        <f t="shared" si="155"/>
        <v>7</v>
      </c>
      <c r="D4939" s="242">
        <v>62.1</v>
      </c>
      <c r="E4939" s="845">
        <f t="shared" si="156"/>
        <v>16.722222222222221</v>
      </c>
    </row>
    <row r="4940" spans="2:5">
      <c r="B4940" s="1115">
        <v>45128</v>
      </c>
      <c r="C4940" s="242">
        <f t="shared" si="155"/>
        <v>7</v>
      </c>
      <c r="D4940" s="242">
        <v>63.5</v>
      </c>
      <c r="E4940" s="845">
        <f t="shared" si="156"/>
        <v>17.5</v>
      </c>
    </row>
    <row r="4941" spans="2:5">
      <c r="B4941" s="1115">
        <v>45128</v>
      </c>
      <c r="C4941" s="242">
        <f t="shared" si="155"/>
        <v>7</v>
      </c>
      <c r="D4941" s="242">
        <v>65.7</v>
      </c>
      <c r="E4941" s="845">
        <f t="shared" si="156"/>
        <v>18.722222222222225</v>
      </c>
    </row>
    <row r="4942" spans="2:5">
      <c r="B4942" s="1115">
        <v>45128</v>
      </c>
      <c r="C4942" s="242">
        <f t="shared" si="155"/>
        <v>7</v>
      </c>
      <c r="D4942" s="242">
        <v>67.5</v>
      </c>
      <c r="E4942" s="845">
        <f t="shared" si="156"/>
        <v>19.722222222222221</v>
      </c>
    </row>
    <row r="4943" spans="2:5">
      <c r="B4943" s="1115">
        <v>45128</v>
      </c>
      <c r="C4943" s="242">
        <f t="shared" si="155"/>
        <v>7</v>
      </c>
      <c r="D4943" s="242">
        <v>68.5</v>
      </c>
      <c r="E4943" s="845">
        <f t="shared" si="156"/>
        <v>20.277777777777779</v>
      </c>
    </row>
    <row r="4944" spans="2:5">
      <c r="B4944" s="1115">
        <v>45128</v>
      </c>
      <c r="C4944" s="242">
        <f t="shared" si="155"/>
        <v>7</v>
      </c>
      <c r="D4944" s="242">
        <v>69.099999999999994</v>
      </c>
      <c r="E4944" s="845">
        <f t="shared" si="156"/>
        <v>20.611111111111107</v>
      </c>
    </row>
    <row r="4945" spans="2:5">
      <c r="B4945" s="1115">
        <v>45128</v>
      </c>
      <c r="C4945" s="242">
        <f t="shared" si="155"/>
        <v>7</v>
      </c>
      <c r="D4945" s="242">
        <v>67.5</v>
      </c>
      <c r="E4945" s="845">
        <f t="shared" si="156"/>
        <v>19.722222222222221</v>
      </c>
    </row>
    <row r="4946" spans="2:5">
      <c r="B4946" s="1115">
        <v>45128</v>
      </c>
      <c r="C4946" s="242">
        <f t="shared" si="155"/>
        <v>7</v>
      </c>
      <c r="D4946" s="242">
        <v>64.599999999999994</v>
      </c>
      <c r="E4946" s="845">
        <f t="shared" si="156"/>
        <v>18.111111111111107</v>
      </c>
    </row>
    <row r="4947" spans="2:5">
      <c r="B4947" s="1115">
        <v>45128</v>
      </c>
      <c r="C4947" s="242">
        <f t="shared" si="155"/>
        <v>7</v>
      </c>
      <c r="D4947" s="242">
        <v>63.9</v>
      </c>
      <c r="E4947" s="845">
        <f t="shared" si="156"/>
        <v>17.722222222222221</v>
      </c>
    </row>
    <row r="4948" spans="2:5">
      <c r="B4948" s="1115">
        <v>45128</v>
      </c>
      <c r="C4948" s="242">
        <f t="shared" si="155"/>
        <v>7</v>
      </c>
      <c r="D4948" s="242">
        <v>62.4</v>
      </c>
      <c r="E4948" s="845">
        <f t="shared" si="156"/>
        <v>16.888888888888889</v>
      </c>
    </row>
    <row r="4949" spans="2:5">
      <c r="B4949" s="1115">
        <v>45128</v>
      </c>
      <c r="C4949" s="242">
        <f t="shared" si="155"/>
        <v>7</v>
      </c>
      <c r="D4949" s="242" t="s">
        <v>1850</v>
      </c>
      <c r="E4949" s="845">
        <f t="shared" si="156"/>
        <v>16.111111111111111</v>
      </c>
    </row>
    <row r="4950" spans="2:5">
      <c r="B4950" s="1115">
        <v>45128</v>
      </c>
      <c r="C4950" s="242">
        <f t="shared" si="155"/>
        <v>7</v>
      </c>
      <c r="D4950" s="242">
        <v>62.8</v>
      </c>
      <c r="E4950" s="845">
        <f t="shared" si="156"/>
        <v>17.111111111111111</v>
      </c>
    </row>
    <row r="4951" spans="2:5">
      <c r="B4951" s="1115">
        <v>45128</v>
      </c>
      <c r="C4951" s="242">
        <f t="shared" si="155"/>
        <v>7</v>
      </c>
      <c r="D4951" s="242">
        <v>62.6</v>
      </c>
      <c r="E4951" s="845">
        <f t="shared" si="156"/>
        <v>17</v>
      </c>
    </row>
    <row r="4952" spans="2:5">
      <c r="B4952" s="1115">
        <v>45128</v>
      </c>
      <c r="C4952" s="242">
        <f t="shared" si="155"/>
        <v>7</v>
      </c>
      <c r="D4952" s="242">
        <v>63.9</v>
      </c>
      <c r="E4952" s="845">
        <f t="shared" si="156"/>
        <v>17.722222222222221</v>
      </c>
    </row>
    <row r="4953" spans="2:5">
      <c r="B4953" s="1115">
        <v>45129</v>
      </c>
      <c r="C4953" s="242">
        <f t="shared" si="155"/>
        <v>7</v>
      </c>
      <c r="D4953" s="242">
        <v>65.5</v>
      </c>
      <c r="E4953" s="845">
        <f t="shared" si="156"/>
        <v>18.611111111111111</v>
      </c>
    </row>
    <row r="4954" spans="2:5">
      <c r="B4954" s="1115">
        <v>45129</v>
      </c>
      <c r="C4954" s="242">
        <f t="shared" si="155"/>
        <v>7</v>
      </c>
      <c r="D4954" s="242">
        <v>67.3</v>
      </c>
      <c r="E4954" s="845">
        <f t="shared" si="156"/>
        <v>19.611111111111111</v>
      </c>
    </row>
    <row r="4955" spans="2:5">
      <c r="B4955" s="1115">
        <v>45129</v>
      </c>
      <c r="C4955" s="242">
        <f t="shared" si="155"/>
        <v>7</v>
      </c>
      <c r="D4955" s="242">
        <v>68.2</v>
      </c>
      <c r="E4955" s="845">
        <f t="shared" si="156"/>
        <v>20.111111111111111</v>
      </c>
    </row>
    <row r="4956" spans="2:5">
      <c r="B4956" s="1115">
        <v>45129</v>
      </c>
      <c r="C4956" s="242">
        <f t="shared" si="155"/>
        <v>7</v>
      </c>
      <c r="D4956" s="242">
        <v>68.5</v>
      </c>
      <c r="E4956" s="845">
        <f t="shared" si="156"/>
        <v>20.277777777777779</v>
      </c>
    </row>
    <row r="4957" spans="2:5">
      <c r="B4957" s="1115">
        <v>45129</v>
      </c>
      <c r="C4957" s="242">
        <f t="shared" si="155"/>
        <v>7</v>
      </c>
      <c r="D4957" s="242">
        <v>67.099999999999994</v>
      </c>
      <c r="E4957" s="845">
        <f t="shared" si="156"/>
        <v>19.499999999999996</v>
      </c>
    </row>
    <row r="4958" spans="2:5">
      <c r="B4958" s="1115">
        <v>45129</v>
      </c>
      <c r="C4958" s="242">
        <f t="shared" si="155"/>
        <v>7</v>
      </c>
      <c r="D4958" s="242">
        <v>64.2</v>
      </c>
      <c r="E4958" s="845">
        <f t="shared" si="156"/>
        <v>17.888888888888889</v>
      </c>
    </row>
    <row r="4959" spans="2:5">
      <c r="B4959" s="1115">
        <v>45129</v>
      </c>
      <c r="C4959" s="242">
        <f t="shared" si="155"/>
        <v>7</v>
      </c>
      <c r="D4959" s="242">
        <v>64.599999999999994</v>
      </c>
      <c r="E4959" s="845">
        <f t="shared" si="156"/>
        <v>18.111111111111107</v>
      </c>
    </row>
    <row r="4960" spans="2:5">
      <c r="B4960" s="1115">
        <v>45129</v>
      </c>
      <c r="C4960" s="242">
        <f t="shared" si="155"/>
        <v>7</v>
      </c>
      <c r="D4960" s="242">
        <v>64.400000000000006</v>
      </c>
      <c r="E4960" s="845">
        <f t="shared" si="156"/>
        <v>18.000000000000004</v>
      </c>
    </row>
    <row r="4961" spans="2:5">
      <c r="B4961" s="1115">
        <v>45129</v>
      </c>
      <c r="C4961" s="242">
        <f t="shared" si="155"/>
        <v>7</v>
      </c>
      <c r="D4961" s="242">
        <v>63.7</v>
      </c>
      <c r="E4961" s="845">
        <f t="shared" si="156"/>
        <v>17.611111111111111</v>
      </c>
    </row>
    <row r="4962" spans="2:5">
      <c r="B4962" s="1115">
        <v>45129</v>
      </c>
      <c r="C4962" s="242">
        <f t="shared" si="155"/>
        <v>7</v>
      </c>
      <c r="D4962" s="242">
        <v>64.400000000000006</v>
      </c>
      <c r="E4962" s="845">
        <f t="shared" si="156"/>
        <v>18.000000000000004</v>
      </c>
    </row>
    <row r="4963" spans="2:5">
      <c r="B4963" s="1115">
        <v>45129</v>
      </c>
      <c r="C4963" s="242">
        <f t="shared" si="155"/>
        <v>7</v>
      </c>
      <c r="D4963" s="242">
        <v>64.400000000000006</v>
      </c>
      <c r="E4963" s="845">
        <f t="shared" si="156"/>
        <v>18.000000000000004</v>
      </c>
    </row>
    <row r="4964" spans="2:5">
      <c r="B4964" s="1115">
        <v>45129</v>
      </c>
      <c r="C4964" s="242">
        <f t="shared" si="155"/>
        <v>7</v>
      </c>
      <c r="D4964" s="242">
        <v>64.900000000000006</v>
      </c>
      <c r="E4964" s="845">
        <f t="shared" si="156"/>
        <v>18.277777777777782</v>
      </c>
    </row>
    <row r="4965" spans="2:5">
      <c r="B4965" s="1115">
        <v>45129</v>
      </c>
      <c r="C4965" s="242">
        <f t="shared" si="155"/>
        <v>7</v>
      </c>
      <c r="D4965" s="242">
        <v>65.8</v>
      </c>
      <c r="E4965" s="845">
        <f t="shared" si="156"/>
        <v>18.777777777777775</v>
      </c>
    </row>
    <row r="4966" spans="2:5">
      <c r="B4966" s="1115">
        <v>45129</v>
      </c>
      <c r="C4966" s="242">
        <f t="shared" si="155"/>
        <v>7</v>
      </c>
      <c r="D4966" s="242">
        <v>67.3</v>
      </c>
      <c r="E4966" s="845">
        <f t="shared" si="156"/>
        <v>19.611111111111111</v>
      </c>
    </row>
    <row r="4967" spans="2:5">
      <c r="B4967" s="1115">
        <v>45129</v>
      </c>
      <c r="C4967" s="242">
        <f t="shared" si="155"/>
        <v>7</v>
      </c>
      <c r="D4967" s="242">
        <v>68.400000000000006</v>
      </c>
      <c r="E4967" s="845">
        <f t="shared" si="156"/>
        <v>20.222222222222225</v>
      </c>
    </row>
    <row r="4968" spans="2:5">
      <c r="B4968" s="1115">
        <v>45129</v>
      </c>
      <c r="C4968" s="242">
        <f t="shared" si="155"/>
        <v>7</v>
      </c>
      <c r="D4968" s="242">
        <v>69.099999999999994</v>
      </c>
      <c r="E4968" s="845">
        <f t="shared" si="156"/>
        <v>20.611111111111107</v>
      </c>
    </row>
    <row r="4969" spans="2:5">
      <c r="B4969" s="1115">
        <v>45129</v>
      </c>
      <c r="C4969" s="242">
        <f t="shared" si="155"/>
        <v>7</v>
      </c>
      <c r="D4969" s="242">
        <v>68.5</v>
      </c>
      <c r="E4969" s="845">
        <f t="shared" si="156"/>
        <v>20.277777777777779</v>
      </c>
    </row>
    <row r="4970" spans="2:5">
      <c r="B4970" s="1115">
        <v>45129</v>
      </c>
      <c r="C4970" s="242">
        <f t="shared" si="155"/>
        <v>7</v>
      </c>
      <c r="D4970" s="242">
        <v>66.7</v>
      </c>
      <c r="E4970" s="845">
        <f t="shared" si="156"/>
        <v>19.277777777777779</v>
      </c>
    </row>
    <row r="4971" spans="2:5">
      <c r="B4971" s="1115">
        <v>45129</v>
      </c>
      <c r="C4971" s="242">
        <f t="shared" si="155"/>
        <v>7</v>
      </c>
      <c r="D4971" s="242">
        <v>63.5</v>
      </c>
      <c r="E4971" s="845">
        <f t="shared" si="156"/>
        <v>17.5</v>
      </c>
    </row>
    <row r="4972" spans="2:5">
      <c r="B4972" s="1115">
        <v>45129</v>
      </c>
      <c r="C4972" s="242">
        <f t="shared" si="155"/>
        <v>7</v>
      </c>
      <c r="D4972" s="242" t="s">
        <v>1851</v>
      </c>
      <c r="E4972" s="845">
        <f t="shared" si="156"/>
        <v>17.222222222222221</v>
      </c>
    </row>
    <row r="4973" spans="2:5">
      <c r="B4973" s="1115">
        <v>45129</v>
      </c>
      <c r="C4973" s="242">
        <f t="shared" si="155"/>
        <v>7</v>
      </c>
      <c r="D4973" s="242">
        <v>61.2</v>
      </c>
      <c r="E4973" s="845">
        <f t="shared" si="156"/>
        <v>16.222222222222225</v>
      </c>
    </row>
    <row r="4974" spans="2:5">
      <c r="B4974" s="1115">
        <v>45129</v>
      </c>
      <c r="C4974" s="242">
        <f t="shared" si="155"/>
        <v>7</v>
      </c>
      <c r="D4974" s="242">
        <v>62.4</v>
      </c>
      <c r="E4974" s="845">
        <f t="shared" si="156"/>
        <v>16.888888888888889</v>
      </c>
    </row>
    <row r="4975" spans="2:5">
      <c r="B4975" s="1115">
        <v>45129</v>
      </c>
      <c r="C4975" s="242">
        <f t="shared" si="155"/>
        <v>7</v>
      </c>
      <c r="D4975" s="242">
        <v>63.7</v>
      </c>
      <c r="E4975" s="845">
        <f t="shared" si="156"/>
        <v>17.611111111111111</v>
      </c>
    </row>
    <row r="4976" spans="2:5">
      <c r="B4976" s="1115">
        <v>45129</v>
      </c>
      <c r="C4976" s="242">
        <f t="shared" si="155"/>
        <v>7</v>
      </c>
      <c r="D4976" s="242">
        <v>62.4</v>
      </c>
      <c r="E4976" s="845">
        <f t="shared" si="156"/>
        <v>16.888888888888889</v>
      </c>
    </row>
    <row r="4977" spans="2:5">
      <c r="B4977" s="1115">
        <v>45130</v>
      </c>
      <c r="C4977" s="242">
        <f t="shared" si="155"/>
        <v>7</v>
      </c>
      <c r="D4977" s="242">
        <v>63.9</v>
      </c>
      <c r="E4977" s="845">
        <f t="shared" si="156"/>
        <v>17.722222222222221</v>
      </c>
    </row>
    <row r="4978" spans="2:5">
      <c r="B4978" s="1115">
        <v>45130</v>
      </c>
      <c r="C4978" s="242">
        <f t="shared" si="155"/>
        <v>7</v>
      </c>
      <c r="D4978" s="242">
        <v>66.400000000000006</v>
      </c>
      <c r="E4978" s="845">
        <f t="shared" si="156"/>
        <v>19.111111111111114</v>
      </c>
    </row>
    <row r="4979" spans="2:5">
      <c r="B4979" s="1115">
        <v>45130</v>
      </c>
      <c r="C4979" s="242">
        <f t="shared" si="155"/>
        <v>7</v>
      </c>
      <c r="D4979" s="242">
        <v>68.2</v>
      </c>
      <c r="E4979" s="845">
        <f t="shared" si="156"/>
        <v>20.111111111111111</v>
      </c>
    </row>
    <row r="4980" spans="2:5">
      <c r="B4980" s="1115">
        <v>45130</v>
      </c>
      <c r="C4980" s="242">
        <f t="shared" si="155"/>
        <v>7</v>
      </c>
      <c r="D4980" s="242">
        <v>69.099999999999994</v>
      </c>
      <c r="E4980" s="845">
        <f t="shared" si="156"/>
        <v>20.611111111111107</v>
      </c>
    </row>
    <row r="4981" spans="2:5">
      <c r="B4981" s="1115">
        <v>45130</v>
      </c>
      <c r="C4981" s="242">
        <f t="shared" si="155"/>
        <v>7</v>
      </c>
      <c r="D4981" s="242">
        <v>68.5</v>
      </c>
      <c r="E4981" s="845">
        <f t="shared" si="156"/>
        <v>20.277777777777779</v>
      </c>
    </row>
    <row r="4982" spans="2:5">
      <c r="B4982" s="1115">
        <v>45130</v>
      </c>
      <c r="C4982" s="242">
        <f t="shared" si="155"/>
        <v>7</v>
      </c>
      <c r="D4982" s="242">
        <v>66.7</v>
      </c>
      <c r="E4982" s="845">
        <f t="shared" si="156"/>
        <v>19.277777777777779</v>
      </c>
    </row>
    <row r="4983" spans="2:5">
      <c r="B4983" s="1115">
        <v>45130</v>
      </c>
      <c r="C4983" s="242">
        <f t="shared" si="155"/>
        <v>7</v>
      </c>
      <c r="D4983" s="242">
        <v>65.099999999999994</v>
      </c>
      <c r="E4983" s="845">
        <f t="shared" si="156"/>
        <v>18.388888888888886</v>
      </c>
    </row>
    <row r="4984" spans="2:5">
      <c r="B4984" s="1115">
        <v>45130</v>
      </c>
      <c r="C4984" s="242">
        <f t="shared" si="155"/>
        <v>7</v>
      </c>
      <c r="D4984" s="242">
        <v>64.2</v>
      </c>
      <c r="E4984" s="845">
        <f t="shared" si="156"/>
        <v>17.888888888888889</v>
      </c>
    </row>
    <row r="4985" spans="2:5">
      <c r="B4985" s="1115">
        <v>45130</v>
      </c>
      <c r="C4985" s="242">
        <f t="shared" si="155"/>
        <v>7</v>
      </c>
      <c r="D4985" s="242">
        <v>63.9</v>
      </c>
      <c r="E4985" s="845">
        <f t="shared" si="156"/>
        <v>17.722222222222221</v>
      </c>
    </row>
    <row r="4986" spans="2:5">
      <c r="B4986" s="1115">
        <v>45130</v>
      </c>
      <c r="C4986" s="242">
        <f t="shared" si="155"/>
        <v>7</v>
      </c>
      <c r="D4986" s="242">
        <v>63.1</v>
      </c>
      <c r="E4986" s="845">
        <f t="shared" si="156"/>
        <v>17.277777777777779</v>
      </c>
    </row>
    <row r="4987" spans="2:5">
      <c r="B4987" s="1115">
        <v>45130</v>
      </c>
      <c r="C4987" s="242">
        <f t="shared" si="155"/>
        <v>7</v>
      </c>
      <c r="D4987" s="242" t="s">
        <v>1852</v>
      </c>
      <c r="E4987" s="845">
        <f t="shared" si="156"/>
        <v>17.777777777777779</v>
      </c>
    </row>
    <row r="4988" spans="2:5">
      <c r="B4988" s="1115">
        <v>45130</v>
      </c>
      <c r="C4988" s="242">
        <f t="shared" si="155"/>
        <v>7</v>
      </c>
      <c r="D4988" s="242">
        <v>64.400000000000006</v>
      </c>
      <c r="E4988" s="845">
        <f t="shared" si="156"/>
        <v>18.000000000000004</v>
      </c>
    </row>
    <row r="4989" spans="2:5">
      <c r="B4989" s="1115">
        <v>45130</v>
      </c>
      <c r="C4989" s="242">
        <f t="shared" si="155"/>
        <v>7</v>
      </c>
      <c r="D4989" s="242">
        <v>65.099999999999994</v>
      </c>
      <c r="E4989" s="845">
        <f t="shared" si="156"/>
        <v>18.388888888888886</v>
      </c>
    </row>
    <row r="4990" spans="2:5">
      <c r="B4990" s="1115">
        <v>45130</v>
      </c>
      <c r="C4990" s="242">
        <f t="shared" si="155"/>
        <v>7</v>
      </c>
      <c r="D4990" s="242">
        <v>66.900000000000006</v>
      </c>
      <c r="E4990" s="845">
        <f t="shared" si="156"/>
        <v>19.388888888888893</v>
      </c>
    </row>
    <row r="4991" spans="2:5">
      <c r="B4991" s="1115">
        <v>45130</v>
      </c>
      <c r="C4991" s="242">
        <f t="shared" si="155"/>
        <v>7</v>
      </c>
      <c r="D4991" s="242">
        <v>68.400000000000006</v>
      </c>
      <c r="E4991" s="845">
        <f t="shared" si="156"/>
        <v>20.222222222222225</v>
      </c>
    </row>
    <row r="4992" spans="2:5">
      <c r="B4992" s="1115">
        <v>45130</v>
      </c>
      <c r="C4992" s="242">
        <f t="shared" si="155"/>
        <v>7</v>
      </c>
      <c r="D4992" s="242">
        <v>69.400000000000006</v>
      </c>
      <c r="E4992" s="845">
        <f t="shared" si="156"/>
        <v>20.777777777777782</v>
      </c>
    </row>
    <row r="4993" spans="2:5">
      <c r="B4993" s="1115">
        <v>45130</v>
      </c>
      <c r="C4993" s="242">
        <f t="shared" si="155"/>
        <v>7</v>
      </c>
      <c r="D4993" s="242">
        <v>69.8</v>
      </c>
      <c r="E4993" s="845">
        <f t="shared" si="156"/>
        <v>20.999999999999996</v>
      </c>
    </row>
    <row r="4994" spans="2:5">
      <c r="B4994" s="1115">
        <v>45130</v>
      </c>
      <c r="C4994" s="242">
        <f t="shared" si="155"/>
        <v>7</v>
      </c>
      <c r="D4994" s="242">
        <v>69.099999999999994</v>
      </c>
      <c r="E4994" s="845">
        <f t="shared" si="156"/>
        <v>20.611111111111107</v>
      </c>
    </row>
    <row r="4995" spans="2:5">
      <c r="B4995" s="1115">
        <v>45130</v>
      </c>
      <c r="C4995" s="242">
        <f t="shared" si="155"/>
        <v>7</v>
      </c>
      <c r="D4995" s="242" t="s">
        <v>1853</v>
      </c>
      <c r="E4995" s="845">
        <f t="shared" si="156"/>
        <v>18.888888888888889</v>
      </c>
    </row>
    <row r="4996" spans="2:5">
      <c r="B4996" s="1115">
        <v>45130</v>
      </c>
      <c r="C4996" s="242">
        <f t="shared" si="155"/>
        <v>7</v>
      </c>
      <c r="D4996" s="242">
        <v>64.599999999999994</v>
      </c>
      <c r="E4996" s="845">
        <f t="shared" si="156"/>
        <v>18.111111111111107</v>
      </c>
    </row>
    <row r="4997" spans="2:5">
      <c r="B4997" s="1115">
        <v>45130</v>
      </c>
      <c r="C4997" s="242">
        <f t="shared" si="155"/>
        <v>7</v>
      </c>
      <c r="D4997" s="242">
        <v>62.8</v>
      </c>
      <c r="E4997" s="845">
        <f t="shared" si="156"/>
        <v>17.111111111111111</v>
      </c>
    </row>
    <row r="4998" spans="2:5">
      <c r="B4998" s="1115">
        <v>45130</v>
      </c>
      <c r="C4998" s="242">
        <f t="shared" si="155"/>
        <v>7</v>
      </c>
      <c r="D4998" s="242" t="s">
        <v>1851</v>
      </c>
      <c r="E4998" s="845">
        <f t="shared" si="156"/>
        <v>17.222222222222221</v>
      </c>
    </row>
    <row r="4999" spans="2:5">
      <c r="B4999" s="1115">
        <v>45130</v>
      </c>
      <c r="C4999" s="242">
        <f t="shared" si="155"/>
        <v>7</v>
      </c>
      <c r="D4999" s="242" t="s">
        <v>1852</v>
      </c>
      <c r="E4999" s="845">
        <f t="shared" si="156"/>
        <v>17.777777777777779</v>
      </c>
    </row>
    <row r="5000" spans="2:5">
      <c r="B5000" s="1115">
        <v>45130</v>
      </c>
      <c r="C5000" s="242">
        <f t="shared" si="155"/>
        <v>7</v>
      </c>
      <c r="D5000" s="242">
        <v>64.8</v>
      </c>
      <c r="E5000" s="845">
        <f t="shared" si="156"/>
        <v>18.222222222222221</v>
      </c>
    </row>
    <row r="5001" spans="2:5">
      <c r="B5001" s="1115">
        <v>45131</v>
      </c>
      <c r="C5001" s="242">
        <f t="shared" si="155"/>
        <v>7</v>
      </c>
      <c r="D5001" s="242">
        <v>64.599999999999994</v>
      </c>
      <c r="E5001" s="845">
        <f t="shared" si="156"/>
        <v>18.111111111111107</v>
      </c>
    </row>
    <row r="5002" spans="2:5">
      <c r="B5002" s="1115">
        <v>45131</v>
      </c>
      <c r="C5002" s="242">
        <f t="shared" ref="C5002:C5065" si="157">MONTH(B5002)</f>
        <v>7</v>
      </c>
      <c r="D5002" s="242" t="s">
        <v>1853</v>
      </c>
      <c r="E5002" s="845">
        <f t="shared" ref="E5002:E5065" si="158">CONVERT(D5002,"F","C")</f>
        <v>18.888888888888889</v>
      </c>
    </row>
    <row r="5003" spans="2:5">
      <c r="B5003" s="1115">
        <v>45131</v>
      </c>
      <c r="C5003" s="242">
        <f t="shared" si="157"/>
        <v>7</v>
      </c>
      <c r="D5003" s="242">
        <v>68.2</v>
      </c>
      <c r="E5003" s="845">
        <f t="shared" si="158"/>
        <v>20.111111111111111</v>
      </c>
    </row>
    <row r="5004" spans="2:5">
      <c r="B5004" s="1115">
        <v>45131</v>
      </c>
      <c r="C5004" s="242">
        <f t="shared" si="157"/>
        <v>7</v>
      </c>
      <c r="D5004" s="242">
        <v>69.400000000000006</v>
      </c>
      <c r="E5004" s="845">
        <f t="shared" si="158"/>
        <v>20.777777777777782</v>
      </c>
    </row>
    <row r="5005" spans="2:5">
      <c r="B5005" s="1115">
        <v>45131</v>
      </c>
      <c r="C5005" s="242">
        <f t="shared" si="157"/>
        <v>7</v>
      </c>
      <c r="D5005" s="242" t="s">
        <v>1855</v>
      </c>
      <c r="E5005" s="845">
        <f t="shared" si="158"/>
        <v>21.111111111111111</v>
      </c>
    </row>
    <row r="5006" spans="2:5">
      <c r="B5006" s="1115">
        <v>45131</v>
      </c>
      <c r="C5006" s="242">
        <f t="shared" si="157"/>
        <v>7</v>
      </c>
      <c r="D5006" s="242">
        <v>69.099999999999994</v>
      </c>
      <c r="E5006" s="845">
        <f t="shared" si="158"/>
        <v>20.611111111111107</v>
      </c>
    </row>
    <row r="5007" spans="2:5">
      <c r="B5007" s="1115">
        <v>45131</v>
      </c>
      <c r="C5007" s="242">
        <f t="shared" si="157"/>
        <v>7</v>
      </c>
      <c r="D5007" s="242" t="s">
        <v>1854</v>
      </c>
      <c r="E5007" s="845">
        <f t="shared" si="158"/>
        <v>20</v>
      </c>
    </row>
    <row r="5008" spans="2:5">
      <c r="B5008" s="1115">
        <v>45131</v>
      </c>
      <c r="C5008" s="242">
        <f t="shared" si="157"/>
        <v>7</v>
      </c>
      <c r="D5008" s="242">
        <v>64.400000000000006</v>
      </c>
      <c r="E5008" s="845">
        <f t="shared" si="158"/>
        <v>18.000000000000004</v>
      </c>
    </row>
    <row r="5009" spans="2:5">
      <c r="B5009" s="1115">
        <v>45131</v>
      </c>
      <c r="C5009" s="242">
        <f t="shared" si="157"/>
        <v>7</v>
      </c>
      <c r="D5009" s="242">
        <v>61.5</v>
      </c>
      <c r="E5009" s="845">
        <f t="shared" si="158"/>
        <v>16.388888888888889</v>
      </c>
    </row>
    <row r="5010" spans="2:5">
      <c r="B5010" s="1115">
        <v>45131</v>
      </c>
      <c r="C5010" s="242">
        <f t="shared" si="157"/>
        <v>7</v>
      </c>
      <c r="D5010" s="242">
        <v>60.6</v>
      </c>
      <c r="E5010" s="845">
        <f t="shared" si="158"/>
        <v>15.888888888888889</v>
      </c>
    </row>
    <row r="5011" spans="2:5">
      <c r="B5011" s="1115">
        <v>45131</v>
      </c>
      <c r="C5011" s="242">
        <f t="shared" si="157"/>
        <v>7</v>
      </c>
      <c r="D5011" s="242">
        <v>60.6</v>
      </c>
      <c r="E5011" s="845">
        <f t="shared" si="158"/>
        <v>15.888888888888889</v>
      </c>
    </row>
    <row r="5012" spans="2:5">
      <c r="B5012" s="1115">
        <v>45131</v>
      </c>
      <c r="C5012" s="242">
        <f t="shared" si="157"/>
        <v>7</v>
      </c>
      <c r="D5012" s="242">
        <v>62.1</v>
      </c>
      <c r="E5012" s="845">
        <f t="shared" si="158"/>
        <v>16.722222222222221</v>
      </c>
    </row>
    <row r="5013" spans="2:5">
      <c r="B5013" s="1115">
        <v>45131</v>
      </c>
      <c r="C5013" s="242">
        <f t="shared" si="157"/>
        <v>7</v>
      </c>
      <c r="D5013" s="242">
        <v>62.6</v>
      </c>
      <c r="E5013" s="845">
        <f t="shared" si="158"/>
        <v>17</v>
      </c>
    </row>
    <row r="5014" spans="2:5">
      <c r="B5014" s="1115">
        <v>45131</v>
      </c>
      <c r="C5014" s="242">
        <f t="shared" si="157"/>
        <v>7</v>
      </c>
      <c r="D5014" s="242">
        <v>64.8</v>
      </c>
      <c r="E5014" s="845">
        <f t="shared" si="158"/>
        <v>18.222222222222221</v>
      </c>
    </row>
    <row r="5015" spans="2:5">
      <c r="B5015" s="1115">
        <v>45131</v>
      </c>
      <c r="C5015" s="242">
        <f t="shared" si="157"/>
        <v>7</v>
      </c>
      <c r="D5015" s="242">
        <v>67.599999999999994</v>
      </c>
      <c r="E5015" s="845">
        <f t="shared" si="158"/>
        <v>19.777777777777775</v>
      </c>
    </row>
    <row r="5016" spans="2:5">
      <c r="B5016" s="1115">
        <v>45131</v>
      </c>
      <c r="C5016" s="242">
        <f t="shared" si="157"/>
        <v>7</v>
      </c>
      <c r="D5016" s="242">
        <v>69.400000000000006</v>
      </c>
      <c r="E5016" s="845">
        <f t="shared" si="158"/>
        <v>20.777777777777782</v>
      </c>
    </row>
    <row r="5017" spans="2:5">
      <c r="B5017" s="1115">
        <v>45131</v>
      </c>
      <c r="C5017" s="242">
        <f t="shared" si="157"/>
        <v>7</v>
      </c>
      <c r="D5017" s="242">
        <v>70.2</v>
      </c>
      <c r="E5017" s="845">
        <f t="shared" si="158"/>
        <v>21.222222222222225</v>
      </c>
    </row>
    <row r="5018" spans="2:5">
      <c r="B5018" s="1115">
        <v>45131</v>
      </c>
      <c r="C5018" s="242">
        <f t="shared" si="157"/>
        <v>7</v>
      </c>
      <c r="D5018" s="242">
        <v>70.3</v>
      </c>
      <c r="E5018" s="845">
        <f t="shared" si="158"/>
        <v>21.277777777777775</v>
      </c>
    </row>
    <row r="5019" spans="2:5">
      <c r="B5019" s="1115">
        <v>45131</v>
      </c>
      <c r="C5019" s="242">
        <f t="shared" si="157"/>
        <v>7</v>
      </c>
      <c r="D5019" s="242">
        <v>67.8</v>
      </c>
      <c r="E5019" s="845">
        <f t="shared" si="158"/>
        <v>19.888888888888886</v>
      </c>
    </row>
    <row r="5020" spans="2:5">
      <c r="B5020" s="1115">
        <v>45131</v>
      </c>
      <c r="C5020" s="242">
        <f t="shared" si="157"/>
        <v>7</v>
      </c>
      <c r="D5020" s="242">
        <v>63.9</v>
      </c>
      <c r="E5020" s="845">
        <f t="shared" si="158"/>
        <v>17.722222222222221</v>
      </c>
    </row>
    <row r="5021" spans="2:5">
      <c r="B5021" s="1115">
        <v>45131</v>
      </c>
      <c r="C5021" s="242">
        <f t="shared" si="157"/>
        <v>7</v>
      </c>
      <c r="D5021" s="242">
        <v>62.4</v>
      </c>
      <c r="E5021" s="845">
        <f t="shared" si="158"/>
        <v>16.888888888888889</v>
      </c>
    </row>
    <row r="5022" spans="2:5">
      <c r="B5022" s="1115">
        <v>45131</v>
      </c>
      <c r="C5022" s="242">
        <f t="shared" si="157"/>
        <v>7</v>
      </c>
      <c r="D5022" s="242">
        <v>61.7</v>
      </c>
      <c r="E5022" s="845">
        <f t="shared" si="158"/>
        <v>16.5</v>
      </c>
    </row>
    <row r="5023" spans="2:5">
      <c r="B5023" s="1115">
        <v>45131</v>
      </c>
      <c r="C5023" s="242">
        <f t="shared" si="157"/>
        <v>7</v>
      </c>
      <c r="D5023" s="242">
        <v>61.2</v>
      </c>
      <c r="E5023" s="845">
        <f t="shared" si="158"/>
        <v>16.222222222222225</v>
      </c>
    </row>
    <row r="5024" spans="2:5">
      <c r="B5024" s="1115">
        <v>45131</v>
      </c>
      <c r="C5024" s="242">
        <f t="shared" si="157"/>
        <v>7</v>
      </c>
      <c r="D5024" s="242">
        <v>62.2</v>
      </c>
      <c r="E5024" s="845">
        <f t="shared" si="158"/>
        <v>16.777777777777779</v>
      </c>
    </row>
    <row r="5025" spans="2:5">
      <c r="B5025" s="1115">
        <v>45132</v>
      </c>
      <c r="C5025" s="242">
        <f t="shared" si="157"/>
        <v>7</v>
      </c>
      <c r="D5025" s="242">
        <v>61.3</v>
      </c>
      <c r="E5025" s="845">
        <f t="shared" si="158"/>
        <v>16.277777777777775</v>
      </c>
    </row>
    <row r="5026" spans="2:5">
      <c r="B5026" s="1115">
        <v>45132</v>
      </c>
      <c r="C5026" s="242">
        <f t="shared" si="157"/>
        <v>7</v>
      </c>
      <c r="D5026" s="242" t="s">
        <v>1851</v>
      </c>
      <c r="E5026" s="845">
        <f t="shared" si="158"/>
        <v>17.222222222222221</v>
      </c>
    </row>
    <row r="5027" spans="2:5">
      <c r="B5027" s="1115">
        <v>45132</v>
      </c>
      <c r="C5027" s="242">
        <f t="shared" si="157"/>
        <v>7</v>
      </c>
      <c r="D5027" s="242">
        <v>65.7</v>
      </c>
      <c r="E5027" s="845">
        <f t="shared" si="158"/>
        <v>18.722222222222225</v>
      </c>
    </row>
    <row r="5028" spans="2:5">
      <c r="B5028" s="1115">
        <v>45132</v>
      </c>
      <c r="C5028" s="242">
        <f t="shared" si="157"/>
        <v>7</v>
      </c>
      <c r="D5028" s="242" t="s">
        <v>1854</v>
      </c>
      <c r="E5028" s="845">
        <f t="shared" si="158"/>
        <v>20</v>
      </c>
    </row>
    <row r="5029" spans="2:5">
      <c r="B5029" s="1115">
        <v>45132</v>
      </c>
      <c r="C5029" s="242">
        <f t="shared" si="157"/>
        <v>7</v>
      </c>
      <c r="D5029" s="242">
        <v>69.400000000000006</v>
      </c>
      <c r="E5029" s="845">
        <f t="shared" si="158"/>
        <v>20.777777777777782</v>
      </c>
    </row>
    <row r="5030" spans="2:5">
      <c r="B5030" s="1115">
        <v>45132</v>
      </c>
      <c r="C5030" s="242">
        <f t="shared" si="157"/>
        <v>7</v>
      </c>
      <c r="D5030" s="242" t="s">
        <v>1855</v>
      </c>
      <c r="E5030" s="845">
        <f t="shared" si="158"/>
        <v>21.111111111111111</v>
      </c>
    </row>
    <row r="5031" spans="2:5">
      <c r="B5031" s="1115">
        <v>45132</v>
      </c>
      <c r="C5031" s="242">
        <f t="shared" si="157"/>
        <v>7</v>
      </c>
      <c r="D5031" s="242">
        <v>68.2</v>
      </c>
      <c r="E5031" s="845">
        <f t="shared" si="158"/>
        <v>20.111111111111111</v>
      </c>
    </row>
    <row r="5032" spans="2:5">
      <c r="B5032" s="1115">
        <v>45132</v>
      </c>
      <c r="C5032" s="242">
        <f t="shared" si="157"/>
        <v>7</v>
      </c>
      <c r="D5032" s="242">
        <v>64.599999999999994</v>
      </c>
      <c r="E5032" s="845">
        <f t="shared" si="158"/>
        <v>18.111111111111107</v>
      </c>
    </row>
    <row r="5033" spans="2:5">
      <c r="B5033" s="1115">
        <v>45132</v>
      </c>
      <c r="C5033" s="242">
        <f t="shared" si="157"/>
        <v>7</v>
      </c>
      <c r="D5033" s="242">
        <v>64.2</v>
      </c>
      <c r="E5033" s="845">
        <f t="shared" si="158"/>
        <v>17.888888888888889</v>
      </c>
    </row>
    <row r="5034" spans="2:5">
      <c r="B5034" s="1115">
        <v>45132</v>
      </c>
      <c r="C5034" s="242">
        <f t="shared" si="157"/>
        <v>7</v>
      </c>
      <c r="D5034" s="242">
        <v>61.3</v>
      </c>
      <c r="E5034" s="845">
        <f t="shared" si="158"/>
        <v>16.277777777777775</v>
      </c>
    </row>
    <row r="5035" spans="2:5">
      <c r="B5035" s="1115">
        <v>45132</v>
      </c>
      <c r="C5035" s="242">
        <f t="shared" si="157"/>
        <v>7</v>
      </c>
      <c r="D5035" s="242">
        <v>59.9</v>
      </c>
      <c r="E5035" s="845">
        <f t="shared" si="158"/>
        <v>15.499999999999998</v>
      </c>
    </row>
    <row r="5036" spans="2:5">
      <c r="B5036" s="1115">
        <v>45132</v>
      </c>
      <c r="C5036" s="242">
        <f t="shared" si="157"/>
        <v>7</v>
      </c>
      <c r="D5036" s="242">
        <v>59.5</v>
      </c>
      <c r="E5036" s="845">
        <f t="shared" si="158"/>
        <v>15.277777777777777</v>
      </c>
    </row>
    <row r="5037" spans="2:5">
      <c r="B5037" s="1115">
        <v>45132</v>
      </c>
      <c r="C5037" s="242">
        <f t="shared" si="157"/>
        <v>7</v>
      </c>
      <c r="D5037" s="242">
        <v>60.8</v>
      </c>
      <c r="E5037" s="845">
        <f t="shared" si="158"/>
        <v>15.999999999999998</v>
      </c>
    </row>
    <row r="5038" spans="2:5">
      <c r="B5038" s="1115">
        <v>45132</v>
      </c>
      <c r="C5038" s="242">
        <f t="shared" si="157"/>
        <v>7</v>
      </c>
      <c r="D5038" s="242">
        <v>62.4</v>
      </c>
      <c r="E5038" s="845">
        <f t="shared" si="158"/>
        <v>16.888888888888889</v>
      </c>
    </row>
    <row r="5039" spans="2:5">
      <c r="B5039" s="1115">
        <v>45132</v>
      </c>
      <c r="C5039" s="242">
        <f t="shared" si="157"/>
        <v>7</v>
      </c>
      <c r="D5039" s="242">
        <v>64.599999999999994</v>
      </c>
      <c r="E5039" s="845">
        <f t="shared" si="158"/>
        <v>18.111111111111107</v>
      </c>
    </row>
    <row r="5040" spans="2:5">
      <c r="B5040" s="1115">
        <v>45132</v>
      </c>
      <c r="C5040" s="242">
        <f t="shared" si="157"/>
        <v>7</v>
      </c>
      <c r="D5040" s="242">
        <v>67.599999999999994</v>
      </c>
      <c r="E5040" s="845">
        <f t="shared" si="158"/>
        <v>19.777777777777775</v>
      </c>
    </row>
    <row r="5041" spans="2:5">
      <c r="B5041" s="1115">
        <v>45132</v>
      </c>
      <c r="C5041" s="242">
        <f t="shared" si="157"/>
        <v>7</v>
      </c>
      <c r="D5041" s="242">
        <v>69.3</v>
      </c>
      <c r="E5041" s="845">
        <f t="shared" si="158"/>
        <v>20.722222222222221</v>
      </c>
    </row>
    <row r="5042" spans="2:5">
      <c r="B5042" s="1115">
        <v>45132</v>
      </c>
      <c r="C5042" s="242">
        <f t="shared" si="157"/>
        <v>7</v>
      </c>
      <c r="D5042" s="242" t="s">
        <v>1855</v>
      </c>
      <c r="E5042" s="845">
        <f t="shared" si="158"/>
        <v>21.111111111111111</v>
      </c>
    </row>
    <row r="5043" spans="2:5">
      <c r="B5043" s="1115">
        <v>45132</v>
      </c>
      <c r="C5043" s="242">
        <f t="shared" si="157"/>
        <v>7</v>
      </c>
      <c r="D5043" s="242">
        <v>68.900000000000006</v>
      </c>
      <c r="E5043" s="845">
        <f t="shared" si="158"/>
        <v>20.500000000000004</v>
      </c>
    </row>
    <row r="5044" spans="2:5">
      <c r="B5044" s="1115">
        <v>45132</v>
      </c>
      <c r="C5044" s="242">
        <f t="shared" si="157"/>
        <v>7</v>
      </c>
      <c r="D5044" s="242" t="s">
        <v>1853</v>
      </c>
      <c r="E5044" s="845">
        <f t="shared" si="158"/>
        <v>18.888888888888889</v>
      </c>
    </row>
    <row r="5045" spans="2:5">
      <c r="B5045" s="1115">
        <v>45132</v>
      </c>
      <c r="C5045" s="242">
        <f t="shared" si="157"/>
        <v>7</v>
      </c>
      <c r="D5045" s="242" t="s">
        <v>1852</v>
      </c>
      <c r="E5045" s="845">
        <f t="shared" si="158"/>
        <v>17.777777777777779</v>
      </c>
    </row>
    <row r="5046" spans="2:5">
      <c r="B5046" s="1115">
        <v>45132</v>
      </c>
      <c r="C5046" s="242">
        <f t="shared" si="157"/>
        <v>7</v>
      </c>
      <c r="D5046" s="242">
        <v>62.4</v>
      </c>
      <c r="E5046" s="845">
        <f t="shared" si="158"/>
        <v>16.888888888888889</v>
      </c>
    </row>
    <row r="5047" spans="2:5">
      <c r="B5047" s="1115">
        <v>45132</v>
      </c>
      <c r="C5047" s="242">
        <f t="shared" si="157"/>
        <v>7</v>
      </c>
      <c r="D5047" s="242">
        <v>60.6</v>
      </c>
      <c r="E5047" s="845">
        <f t="shared" si="158"/>
        <v>15.888888888888889</v>
      </c>
    </row>
    <row r="5048" spans="2:5">
      <c r="B5048" s="1115">
        <v>45132</v>
      </c>
      <c r="C5048" s="242">
        <f t="shared" si="157"/>
        <v>7</v>
      </c>
      <c r="D5048" s="242">
        <v>59.7</v>
      </c>
      <c r="E5048" s="845">
        <f t="shared" si="158"/>
        <v>15.388888888888889</v>
      </c>
    </row>
    <row r="5049" spans="2:5">
      <c r="B5049" s="1115">
        <v>45133</v>
      </c>
      <c r="C5049" s="242">
        <f t="shared" si="157"/>
        <v>7</v>
      </c>
      <c r="D5049" s="242">
        <v>60.8</v>
      </c>
      <c r="E5049" s="845">
        <f t="shared" si="158"/>
        <v>15.999999999999998</v>
      </c>
    </row>
    <row r="5050" spans="2:5">
      <c r="B5050" s="1115">
        <v>45133</v>
      </c>
      <c r="C5050" s="242">
        <f t="shared" si="157"/>
        <v>7</v>
      </c>
      <c r="D5050" s="242">
        <v>61.2</v>
      </c>
      <c r="E5050" s="845">
        <f t="shared" si="158"/>
        <v>16.222222222222225</v>
      </c>
    </row>
    <row r="5051" spans="2:5">
      <c r="B5051" s="1115">
        <v>45133</v>
      </c>
      <c r="C5051" s="242">
        <f t="shared" si="157"/>
        <v>7</v>
      </c>
      <c r="D5051" s="242">
        <v>62.8</v>
      </c>
      <c r="E5051" s="845">
        <f t="shared" si="158"/>
        <v>17.111111111111111</v>
      </c>
    </row>
    <row r="5052" spans="2:5">
      <c r="B5052" s="1115">
        <v>45133</v>
      </c>
      <c r="C5052" s="242">
        <f t="shared" si="157"/>
        <v>7</v>
      </c>
      <c r="D5052" s="242">
        <v>65.7</v>
      </c>
      <c r="E5052" s="845">
        <f t="shared" si="158"/>
        <v>18.722222222222225</v>
      </c>
    </row>
    <row r="5053" spans="2:5">
      <c r="B5053" s="1115">
        <v>45133</v>
      </c>
      <c r="C5053" s="242">
        <f t="shared" si="157"/>
        <v>7</v>
      </c>
      <c r="D5053" s="242">
        <v>68.2</v>
      </c>
      <c r="E5053" s="845">
        <f t="shared" si="158"/>
        <v>20.111111111111111</v>
      </c>
    </row>
    <row r="5054" spans="2:5">
      <c r="B5054" s="1115">
        <v>45133</v>
      </c>
      <c r="C5054" s="242">
        <f t="shared" si="157"/>
        <v>7</v>
      </c>
      <c r="D5054" s="242">
        <v>69.3</v>
      </c>
      <c r="E5054" s="845">
        <f t="shared" si="158"/>
        <v>20.722222222222221</v>
      </c>
    </row>
    <row r="5055" spans="2:5">
      <c r="B5055" s="1115">
        <v>45133</v>
      </c>
      <c r="C5055" s="242">
        <f t="shared" si="157"/>
        <v>7</v>
      </c>
      <c r="D5055" s="242">
        <v>69.599999999999994</v>
      </c>
      <c r="E5055" s="845">
        <f t="shared" si="158"/>
        <v>20.888888888888886</v>
      </c>
    </row>
    <row r="5056" spans="2:5">
      <c r="B5056" s="1115">
        <v>45133</v>
      </c>
      <c r="C5056" s="242">
        <f t="shared" si="157"/>
        <v>7</v>
      </c>
      <c r="D5056" s="242">
        <v>68.5</v>
      </c>
      <c r="E5056" s="845">
        <f t="shared" si="158"/>
        <v>20.277777777777779</v>
      </c>
    </row>
    <row r="5057" spans="2:5">
      <c r="B5057" s="1115">
        <v>45133</v>
      </c>
      <c r="C5057" s="242">
        <f t="shared" si="157"/>
        <v>7</v>
      </c>
      <c r="D5057" s="242">
        <v>62.8</v>
      </c>
      <c r="E5057" s="845">
        <f t="shared" si="158"/>
        <v>17.111111111111111</v>
      </c>
    </row>
    <row r="5058" spans="2:5">
      <c r="B5058" s="1115">
        <v>45133</v>
      </c>
      <c r="C5058" s="242">
        <f t="shared" si="157"/>
        <v>7</v>
      </c>
      <c r="D5058" s="242">
        <v>61.7</v>
      </c>
      <c r="E5058" s="845">
        <f t="shared" si="158"/>
        <v>16.5</v>
      </c>
    </row>
    <row r="5059" spans="2:5">
      <c r="B5059" s="1115">
        <v>45133</v>
      </c>
      <c r="C5059" s="242">
        <f t="shared" si="157"/>
        <v>7</v>
      </c>
      <c r="D5059" s="242">
        <v>58.6</v>
      </c>
      <c r="E5059" s="845">
        <f t="shared" si="158"/>
        <v>14.777777777777779</v>
      </c>
    </row>
    <row r="5060" spans="2:5">
      <c r="B5060" s="1115">
        <v>45133</v>
      </c>
      <c r="C5060" s="242">
        <f t="shared" si="157"/>
        <v>7</v>
      </c>
      <c r="D5060" s="242">
        <v>57.4</v>
      </c>
      <c r="E5060" s="845">
        <f t="shared" si="158"/>
        <v>14.111111111111111</v>
      </c>
    </row>
    <row r="5061" spans="2:5">
      <c r="B5061" s="1115">
        <v>45133</v>
      </c>
      <c r="C5061" s="242">
        <f t="shared" si="157"/>
        <v>7</v>
      </c>
      <c r="D5061" s="242">
        <v>60.6</v>
      </c>
      <c r="E5061" s="845">
        <f t="shared" si="158"/>
        <v>15.888888888888889</v>
      </c>
    </row>
    <row r="5062" spans="2:5">
      <c r="B5062" s="1115">
        <v>45133</v>
      </c>
      <c r="C5062" s="242">
        <f t="shared" si="157"/>
        <v>7</v>
      </c>
      <c r="D5062" s="242">
        <v>58.8</v>
      </c>
      <c r="E5062" s="845">
        <f t="shared" si="158"/>
        <v>14.888888888888888</v>
      </c>
    </row>
    <row r="5063" spans="2:5">
      <c r="B5063" s="1115">
        <v>45133</v>
      </c>
      <c r="C5063" s="242">
        <f t="shared" si="157"/>
        <v>7</v>
      </c>
      <c r="D5063" s="242">
        <v>60.6</v>
      </c>
      <c r="E5063" s="845">
        <f t="shared" si="158"/>
        <v>15.888888888888889</v>
      </c>
    </row>
    <row r="5064" spans="2:5">
      <c r="B5064" s="1115">
        <v>45133</v>
      </c>
      <c r="C5064" s="242">
        <f t="shared" si="157"/>
        <v>7</v>
      </c>
      <c r="D5064" s="242">
        <v>63.9</v>
      </c>
      <c r="E5064" s="845">
        <f t="shared" si="158"/>
        <v>17.722222222222221</v>
      </c>
    </row>
    <row r="5065" spans="2:5">
      <c r="B5065" s="1115">
        <v>45133</v>
      </c>
      <c r="C5065" s="242">
        <f t="shared" si="157"/>
        <v>7</v>
      </c>
      <c r="D5065" s="242">
        <v>67.099999999999994</v>
      </c>
      <c r="E5065" s="845">
        <f t="shared" si="158"/>
        <v>19.499999999999996</v>
      </c>
    </row>
    <row r="5066" spans="2:5">
      <c r="B5066" s="1115">
        <v>45133</v>
      </c>
      <c r="C5066" s="242">
        <f t="shared" ref="C5066:C5129" si="159">MONTH(B5066)</f>
        <v>7</v>
      </c>
      <c r="D5066" s="242">
        <v>69.3</v>
      </c>
      <c r="E5066" s="845">
        <f t="shared" ref="E5066:E5129" si="160">CONVERT(D5066,"F","C")</f>
        <v>20.722222222222221</v>
      </c>
    </row>
    <row r="5067" spans="2:5">
      <c r="B5067" s="1115">
        <v>45133</v>
      </c>
      <c r="C5067" s="242">
        <f t="shared" si="159"/>
        <v>7</v>
      </c>
      <c r="D5067" s="242" t="s">
        <v>1855</v>
      </c>
      <c r="E5067" s="845">
        <f t="shared" si="160"/>
        <v>21.111111111111111</v>
      </c>
    </row>
    <row r="5068" spans="2:5">
      <c r="B5068" s="1115">
        <v>45133</v>
      </c>
      <c r="C5068" s="242">
        <f t="shared" si="159"/>
        <v>7</v>
      </c>
      <c r="D5068" s="242">
        <v>67.099999999999994</v>
      </c>
      <c r="E5068" s="845">
        <f t="shared" si="160"/>
        <v>19.499999999999996</v>
      </c>
    </row>
    <row r="5069" spans="2:5">
      <c r="B5069" s="1115">
        <v>45133</v>
      </c>
      <c r="C5069" s="242">
        <f t="shared" si="159"/>
        <v>7</v>
      </c>
      <c r="D5069" s="242">
        <v>62.2</v>
      </c>
      <c r="E5069" s="845">
        <f t="shared" si="160"/>
        <v>16.777777777777779</v>
      </c>
    </row>
    <row r="5070" spans="2:5">
      <c r="B5070" s="1115">
        <v>45133</v>
      </c>
      <c r="C5070" s="242">
        <f t="shared" si="159"/>
        <v>7</v>
      </c>
      <c r="D5070" s="242">
        <v>61.7</v>
      </c>
      <c r="E5070" s="845">
        <f t="shared" si="160"/>
        <v>16.5</v>
      </c>
    </row>
    <row r="5071" spans="2:5">
      <c r="B5071" s="1115">
        <v>45133</v>
      </c>
      <c r="C5071" s="242">
        <f t="shared" si="159"/>
        <v>7</v>
      </c>
      <c r="D5071" s="242">
        <v>60.8</v>
      </c>
      <c r="E5071" s="845">
        <f t="shared" si="160"/>
        <v>15.999999999999998</v>
      </c>
    </row>
    <row r="5072" spans="2:5">
      <c r="B5072" s="1115">
        <v>45133</v>
      </c>
      <c r="C5072" s="242">
        <f t="shared" si="159"/>
        <v>7</v>
      </c>
      <c r="D5072" s="242">
        <v>59.2</v>
      </c>
      <c r="E5072" s="845">
        <f t="shared" si="160"/>
        <v>15.111111111111112</v>
      </c>
    </row>
    <row r="5073" spans="2:5">
      <c r="B5073" s="1115">
        <v>45134</v>
      </c>
      <c r="C5073" s="242">
        <f t="shared" si="159"/>
        <v>7</v>
      </c>
      <c r="D5073" s="242" t="s">
        <v>1849</v>
      </c>
      <c r="E5073" s="845">
        <f t="shared" si="160"/>
        <v>15</v>
      </c>
    </row>
    <row r="5074" spans="2:5">
      <c r="B5074" s="1115">
        <v>45134</v>
      </c>
      <c r="C5074" s="242">
        <f t="shared" si="159"/>
        <v>7</v>
      </c>
      <c r="D5074" s="242" t="s">
        <v>1849</v>
      </c>
      <c r="E5074" s="845">
        <f t="shared" si="160"/>
        <v>15</v>
      </c>
    </row>
    <row r="5075" spans="2:5">
      <c r="B5075" s="1115">
        <v>45134</v>
      </c>
      <c r="C5075" s="242">
        <f t="shared" si="159"/>
        <v>7</v>
      </c>
      <c r="D5075" s="242">
        <v>59.9</v>
      </c>
      <c r="E5075" s="845">
        <f t="shared" si="160"/>
        <v>15.499999999999998</v>
      </c>
    </row>
    <row r="5076" spans="2:5">
      <c r="B5076" s="1115">
        <v>45134</v>
      </c>
      <c r="C5076" s="242">
        <f t="shared" si="159"/>
        <v>7</v>
      </c>
      <c r="D5076" s="242">
        <v>61.7</v>
      </c>
      <c r="E5076" s="845">
        <f t="shared" si="160"/>
        <v>16.5</v>
      </c>
    </row>
    <row r="5077" spans="2:5">
      <c r="B5077" s="1115">
        <v>45134</v>
      </c>
      <c r="C5077" s="242">
        <f t="shared" si="159"/>
        <v>7</v>
      </c>
      <c r="D5077" s="242">
        <v>65.3</v>
      </c>
      <c r="E5077" s="845">
        <f t="shared" si="160"/>
        <v>18.499999999999996</v>
      </c>
    </row>
    <row r="5078" spans="2:5">
      <c r="B5078" s="1115">
        <v>45134</v>
      </c>
      <c r="C5078" s="242">
        <f t="shared" si="159"/>
        <v>7</v>
      </c>
      <c r="D5078" s="242">
        <v>67.599999999999994</v>
      </c>
      <c r="E5078" s="845">
        <f t="shared" si="160"/>
        <v>19.777777777777775</v>
      </c>
    </row>
    <row r="5079" spans="2:5">
      <c r="B5079" s="1115">
        <v>45134</v>
      </c>
      <c r="C5079" s="242">
        <f t="shared" si="159"/>
        <v>7</v>
      </c>
      <c r="D5079" s="242">
        <v>68.900000000000006</v>
      </c>
      <c r="E5079" s="845">
        <f t="shared" si="160"/>
        <v>20.500000000000004</v>
      </c>
    </row>
    <row r="5080" spans="2:5">
      <c r="B5080" s="1115">
        <v>45134</v>
      </c>
      <c r="C5080" s="242">
        <f t="shared" si="159"/>
        <v>7</v>
      </c>
      <c r="D5080" s="242">
        <v>69.3</v>
      </c>
      <c r="E5080" s="845">
        <f t="shared" si="160"/>
        <v>20.722222222222221</v>
      </c>
    </row>
    <row r="5081" spans="2:5">
      <c r="B5081" s="1115">
        <v>45134</v>
      </c>
      <c r="C5081" s="242">
        <f t="shared" si="159"/>
        <v>7</v>
      </c>
      <c r="D5081" s="242">
        <v>68.2</v>
      </c>
      <c r="E5081" s="845">
        <f t="shared" si="160"/>
        <v>20.111111111111111</v>
      </c>
    </row>
    <row r="5082" spans="2:5">
      <c r="B5082" s="1115">
        <v>45134</v>
      </c>
      <c r="C5082" s="242">
        <f t="shared" si="159"/>
        <v>7</v>
      </c>
      <c r="D5082" s="242">
        <v>63.5</v>
      </c>
      <c r="E5082" s="845">
        <f t="shared" si="160"/>
        <v>17.5</v>
      </c>
    </row>
    <row r="5083" spans="2:5">
      <c r="B5083" s="1115">
        <v>45134</v>
      </c>
      <c r="C5083" s="242">
        <f t="shared" si="159"/>
        <v>7</v>
      </c>
      <c r="D5083" s="242">
        <v>60.4</v>
      </c>
      <c r="E5083" s="845">
        <f t="shared" si="160"/>
        <v>15.777777777777777</v>
      </c>
    </row>
    <row r="5084" spans="2:5">
      <c r="B5084" s="1115">
        <v>45134</v>
      </c>
      <c r="C5084" s="242">
        <f t="shared" si="159"/>
        <v>7</v>
      </c>
      <c r="D5084" s="242">
        <v>59.4</v>
      </c>
      <c r="E5084" s="845">
        <f t="shared" si="160"/>
        <v>15.222222222222221</v>
      </c>
    </row>
    <row r="5085" spans="2:5">
      <c r="B5085" s="1115">
        <v>45134</v>
      </c>
      <c r="C5085" s="242">
        <f t="shared" si="159"/>
        <v>7</v>
      </c>
      <c r="D5085" s="242">
        <v>58.1</v>
      </c>
      <c r="E5085" s="845">
        <f t="shared" si="160"/>
        <v>14.5</v>
      </c>
    </row>
    <row r="5086" spans="2:5">
      <c r="B5086" s="1115">
        <v>45134</v>
      </c>
      <c r="C5086" s="242">
        <f t="shared" si="159"/>
        <v>7</v>
      </c>
      <c r="D5086" s="242" t="s">
        <v>1849</v>
      </c>
      <c r="E5086" s="845">
        <f t="shared" si="160"/>
        <v>15</v>
      </c>
    </row>
    <row r="5087" spans="2:5">
      <c r="B5087" s="1115">
        <v>45134</v>
      </c>
      <c r="C5087" s="242">
        <f t="shared" si="159"/>
        <v>7</v>
      </c>
      <c r="D5087" s="242" t="s">
        <v>1849</v>
      </c>
      <c r="E5087" s="845">
        <f t="shared" si="160"/>
        <v>15</v>
      </c>
    </row>
    <row r="5088" spans="2:5">
      <c r="B5088" s="1115">
        <v>45134</v>
      </c>
      <c r="C5088" s="242">
        <f t="shared" si="159"/>
        <v>7</v>
      </c>
      <c r="D5088" s="242">
        <v>60.6</v>
      </c>
      <c r="E5088" s="845">
        <f t="shared" si="160"/>
        <v>15.888888888888889</v>
      </c>
    </row>
    <row r="5089" spans="2:5">
      <c r="B5089" s="1115">
        <v>45134</v>
      </c>
      <c r="C5089" s="242">
        <f t="shared" si="159"/>
        <v>7</v>
      </c>
      <c r="D5089" s="242">
        <v>63.5</v>
      </c>
      <c r="E5089" s="845">
        <f t="shared" si="160"/>
        <v>17.5</v>
      </c>
    </row>
    <row r="5090" spans="2:5">
      <c r="B5090" s="1115">
        <v>45134</v>
      </c>
      <c r="C5090" s="242">
        <f t="shared" si="159"/>
        <v>7</v>
      </c>
      <c r="D5090" s="242">
        <v>66.599999999999994</v>
      </c>
      <c r="E5090" s="845">
        <f t="shared" si="160"/>
        <v>19.222222222222218</v>
      </c>
    </row>
    <row r="5091" spans="2:5">
      <c r="B5091" s="1115">
        <v>45134</v>
      </c>
      <c r="C5091" s="242">
        <f t="shared" si="159"/>
        <v>7</v>
      </c>
      <c r="D5091" s="242">
        <v>68.2</v>
      </c>
      <c r="E5091" s="845">
        <f t="shared" si="160"/>
        <v>20.111111111111111</v>
      </c>
    </row>
    <row r="5092" spans="2:5">
      <c r="B5092" s="1115">
        <v>45134</v>
      </c>
      <c r="C5092" s="242">
        <f t="shared" si="159"/>
        <v>7</v>
      </c>
      <c r="D5092" s="242">
        <v>68.900000000000006</v>
      </c>
      <c r="E5092" s="845">
        <f t="shared" si="160"/>
        <v>20.500000000000004</v>
      </c>
    </row>
    <row r="5093" spans="2:5">
      <c r="B5093" s="1115">
        <v>45134</v>
      </c>
      <c r="C5093" s="242">
        <f t="shared" si="159"/>
        <v>7</v>
      </c>
      <c r="D5093" s="242">
        <v>66.400000000000006</v>
      </c>
      <c r="E5093" s="845">
        <f t="shared" si="160"/>
        <v>19.111111111111114</v>
      </c>
    </row>
    <row r="5094" spans="2:5">
      <c r="B5094" s="1115">
        <v>45134</v>
      </c>
      <c r="C5094" s="242">
        <f t="shared" si="159"/>
        <v>7</v>
      </c>
      <c r="D5094" s="242">
        <v>61.9</v>
      </c>
      <c r="E5094" s="845">
        <f t="shared" si="160"/>
        <v>16.611111111111111</v>
      </c>
    </row>
    <row r="5095" spans="2:5">
      <c r="B5095" s="1115">
        <v>45134</v>
      </c>
      <c r="C5095" s="242">
        <f t="shared" si="159"/>
        <v>7</v>
      </c>
      <c r="D5095" s="242">
        <v>60.3</v>
      </c>
      <c r="E5095" s="845">
        <f t="shared" si="160"/>
        <v>15.72222222222222</v>
      </c>
    </row>
    <row r="5096" spans="2:5">
      <c r="B5096" s="1115">
        <v>45134</v>
      </c>
      <c r="C5096" s="242">
        <f t="shared" si="159"/>
        <v>7</v>
      </c>
      <c r="D5096" s="242">
        <v>58.5</v>
      </c>
      <c r="E5096" s="845">
        <f t="shared" si="160"/>
        <v>14.722222222222221</v>
      </c>
    </row>
    <row r="5097" spans="2:5">
      <c r="B5097" s="1115">
        <v>45135</v>
      </c>
      <c r="C5097" s="242">
        <f t="shared" si="159"/>
        <v>7</v>
      </c>
      <c r="D5097" s="242">
        <v>57.2</v>
      </c>
      <c r="E5097" s="845">
        <f t="shared" si="160"/>
        <v>14.000000000000002</v>
      </c>
    </row>
    <row r="5098" spans="2:5">
      <c r="B5098" s="1115">
        <v>45135</v>
      </c>
      <c r="C5098" s="242">
        <f t="shared" si="159"/>
        <v>7</v>
      </c>
      <c r="D5098" s="242">
        <v>57.2</v>
      </c>
      <c r="E5098" s="845">
        <f t="shared" si="160"/>
        <v>14.000000000000002</v>
      </c>
    </row>
    <row r="5099" spans="2:5">
      <c r="B5099" s="1115">
        <v>45135</v>
      </c>
      <c r="C5099" s="242">
        <f t="shared" si="159"/>
        <v>7</v>
      </c>
      <c r="D5099" s="242">
        <v>57.4</v>
      </c>
      <c r="E5099" s="845">
        <f t="shared" si="160"/>
        <v>14.111111111111111</v>
      </c>
    </row>
    <row r="5100" spans="2:5">
      <c r="B5100" s="1115">
        <v>45135</v>
      </c>
      <c r="C5100" s="242">
        <f t="shared" si="159"/>
        <v>7</v>
      </c>
      <c r="D5100" s="242">
        <v>58.5</v>
      </c>
      <c r="E5100" s="845">
        <f t="shared" si="160"/>
        <v>14.722222222222221</v>
      </c>
    </row>
    <row r="5101" spans="2:5">
      <c r="B5101" s="1115">
        <v>45135</v>
      </c>
      <c r="C5101" s="242">
        <f t="shared" si="159"/>
        <v>7</v>
      </c>
      <c r="D5101" s="242">
        <v>60.6</v>
      </c>
      <c r="E5101" s="845">
        <f t="shared" si="160"/>
        <v>15.888888888888889</v>
      </c>
    </row>
    <row r="5102" spans="2:5">
      <c r="B5102" s="1115">
        <v>45135</v>
      </c>
      <c r="C5102" s="242">
        <f t="shared" si="159"/>
        <v>7</v>
      </c>
      <c r="D5102" s="242">
        <v>64.400000000000006</v>
      </c>
      <c r="E5102" s="845">
        <f t="shared" si="160"/>
        <v>18.000000000000004</v>
      </c>
    </row>
    <row r="5103" spans="2:5">
      <c r="B5103" s="1115">
        <v>45135</v>
      </c>
      <c r="C5103" s="242">
        <f t="shared" si="159"/>
        <v>7</v>
      </c>
      <c r="D5103" s="242">
        <v>66.7</v>
      </c>
      <c r="E5103" s="845">
        <f t="shared" si="160"/>
        <v>19.277777777777779</v>
      </c>
    </row>
    <row r="5104" spans="2:5">
      <c r="B5104" s="1115">
        <v>45135</v>
      </c>
      <c r="C5104" s="242">
        <f t="shared" si="159"/>
        <v>7</v>
      </c>
      <c r="D5104" s="242">
        <v>68.2</v>
      </c>
      <c r="E5104" s="845">
        <f t="shared" si="160"/>
        <v>20.111111111111111</v>
      </c>
    </row>
    <row r="5105" spans="2:5">
      <c r="B5105" s="1115">
        <v>45135</v>
      </c>
      <c r="C5105" s="242">
        <f t="shared" si="159"/>
        <v>7</v>
      </c>
      <c r="D5105" s="242">
        <v>68.5</v>
      </c>
      <c r="E5105" s="845">
        <f t="shared" si="160"/>
        <v>20.277777777777779</v>
      </c>
    </row>
    <row r="5106" spans="2:5">
      <c r="B5106" s="1115">
        <v>45135</v>
      </c>
      <c r="C5106" s="242">
        <f t="shared" si="159"/>
        <v>7</v>
      </c>
      <c r="D5106" s="242">
        <v>67.5</v>
      </c>
      <c r="E5106" s="845">
        <f t="shared" si="160"/>
        <v>19.722222222222221</v>
      </c>
    </row>
    <row r="5107" spans="2:5">
      <c r="B5107" s="1115">
        <v>45135</v>
      </c>
      <c r="C5107" s="242">
        <f t="shared" si="159"/>
        <v>7</v>
      </c>
      <c r="D5107" s="242">
        <v>61.2</v>
      </c>
      <c r="E5107" s="845">
        <f t="shared" si="160"/>
        <v>16.222222222222225</v>
      </c>
    </row>
    <row r="5108" spans="2:5">
      <c r="B5108" s="1115">
        <v>45135</v>
      </c>
      <c r="C5108" s="242">
        <f t="shared" si="159"/>
        <v>7</v>
      </c>
      <c r="D5108" s="242">
        <v>58.6</v>
      </c>
      <c r="E5108" s="845">
        <f t="shared" si="160"/>
        <v>14.777777777777779</v>
      </c>
    </row>
    <row r="5109" spans="2:5">
      <c r="B5109" s="1115">
        <v>45135</v>
      </c>
      <c r="C5109" s="242">
        <f t="shared" si="159"/>
        <v>7</v>
      </c>
      <c r="D5109" s="242">
        <v>57.2</v>
      </c>
      <c r="E5109" s="845">
        <f t="shared" si="160"/>
        <v>14.000000000000002</v>
      </c>
    </row>
    <row r="5110" spans="2:5">
      <c r="B5110" s="1115">
        <v>45135</v>
      </c>
      <c r="C5110" s="242">
        <f t="shared" si="159"/>
        <v>7</v>
      </c>
      <c r="D5110" s="242">
        <v>56.1</v>
      </c>
      <c r="E5110" s="845">
        <f t="shared" si="160"/>
        <v>13.388888888888889</v>
      </c>
    </row>
    <row r="5111" spans="2:5">
      <c r="B5111" s="1115">
        <v>45135</v>
      </c>
      <c r="C5111" s="242">
        <f t="shared" si="159"/>
        <v>7</v>
      </c>
      <c r="D5111" s="242" t="s">
        <v>1849</v>
      </c>
      <c r="E5111" s="845">
        <f t="shared" si="160"/>
        <v>15</v>
      </c>
    </row>
    <row r="5112" spans="2:5">
      <c r="B5112" s="1115">
        <v>45135</v>
      </c>
      <c r="C5112" s="242">
        <f t="shared" si="159"/>
        <v>7</v>
      </c>
      <c r="D5112" s="242">
        <v>57.6</v>
      </c>
      <c r="E5112" s="845">
        <f t="shared" si="160"/>
        <v>14.222222222222223</v>
      </c>
    </row>
    <row r="5113" spans="2:5">
      <c r="B5113" s="1115">
        <v>45135</v>
      </c>
      <c r="C5113" s="242">
        <f t="shared" si="159"/>
        <v>7</v>
      </c>
      <c r="D5113" s="242">
        <v>59.5</v>
      </c>
      <c r="E5113" s="845">
        <f t="shared" si="160"/>
        <v>15.277777777777777</v>
      </c>
    </row>
    <row r="5114" spans="2:5">
      <c r="B5114" s="1115">
        <v>45135</v>
      </c>
      <c r="C5114" s="242">
        <f t="shared" si="159"/>
        <v>7</v>
      </c>
      <c r="D5114" s="242">
        <v>62.8</v>
      </c>
      <c r="E5114" s="845">
        <f t="shared" si="160"/>
        <v>17.111111111111111</v>
      </c>
    </row>
    <row r="5115" spans="2:5">
      <c r="B5115" s="1115">
        <v>45135</v>
      </c>
      <c r="C5115" s="242">
        <f t="shared" si="159"/>
        <v>7</v>
      </c>
      <c r="D5115" s="242">
        <v>66.2</v>
      </c>
      <c r="E5115" s="845">
        <f t="shared" si="160"/>
        <v>19</v>
      </c>
    </row>
    <row r="5116" spans="2:5">
      <c r="B5116" s="1115">
        <v>45135</v>
      </c>
      <c r="C5116" s="242">
        <f t="shared" si="159"/>
        <v>7</v>
      </c>
      <c r="D5116" s="242">
        <v>68.2</v>
      </c>
      <c r="E5116" s="845">
        <f t="shared" si="160"/>
        <v>20.111111111111111</v>
      </c>
    </row>
    <row r="5117" spans="2:5">
      <c r="B5117" s="1115">
        <v>45135</v>
      </c>
      <c r="C5117" s="242">
        <f t="shared" si="159"/>
        <v>7</v>
      </c>
      <c r="D5117" s="242">
        <v>68.5</v>
      </c>
      <c r="E5117" s="845">
        <f t="shared" si="160"/>
        <v>20.277777777777779</v>
      </c>
    </row>
    <row r="5118" spans="2:5">
      <c r="B5118" s="1115">
        <v>45135</v>
      </c>
      <c r="C5118" s="242">
        <f t="shared" si="159"/>
        <v>7</v>
      </c>
      <c r="D5118" s="242">
        <v>64.900000000000006</v>
      </c>
      <c r="E5118" s="845">
        <f t="shared" si="160"/>
        <v>18.277777777777782</v>
      </c>
    </row>
    <row r="5119" spans="2:5">
      <c r="B5119" s="1115">
        <v>45135</v>
      </c>
      <c r="C5119" s="242">
        <f t="shared" si="159"/>
        <v>7</v>
      </c>
      <c r="D5119" s="242">
        <v>61.9</v>
      </c>
      <c r="E5119" s="845">
        <f t="shared" si="160"/>
        <v>16.611111111111111</v>
      </c>
    </row>
    <row r="5120" spans="2:5">
      <c r="B5120" s="1115">
        <v>45135</v>
      </c>
      <c r="C5120" s="242">
        <f t="shared" si="159"/>
        <v>7</v>
      </c>
      <c r="D5120" s="242">
        <v>58.6</v>
      </c>
      <c r="E5120" s="845">
        <f t="shared" si="160"/>
        <v>14.777777777777779</v>
      </c>
    </row>
    <row r="5121" spans="2:5">
      <c r="B5121" s="1115">
        <v>45136</v>
      </c>
      <c r="C5121" s="242">
        <f t="shared" si="159"/>
        <v>7</v>
      </c>
      <c r="D5121" s="242">
        <v>57.6</v>
      </c>
      <c r="E5121" s="845">
        <f t="shared" si="160"/>
        <v>14.222222222222223</v>
      </c>
    </row>
    <row r="5122" spans="2:5">
      <c r="B5122" s="1115">
        <v>45136</v>
      </c>
      <c r="C5122" s="242">
        <f t="shared" si="159"/>
        <v>7</v>
      </c>
      <c r="D5122" s="242">
        <v>56.7</v>
      </c>
      <c r="E5122" s="845">
        <f t="shared" si="160"/>
        <v>13.722222222222223</v>
      </c>
    </row>
    <row r="5123" spans="2:5">
      <c r="B5123" s="1115">
        <v>45136</v>
      </c>
      <c r="C5123" s="242">
        <f t="shared" si="159"/>
        <v>7</v>
      </c>
      <c r="D5123" s="242">
        <v>56.5</v>
      </c>
      <c r="E5123" s="845">
        <f t="shared" si="160"/>
        <v>13.611111111111111</v>
      </c>
    </row>
    <row r="5124" spans="2:5">
      <c r="B5124" s="1115">
        <v>45136</v>
      </c>
      <c r="C5124" s="242">
        <f t="shared" si="159"/>
        <v>7</v>
      </c>
      <c r="D5124" s="242">
        <v>56.7</v>
      </c>
      <c r="E5124" s="845">
        <f t="shared" si="160"/>
        <v>13.722222222222223</v>
      </c>
    </row>
    <row r="5125" spans="2:5">
      <c r="B5125" s="1115">
        <v>45136</v>
      </c>
      <c r="C5125" s="242">
        <f t="shared" si="159"/>
        <v>7</v>
      </c>
      <c r="D5125" s="242">
        <v>57.9</v>
      </c>
      <c r="E5125" s="845">
        <f t="shared" si="160"/>
        <v>14.388888888888888</v>
      </c>
    </row>
    <row r="5126" spans="2:5">
      <c r="B5126" s="1115">
        <v>45136</v>
      </c>
      <c r="C5126" s="242">
        <f t="shared" si="159"/>
        <v>7</v>
      </c>
      <c r="D5126" s="242">
        <v>60.1</v>
      </c>
      <c r="E5126" s="845">
        <f t="shared" si="160"/>
        <v>15.611111111111111</v>
      </c>
    </row>
    <row r="5127" spans="2:5">
      <c r="B5127" s="1115">
        <v>45136</v>
      </c>
      <c r="C5127" s="242">
        <f t="shared" si="159"/>
        <v>7</v>
      </c>
      <c r="D5127" s="242">
        <v>63.9</v>
      </c>
      <c r="E5127" s="845">
        <f t="shared" si="160"/>
        <v>17.722222222222221</v>
      </c>
    </row>
    <row r="5128" spans="2:5">
      <c r="B5128" s="1115">
        <v>45136</v>
      </c>
      <c r="C5128" s="242">
        <f t="shared" si="159"/>
        <v>7</v>
      </c>
      <c r="D5128" s="242">
        <v>66.2</v>
      </c>
      <c r="E5128" s="845">
        <f t="shared" si="160"/>
        <v>19</v>
      </c>
    </row>
    <row r="5129" spans="2:5">
      <c r="B5129" s="1115">
        <v>45136</v>
      </c>
      <c r="C5129" s="242">
        <f t="shared" si="159"/>
        <v>7</v>
      </c>
      <c r="D5129" s="242">
        <v>67.8</v>
      </c>
      <c r="E5129" s="845">
        <f t="shared" si="160"/>
        <v>19.888888888888886</v>
      </c>
    </row>
    <row r="5130" spans="2:5">
      <c r="B5130" s="1115">
        <v>45136</v>
      </c>
      <c r="C5130" s="242">
        <f t="shared" ref="C5130:C5193" si="161">MONTH(B5130)</f>
        <v>7</v>
      </c>
      <c r="D5130" s="242">
        <v>68.400000000000006</v>
      </c>
      <c r="E5130" s="845">
        <f t="shared" ref="E5130:E5193" si="162">CONVERT(D5130,"F","C")</f>
        <v>20.222222222222225</v>
      </c>
    </row>
    <row r="5131" spans="2:5">
      <c r="B5131" s="1115">
        <v>45136</v>
      </c>
      <c r="C5131" s="242">
        <f t="shared" si="161"/>
        <v>7</v>
      </c>
      <c r="D5131" s="242">
        <v>66.400000000000006</v>
      </c>
      <c r="E5131" s="845">
        <f t="shared" si="162"/>
        <v>19.111111111111114</v>
      </c>
    </row>
    <row r="5132" spans="2:5">
      <c r="B5132" s="1115">
        <v>45136</v>
      </c>
      <c r="C5132" s="242">
        <f t="shared" si="161"/>
        <v>7</v>
      </c>
      <c r="D5132" s="242" t="s">
        <v>1851</v>
      </c>
      <c r="E5132" s="845">
        <f t="shared" si="162"/>
        <v>17.222222222222221</v>
      </c>
    </row>
    <row r="5133" spans="2:5">
      <c r="B5133" s="1115">
        <v>45136</v>
      </c>
      <c r="C5133" s="242">
        <f t="shared" si="161"/>
        <v>7</v>
      </c>
      <c r="D5133" s="242">
        <v>60.1</v>
      </c>
      <c r="E5133" s="845">
        <f t="shared" si="162"/>
        <v>15.611111111111111</v>
      </c>
    </row>
    <row r="5134" spans="2:5">
      <c r="B5134" s="1115">
        <v>45136</v>
      </c>
      <c r="C5134" s="242">
        <f t="shared" si="161"/>
        <v>7</v>
      </c>
      <c r="D5134" s="242">
        <v>58.1</v>
      </c>
      <c r="E5134" s="845">
        <f t="shared" si="162"/>
        <v>14.5</v>
      </c>
    </row>
    <row r="5135" spans="2:5">
      <c r="B5135" s="1115">
        <v>45136</v>
      </c>
      <c r="C5135" s="242">
        <f t="shared" si="161"/>
        <v>7</v>
      </c>
      <c r="D5135" s="242">
        <v>56.3</v>
      </c>
      <c r="E5135" s="845">
        <f t="shared" si="162"/>
        <v>13.499999999999998</v>
      </c>
    </row>
    <row r="5136" spans="2:5">
      <c r="B5136" s="1115">
        <v>45136</v>
      </c>
      <c r="C5136" s="242">
        <f t="shared" si="161"/>
        <v>7</v>
      </c>
      <c r="D5136" s="242">
        <v>55.6</v>
      </c>
      <c r="E5136" s="845">
        <f t="shared" si="162"/>
        <v>13.111111111111111</v>
      </c>
    </row>
    <row r="5137" spans="2:5">
      <c r="B5137" s="1115">
        <v>45136</v>
      </c>
      <c r="C5137" s="242">
        <f t="shared" si="161"/>
        <v>7</v>
      </c>
      <c r="D5137" s="242">
        <v>56.8</v>
      </c>
      <c r="E5137" s="845">
        <f t="shared" si="162"/>
        <v>13.777777777777775</v>
      </c>
    </row>
    <row r="5138" spans="2:5">
      <c r="B5138" s="1115">
        <v>45136</v>
      </c>
      <c r="C5138" s="242">
        <f t="shared" si="161"/>
        <v>7</v>
      </c>
      <c r="D5138" s="242" t="s">
        <v>1849</v>
      </c>
      <c r="E5138" s="845">
        <f t="shared" si="162"/>
        <v>15</v>
      </c>
    </row>
    <row r="5139" spans="2:5">
      <c r="B5139" s="1115">
        <v>45136</v>
      </c>
      <c r="C5139" s="242">
        <f t="shared" si="161"/>
        <v>7</v>
      </c>
      <c r="D5139" s="242">
        <v>62.2</v>
      </c>
      <c r="E5139" s="845">
        <f t="shared" si="162"/>
        <v>16.777777777777779</v>
      </c>
    </row>
    <row r="5140" spans="2:5">
      <c r="B5140" s="1115">
        <v>45136</v>
      </c>
      <c r="C5140" s="242">
        <f t="shared" si="161"/>
        <v>7</v>
      </c>
      <c r="D5140" s="242">
        <v>65.7</v>
      </c>
      <c r="E5140" s="845">
        <f t="shared" si="162"/>
        <v>18.722222222222225</v>
      </c>
    </row>
    <row r="5141" spans="2:5">
      <c r="B5141" s="1115">
        <v>45136</v>
      </c>
      <c r="C5141" s="242">
        <f t="shared" si="161"/>
        <v>7</v>
      </c>
      <c r="D5141" s="242">
        <v>67.099999999999994</v>
      </c>
      <c r="E5141" s="845">
        <f t="shared" si="162"/>
        <v>19.499999999999996</v>
      </c>
    </row>
    <row r="5142" spans="2:5">
      <c r="B5142" s="1115">
        <v>45136</v>
      </c>
      <c r="C5142" s="242">
        <f t="shared" si="161"/>
        <v>7</v>
      </c>
      <c r="D5142" s="242">
        <v>67.599999999999994</v>
      </c>
      <c r="E5142" s="845">
        <f t="shared" si="162"/>
        <v>19.777777777777775</v>
      </c>
    </row>
    <row r="5143" spans="2:5">
      <c r="B5143" s="1115">
        <v>45136</v>
      </c>
      <c r="C5143" s="242">
        <f t="shared" si="161"/>
        <v>7</v>
      </c>
      <c r="D5143" s="242">
        <v>64.2</v>
      </c>
      <c r="E5143" s="845">
        <f t="shared" si="162"/>
        <v>17.888888888888889</v>
      </c>
    </row>
    <row r="5144" spans="2:5">
      <c r="B5144" s="1115">
        <v>45136</v>
      </c>
      <c r="C5144" s="242">
        <f t="shared" si="161"/>
        <v>7</v>
      </c>
      <c r="D5144" s="242">
        <v>61.3</v>
      </c>
      <c r="E5144" s="845">
        <f t="shared" si="162"/>
        <v>16.277777777777775</v>
      </c>
    </row>
    <row r="5145" spans="2:5">
      <c r="B5145" s="1115">
        <v>45137</v>
      </c>
      <c r="C5145" s="242">
        <f t="shared" si="161"/>
        <v>7</v>
      </c>
      <c r="D5145" s="242" t="s">
        <v>1849</v>
      </c>
      <c r="E5145" s="845">
        <f t="shared" si="162"/>
        <v>15</v>
      </c>
    </row>
    <row r="5146" spans="2:5">
      <c r="B5146" s="1115">
        <v>45137</v>
      </c>
      <c r="C5146" s="242">
        <f t="shared" si="161"/>
        <v>7</v>
      </c>
      <c r="D5146" s="242">
        <v>57.7</v>
      </c>
      <c r="E5146" s="845">
        <f t="shared" si="162"/>
        <v>14.277777777777779</v>
      </c>
    </row>
    <row r="5147" spans="2:5">
      <c r="B5147" s="1115">
        <v>45137</v>
      </c>
      <c r="C5147" s="242">
        <f t="shared" si="161"/>
        <v>7</v>
      </c>
      <c r="D5147" s="242">
        <v>57.2</v>
      </c>
      <c r="E5147" s="845">
        <f t="shared" si="162"/>
        <v>14.000000000000002</v>
      </c>
    </row>
    <row r="5148" spans="2:5">
      <c r="B5148" s="1115">
        <v>45137</v>
      </c>
      <c r="C5148" s="242">
        <f t="shared" si="161"/>
        <v>7</v>
      </c>
      <c r="D5148" s="242">
        <v>57.2</v>
      </c>
      <c r="E5148" s="845">
        <f t="shared" si="162"/>
        <v>14.000000000000002</v>
      </c>
    </row>
    <row r="5149" spans="2:5">
      <c r="B5149" s="1115">
        <v>45137</v>
      </c>
      <c r="C5149" s="242">
        <f t="shared" si="161"/>
        <v>7</v>
      </c>
      <c r="D5149" s="242">
        <v>57.4</v>
      </c>
      <c r="E5149" s="845">
        <f t="shared" si="162"/>
        <v>14.111111111111111</v>
      </c>
    </row>
    <row r="5150" spans="2:5">
      <c r="B5150" s="1115">
        <v>45137</v>
      </c>
      <c r="C5150" s="242">
        <f t="shared" si="161"/>
        <v>7</v>
      </c>
      <c r="D5150" s="242">
        <v>58.5</v>
      </c>
      <c r="E5150" s="845">
        <f t="shared" si="162"/>
        <v>14.722222222222221</v>
      </c>
    </row>
    <row r="5151" spans="2:5">
      <c r="B5151" s="1115">
        <v>45137</v>
      </c>
      <c r="C5151" s="242">
        <f t="shared" si="161"/>
        <v>7</v>
      </c>
      <c r="D5151" s="242">
        <v>60.6</v>
      </c>
      <c r="E5151" s="845">
        <f t="shared" si="162"/>
        <v>15.888888888888889</v>
      </c>
    </row>
    <row r="5152" spans="2:5">
      <c r="B5152" s="1115">
        <v>45137</v>
      </c>
      <c r="C5152" s="242">
        <f t="shared" si="161"/>
        <v>7</v>
      </c>
      <c r="D5152" s="242">
        <v>63.5</v>
      </c>
      <c r="E5152" s="845">
        <f t="shared" si="162"/>
        <v>17.5</v>
      </c>
    </row>
    <row r="5153" spans="2:5">
      <c r="B5153" s="1115">
        <v>45137</v>
      </c>
      <c r="C5153" s="242">
        <f t="shared" si="161"/>
        <v>7</v>
      </c>
      <c r="D5153" s="242">
        <v>65.3</v>
      </c>
      <c r="E5153" s="845">
        <f t="shared" si="162"/>
        <v>18.499999999999996</v>
      </c>
    </row>
    <row r="5154" spans="2:5">
      <c r="B5154" s="1115">
        <v>45137</v>
      </c>
      <c r="C5154" s="242">
        <f t="shared" si="161"/>
        <v>7</v>
      </c>
      <c r="D5154" s="242">
        <v>66.7</v>
      </c>
      <c r="E5154" s="845">
        <f t="shared" si="162"/>
        <v>19.277777777777779</v>
      </c>
    </row>
    <row r="5155" spans="2:5">
      <c r="B5155" s="1115">
        <v>45137</v>
      </c>
      <c r="C5155" s="242">
        <f t="shared" si="161"/>
        <v>7</v>
      </c>
      <c r="D5155" s="242">
        <v>67.5</v>
      </c>
      <c r="E5155" s="845">
        <f t="shared" si="162"/>
        <v>19.722222222222221</v>
      </c>
    </row>
    <row r="5156" spans="2:5">
      <c r="B5156" s="1115">
        <v>45137</v>
      </c>
      <c r="C5156" s="242">
        <f t="shared" si="161"/>
        <v>7</v>
      </c>
      <c r="D5156" s="242">
        <v>66.2</v>
      </c>
      <c r="E5156" s="845">
        <f t="shared" si="162"/>
        <v>19</v>
      </c>
    </row>
    <row r="5157" spans="2:5">
      <c r="B5157" s="1115">
        <v>45137</v>
      </c>
      <c r="C5157" s="242">
        <f t="shared" si="161"/>
        <v>7</v>
      </c>
      <c r="D5157" s="242">
        <v>62.8</v>
      </c>
      <c r="E5157" s="845">
        <f t="shared" si="162"/>
        <v>17.111111111111111</v>
      </c>
    </row>
    <row r="5158" spans="2:5">
      <c r="B5158" s="1115">
        <v>45137</v>
      </c>
      <c r="C5158" s="242">
        <f t="shared" si="161"/>
        <v>7</v>
      </c>
      <c r="D5158" s="242">
        <v>62.1</v>
      </c>
      <c r="E5158" s="845">
        <f t="shared" si="162"/>
        <v>16.722222222222221</v>
      </c>
    </row>
    <row r="5159" spans="2:5">
      <c r="B5159" s="1115">
        <v>45137</v>
      </c>
      <c r="C5159" s="242">
        <f t="shared" si="161"/>
        <v>7</v>
      </c>
      <c r="D5159" s="242">
        <v>61.5</v>
      </c>
      <c r="E5159" s="845">
        <f t="shared" si="162"/>
        <v>16.388888888888889</v>
      </c>
    </row>
    <row r="5160" spans="2:5">
      <c r="B5160" s="1115">
        <v>45137</v>
      </c>
      <c r="C5160" s="242">
        <f t="shared" si="161"/>
        <v>7</v>
      </c>
      <c r="D5160" s="242">
        <v>61.5</v>
      </c>
      <c r="E5160" s="845">
        <f t="shared" si="162"/>
        <v>16.388888888888889</v>
      </c>
    </row>
    <row r="5161" spans="2:5">
      <c r="B5161" s="1115">
        <v>45137</v>
      </c>
      <c r="C5161" s="242">
        <f t="shared" si="161"/>
        <v>7</v>
      </c>
      <c r="D5161" s="242">
        <v>61.7</v>
      </c>
      <c r="E5161" s="845">
        <f t="shared" si="162"/>
        <v>16.5</v>
      </c>
    </row>
    <row r="5162" spans="2:5">
      <c r="B5162" s="1115">
        <v>45137</v>
      </c>
      <c r="C5162" s="242">
        <f t="shared" si="161"/>
        <v>7</v>
      </c>
      <c r="D5162" s="242">
        <v>61.9</v>
      </c>
      <c r="E5162" s="845">
        <f t="shared" si="162"/>
        <v>16.611111111111111</v>
      </c>
    </row>
    <row r="5163" spans="2:5">
      <c r="B5163" s="1115">
        <v>45137</v>
      </c>
      <c r="C5163" s="242">
        <f t="shared" si="161"/>
        <v>7</v>
      </c>
      <c r="D5163" s="242">
        <v>62.4</v>
      </c>
      <c r="E5163" s="845">
        <f t="shared" si="162"/>
        <v>16.888888888888889</v>
      </c>
    </row>
    <row r="5164" spans="2:5">
      <c r="B5164" s="1115">
        <v>45137</v>
      </c>
      <c r="C5164" s="242">
        <f t="shared" si="161"/>
        <v>7</v>
      </c>
      <c r="D5164" s="242" t="s">
        <v>1852</v>
      </c>
      <c r="E5164" s="845">
        <f t="shared" si="162"/>
        <v>17.777777777777779</v>
      </c>
    </row>
    <row r="5165" spans="2:5">
      <c r="B5165" s="1115">
        <v>45137</v>
      </c>
      <c r="C5165" s="242">
        <f t="shared" si="161"/>
        <v>7</v>
      </c>
      <c r="D5165" s="242" t="s">
        <v>1853</v>
      </c>
      <c r="E5165" s="845">
        <f t="shared" si="162"/>
        <v>18.888888888888889</v>
      </c>
    </row>
    <row r="5166" spans="2:5">
      <c r="B5166" s="1115">
        <v>45137</v>
      </c>
      <c r="C5166" s="242">
        <f t="shared" si="161"/>
        <v>7</v>
      </c>
      <c r="D5166" s="242">
        <v>67.099999999999994</v>
      </c>
      <c r="E5166" s="845">
        <f t="shared" si="162"/>
        <v>19.499999999999996</v>
      </c>
    </row>
    <row r="5167" spans="2:5">
      <c r="B5167" s="1115">
        <v>45137</v>
      </c>
      <c r="C5167" s="242">
        <f t="shared" si="161"/>
        <v>7</v>
      </c>
      <c r="D5167" s="242">
        <v>67.5</v>
      </c>
      <c r="E5167" s="845">
        <f t="shared" si="162"/>
        <v>19.722222222222221</v>
      </c>
    </row>
    <row r="5168" spans="2:5">
      <c r="B5168" s="1115">
        <v>45137</v>
      </c>
      <c r="C5168" s="242">
        <f t="shared" si="161"/>
        <v>7</v>
      </c>
      <c r="D5168" s="242">
        <v>65.3</v>
      </c>
      <c r="E5168" s="845">
        <f t="shared" si="162"/>
        <v>18.499999999999996</v>
      </c>
    </row>
    <row r="5169" spans="2:5">
      <c r="B5169" s="1115">
        <v>45138</v>
      </c>
      <c r="C5169" s="242">
        <f t="shared" si="161"/>
        <v>7</v>
      </c>
      <c r="D5169" s="242">
        <v>63.7</v>
      </c>
      <c r="E5169" s="845">
        <f t="shared" si="162"/>
        <v>17.611111111111111</v>
      </c>
    </row>
    <row r="5170" spans="2:5">
      <c r="B5170" s="1115">
        <v>45138</v>
      </c>
      <c r="C5170" s="242">
        <f t="shared" si="161"/>
        <v>7</v>
      </c>
      <c r="D5170" s="242">
        <v>61.2</v>
      </c>
      <c r="E5170" s="845">
        <f t="shared" si="162"/>
        <v>16.222222222222225</v>
      </c>
    </row>
    <row r="5171" spans="2:5">
      <c r="B5171" s="1115">
        <v>45138</v>
      </c>
      <c r="C5171" s="242">
        <f t="shared" si="161"/>
        <v>7</v>
      </c>
      <c r="D5171" s="242" t="s">
        <v>1849</v>
      </c>
      <c r="E5171" s="845">
        <f t="shared" si="162"/>
        <v>15</v>
      </c>
    </row>
    <row r="5172" spans="2:5">
      <c r="B5172" s="1115">
        <v>45138</v>
      </c>
      <c r="C5172" s="242">
        <f t="shared" si="161"/>
        <v>7</v>
      </c>
      <c r="D5172" s="242">
        <v>58.5</v>
      </c>
      <c r="E5172" s="845">
        <f t="shared" si="162"/>
        <v>14.722222222222221</v>
      </c>
    </row>
    <row r="5173" spans="2:5">
      <c r="B5173" s="1115">
        <v>45138</v>
      </c>
      <c r="C5173" s="242">
        <f t="shared" si="161"/>
        <v>7</v>
      </c>
      <c r="D5173" s="242">
        <v>58.1</v>
      </c>
      <c r="E5173" s="845">
        <f t="shared" si="162"/>
        <v>14.5</v>
      </c>
    </row>
    <row r="5174" spans="2:5">
      <c r="B5174" s="1115">
        <v>45138</v>
      </c>
      <c r="C5174" s="242">
        <f t="shared" si="161"/>
        <v>7</v>
      </c>
      <c r="D5174" s="242">
        <v>58.3</v>
      </c>
      <c r="E5174" s="845">
        <f t="shared" si="162"/>
        <v>14.611111111111109</v>
      </c>
    </row>
    <row r="5175" spans="2:5">
      <c r="B5175" s="1115">
        <v>45138</v>
      </c>
      <c r="C5175" s="242">
        <f t="shared" si="161"/>
        <v>7</v>
      </c>
      <c r="D5175" s="242">
        <v>59.7</v>
      </c>
      <c r="E5175" s="845">
        <f t="shared" si="162"/>
        <v>15.388888888888889</v>
      </c>
    </row>
    <row r="5176" spans="2:5">
      <c r="B5176" s="1115">
        <v>45138</v>
      </c>
      <c r="C5176" s="242">
        <f t="shared" si="161"/>
        <v>7</v>
      </c>
      <c r="D5176" s="242">
        <v>62.2</v>
      </c>
      <c r="E5176" s="845">
        <f t="shared" si="162"/>
        <v>16.777777777777779</v>
      </c>
    </row>
    <row r="5177" spans="2:5">
      <c r="B5177" s="1115">
        <v>45138</v>
      </c>
      <c r="C5177" s="242">
        <f t="shared" si="161"/>
        <v>7</v>
      </c>
      <c r="D5177" s="242">
        <v>64.400000000000006</v>
      </c>
      <c r="E5177" s="845">
        <f t="shared" si="162"/>
        <v>18.000000000000004</v>
      </c>
    </row>
    <row r="5178" spans="2:5">
      <c r="B5178" s="1115">
        <v>45138</v>
      </c>
      <c r="C5178" s="242">
        <f t="shared" si="161"/>
        <v>7</v>
      </c>
      <c r="D5178" s="242" t="s">
        <v>1853</v>
      </c>
      <c r="E5178" s="845">
        <f t="shared" si="162"/>
        <v>18.888888888888889</v>
      </c>
    </row>
    <row r="5179" spans="2:5">
      <c r="B5179" s="1115">
        <v>45138</v>
      </c>
      <c r="C5179" s="242">
        <f t="shared" si="161"/>
        <v>7</v>
      </c>
      <c r="D5179" s="242">
        <v>67.5</v>
      </c>
      <c r="E5179" s="845">
        <f t="shared" si="162"/>
        <v>19.722222222222221</v>
      </c>
    </row>
    <row r="5180" spans="2:5">
      <c r="B5180" s="1115">
        <v>45138</v>
      </c>
      <c r="C5180" s="242">
        <f t="shared" si="161"/>
        <v>7</v>
      </c>
      <c r="D5180" s="242">
        <v>67.8</v>
      </c>
      <c r="E5180" s="845">
        <f t="shared" si="162"/>
        <v>19.888888888888886</v>
      </c>
    </row>
    <row r="5181" spans="2:5">
      <c r="B5181" s="1115">
        <v>45138</v>
      </c>
      <c r="C5181" s="242">
        <f t="shared" si="161"/>
        <v>7</v>
      </c>
      <c r="D5181" s="242">
        <v>66.599999999999994</v>
      </c>
      <c r="E5181" s="845">
        <f t="shared" si="162"/>
        <v>19.222222222222218</v>
      </c>
    </row>
    <row r="5182" spans="2:5">
      <c r="B5182" s="1115">
        <v>45138</v>
      </c>
      <c r="C5182" s="242">
        <f t="shared" si="161"/>
        <v>7</v>
      </c>
      <c r="D5182" s="242" t="s">
        <v>1852</v>
      </c>
      <c r="E5182" s="845">
        <f t="shared" si="162"/>
        <v>17.777777777777779</v>
      </c>
    </row>
    <row r="5183" spans="2:5">
      <c r="B5183" s="1115">
        <v>45138</v>
      </c>
      <c r="C5183" s="242">
        <f t="shared" si="161"/>
        <v>7</v>
      </c>
      <c r="D5183" s="242">
        <v>62.2</v>
      </c>
      <c r="E5183" s="845">
        <f t="shared" si="162"/>
        <v>16.777777777777779</v>
      </c>
    </row>
    <row r="5184" spans="2:5">
      <c r="B5184" s="1115">
        <v>45138</v>
      </c>
      <c r="C5184" s="242">
        <f t="shared" si="161"/>
        <v>7</v>
      </c>
      <c r="D5184" s="242" t="s">
        <v>1850</v>
      </c>
      <c r="E5184" s="845">
        <f t="shared" si="162"/>
        <v>16.111111111111111</v>
      </c>
    </row>
    <row r="5185" spans="2:5">
      <c r="B5185" s="1115">
        <v>45138</v>
      </c>
      <c r="C5185" s="242">
        <f t="shared" si="161"/>
        <v>7</v>
      </c>
      <c r="D5185" s="242">
        <v>60.8</v>
      </c>
      <c r="E5185" s="845">
        <f t="shared" si="162"/>
        <v>15.999999999999998</v>
      </c>
    </row>
    <row r="5186" spans="2:5">
      <c r="B5186" s="1115">
        <v>45138</v>
      </c>
      <c r="C5186" s="242">
        <f t="shared" si="161"/>
        <v>7</v>
      </c>
      <c r="D5186" s="242" t="s">
        <v>1850</v>
      </c>
      <c r="E5186" s="845">
        <f t="shared" si="162"/>
        <v>16.111111111111111</v>
      </c>
    </row>
    <row r="5187" spans="2:5">
      <c r="B5187" s="1115">
        <v>45138</v>
      </c>
      <c r="C5187" s="242">
        <f t="shared" si="161"/>
        <v>7</v>
      </c>
      <c r="D5187" s="242">
        <v>61.3</v>
      </c>
      <c r="E5187" s="845">
        <f t="shared" si="162"/>
        <v>16.277777777777775</v>
      </c>
    </row>
    <row r="5188" spans="2:5">
      <c r="B5188" s="1115">
        <v>45138</v>
      </c>
      <c r="C5188" s="242">
        <f t="shared" si="161"/>
        <v>7</v>
      </c>
      <c r="D5188" s="242">
        <v>62.6</v>
      </c>
      <c r="E5188" s="845">
        <f t="shared" si="162"/>
        <v>17</v>
      </c>
    </row>
    <row r="5189" spans="2:5">
      <c r="B5189" s="1115">
        <v>45138</v>
      </c>
      <c r="C5189" s="242">
        <f t="shared" si="161"/>
        <v>7</v>
      </c>
      <c r="D5189" s="242">
        <v>64.8</v>
      </c>
      <c r="E5189" s="845">
        <f t="shared" si="162"/>
        <v>18.222222222222221</v>
      </c>
    </row>
    <row r="5190" spans="2:5">
      <c r="B5190" s="1115">
        <v>45138</v>
      </c>
      <c r="C5190" s="242">
        <f t="shared" si="161"/>
        <v>7</v>
      </c>
      <c r="D5190" s="242">
        <v>66.599999999999994</v>
      </c>
      <c r="E5190" s="845">
        <f t="shared" si="162"/>
        <v>19.222222222222218</v>
      </c>
    </row>
    <row r="5191" spans="2:5">
      <c r="B5191" s="1115">
        <v>45138</v>
      </c>
      <c r="C5191" s="242">
        <f t="shared" si="161"/>
        <v>7</v>
      </c>
      <c r="D5191" s="242">
        <v>67.599999999999994</v>
      </c>
      <c r="E5191" s="845">
        <f t="shared" si="162"/>
        <v>19.777777777777775</v>
      </c>
    </row>
    <row r="5192" spans="2:5">
      <c r="B5192" s="1115">
        <v>45138</v>
      </c>
      <c r="C5192" s="242">
        <f t="shared" si="161"/>
        <v>7</v>
      </c>
      <c r="D5192" s="242" t="s">
        <v>1854</v>
      </c>
      <c r="E5192" s="845">
        <f t="shared" si="162"/>
        <v>20</v>
      </c>
    </row>
    <row r="5193" spans="2:5">
      <c r="B5193" s="1115">
        <v>45139</v>
      </c>
      <c r="C5193" s="242">
        <f t="shared" si="161"/>
        <v>8</v>
      </c>
      <c r="D5193" s="242">
        <v>65.3</v>
      </c>
      <c r="E5193" s="845">
        <f t="shared" si="162"/>
        <v>18.499999999999996</v>
      </c>
    </row>
    <row r="5194" spans="2:5">
      <c r="B5194" s="1115">
        <v>45139</v>
      </c>
      <c r="C5194" s="242">
        <f t="shared" ref="C5194:C5257" si="163">MONTH(B5194)</f>
        <v>8</v>
      </c>
      <c r="D5194" s="242">
        <v>63.9</v>
      </c>
      <c r="E5194" s="845">
        <f t="shared" ref="E5194:E5257" si="164">CONVERT(D5194,"F","C")</f>
        <v>17.722222222222221</v>
      </c>
    </row>
    <row r="5195" spans="2:5">
      <c r="B5195" s="1115">
        <v>45139</v>
      </c>
      <c r="C5195" s="242">
        <f t="shared" si="163"/>
        <v>8</v>
      </c>
      <c r="D5195" s="242">
        <v>62.1</v>
      </c>
      <c r="E5195" s="845">
        <f t="shared" si="164"/>
        <v>16.722222222222221</v>
      </c>
    </row>
    <row r="5196" spans="2:5">
      <c r="B5196" s="1115">
        <v>45139</v>
      </c>
      <c r="C5196" s="242">
        <f t="shared" si="163"/>
        <v>8</v>
      </c>
      <c r="D5196" s="242">
        <v>61.3</v>
      </c>
      <c r="E5196" s="845">
        <f t="shared" si="164"/>
        <v>16.277777777777775</v>
      </c>
    </row>
    <row r="5197" spans="2:5">
      <c r="B5197" s="1115">
        <v>45139</v>
      </c>
      <c r="C5197" s="242">
        <f t="shared" si="163"/>
        <v>8</v>
      </c>
      <c r="D5197" s="242">
        <v>60.6</v>
      </c>
      <c r="E5197" s="845">
        <f t="shared" si="164"/>
        <v>15.888888888888889</v>
      </c>
    </row>
    <row r="5198" spans="2:5">
      <c r="B5198" s="1115">
        <v>45139</v>
      </c>
      <c r="C5198" s="242">
        <f t="shared" si="163"/>
        <v>8</v>
      </c>
      <c r="D5198" s="242">
        <v>60.6</v>
      </c>
      <c r="E5198" s="845">
        <f t="shared" si="164"/>
        <v>15.888888888888889</v>
      </c>
    </row>
    <row r="5199" spans="2:5">
      <c r="B5199" s="1115">
        <v>45139</v>
      </c>
      <c r="C5199" s="242">
        <f t="shared" si="163"/>
        <v>8</v>
      </c>
      <c r="D5199" s="242" t="s">
        <v>1850</v>
      </c>
      <c r="E5199" s="845">
        <f t="shared" si="164"/>
        <v>16.111111111111111</v>
      </c>
    </row>
    <row r="5200" spans="2:5">
      <c r="B5200" s="1115">
        <v>45139</v>
      </c>
      <c r="C5200" s="242">
        <f t="shared" si="163"/>
        <v>8</v>
      </c>
      <c r="D5200" s="242">
        <v>61.9</v>
      </c>
      <c r="E5200" s="845">
        <f t="shared" si="164"/>
        <v>16.611111111111111</v>
      </c>
    </row>
    <row r="5201" spans="2:5">
      <c r="B5201" s="1115">
        <v>45139</v>
      </c>
      <c r="C5201" s="242">
        <f t="shared" si="163"/>
        <v>8</v>
      </c>
      <c r="D5201" s="242">
        <v>63.9</v>
      </c>
      <c r="E5201" s="845">
        <f t="shared" si="164"/>
        <v>17.722222222222221</v>
      </c>
    </row>
    <row r="5202" spans="2:5">
      <c r="B5202" s="1115">
        <v>45139</v>
      </c>
      <c r="C5202" s="242">
        <f t="shared" si="163"/>
        <v>8</v>
      </c>
      <c r="D5202" s="242">
        <v>65.3</v>
      </c>
      <c r="E5202" s="845">
        <f t="shared" si="164"/>
        <v>18.499999999999996</v>
      </c>
    </row>
    <row r="5203" spans="2:5">
      <c r="B5203" s="1115">
        <v>45139</v>
      </c>
      <c r="C5203" s="242">
        <f t="shared" si="163"/>
        <v>8</v>
      </c>
      <c r="D5203" s="242">
        <v>66.599999999999994</v>
      </c>
      <c r="E5203" s="845">
        <f t="shared" si="164"/>
        <v>19.222222222222218</v>
      </c>
    </row>
    <row r="5204" spans="2:5">
      <c r="B5204" s="1115">
        <v>45139</v>
      </c>
      <c r="C5204" s="242">
        <f t="shared" si="163"/>
        <v>8</v>
      </c>
      <c r="D5204" s="242">
        <v>67.599999999999994</v>
      </c>
      <c r="E5204" s="845">
        <f t="shared" si="164"/>
        <v>19.777777777777775</v>
      </c>
    </row>
    <row r="5205" spans="2:5">
      <c r="B5205" s="1115">
        <v>45139</v>
      </c>
      <c r="C5205" s="242">
        <f t="shared" si="163"/>
        <v>8</v>
      </c>
      <c r="D5205" s="242" t="s">
        <v>1854</v>
      </c>
      <c r="E5205" s="845">
        <f t="shared" si="164"/>
        <v>20</v>
      </c>
    </row>
    <row r="5206" spans="2:5">
      <c r="B5206" s="1115">
        <v>45139</v>
      </c>
      <c r="C5206" s="242">
        <f t="shared" si="163"/>
        <v>8</v>
      </c>
      <c r="D5206" s="242">
        <v>66.400000000000006</v>
      </c>
      <c r="E5206" s="845">
        <f t="shared" si="164"/>
        <v>19.111111111111114</v>
      </c>
    </row>
    <row r="5207" spans="2:5">
      <c r="B5207" s="1115">
        <v>45139</v>
      </c>
      <c r="C5207" s="242">
        <f t="shared" si="163"/>
        <v>8</v>
      </c>
      <c r="D5207" s="242">
        <v>64.900000000000006</v>
      </c>
      <c r="E5207" s="845">
        <f t="shared" si="164"/>
        <v>18.277777777777782</v>
      </c>
    </row>
    <row r="5208" spans="2:5">
      <c r="B5208" s="1115">
        <v>45139</v>
      </c>
      <c r="C5208" s="242">
        <f t="shared" si="163"/>
        <v>8</v>
      </c>
      <c r="D5208" s="242" t="s">
        <v>1851</v>
      </c>
      <c r="E5208" s="845">
        <f t="shared" si="164"/>
        <v>17.222222222222221</v>
      </c>
    </row>
    <row r="5209" spans="2:5">
      <c r="B5209" s="1115">
        <v>45139</v>
      </c>
      <c r="C5209" s="242">
        <f t="shared" si="163"/>
        <v>8</v>
      </c>
      <c r="D5209" s="242">
        <v>61.7</v>
      </c>
      <c r="E5209" s="845">
        <f t="shared" si="164"/>
        <v>16.5</v>
      </c>
    </row>
    <row r="5210" spans="2:5">
      <c r="B5210" s="1115">
        <v>45139</v>
      </c>
      <c r="C5210" s="242">
        <f t="shared" si="163"/>
        <v>8</v>
      </c>
      <c r="D5210" s="242" t="s">
        <v>1850</v>
      </c>
      <c r="E5210" s="845">
        <f t="shared" si="164"/>
        <v>16.111111111111111</v>
      </c>
    </row>
    <row r="5211" spans="2:5">
      <c r="B5211" s="1115">
        <v>45139</v>
      </c>
      <c r="C5211" s="242">
        <f t="shared" si="163"/>
        <v>8</v>
      </c>
      <c r="D5211" s="242">
        <v>60.6</v>
      </c>
      <c r="E5211" s="845">
        <f t="shared" si="164"/>
        <v>15.888888888888889</v>
      </c>
    </row>
    <row r="5212" spans="2:5">
      <c r="B5212" s="1115">
        <v>45139</v>
      </c>
      <c r="C5212" s="242">
        <f t="shared" si="163"/>
        <v>8</v>
      </c>
      <c r="D5212" s="242">
        <v>61.5</v>
      </c>
      <c r="E5212" s="845">
        <f t="shared" si="164"/>
        <v>16.388888888888889</v>
      </c>
    </row>
    <row r="5213" spans="2:5">
      <c r="B5213" s="1115">
        <v>45139</v>
      </c>
      <c r="C5213" s="242">
        <f t="shared" si="163"/>
        <v>8</v>
      </c>
      <c r="D5213" s="242">
        <v>63.3</v>
      </c>
      <c r="E5213" s="845">
        <f t="shared" si="164"/>
        <v>17.388888888888886</v>
      </c>
    </row>
    <row r="5214" spans="2:5">
      <c r="B5214" s="1115">
        <v>45139</v>
      </c>
      <c r="C5214" s="242">
        <f t="shared" si="163"/>
        <v>8</v>
      </c>
      <c r="D5214" s="242">
        <v>65.7</v>
      </c>
      <c r="E5214" s="845">
        <f t="shared" si="164"/>
        <v>18.722222222222225</v>
      </c>
    </row>
    <row r="5215" spans="2:5">
      <c r="B5215" s="1115">
        <v>45139</v>
      </c>
      <c r="C5215" s="242">
        <f t="shared" si="163"/>
        <v>8</v>
      </c>
      <c r="D5215" s="242">
        <v>66.900000000000006</v>
      </c>
      <c r="E5215" s="845">
        <f t="shared" si="164"/>
        <v>19.388888888888893</v>
      </c>
    </row>
    <row r="5216" spans="2:5">
      <c r="B5216" s="1115">
        <v>45139</v>
      </c>
      <c r="C5216" s="242">
        <f t="shared" si="163"/>
        <v>8</v>
      </c>
      <c r="D5216" s="242">
        <v>67.8</v>
      </c>
      <c r="E5216" s="845">
        <f t="shared" si="164"/>
        <v>19.888888888888886</v>
      </c>
    </row>
    <row r="5217" spans="2:5">
      <c r="B5217" s="1115">
        <v>45140</v>
      </c>
      <c r="C5217" s="242">
        <f t="shared" si="163"/>
        <v>8</v>
      </c>
      <c r="D5217" s="242" t="s">
        <v>1854</v>
      </c>
      <c r="E5217" s="845">
        <f t="shared" si="164"/>
        <v>20</v>
      </c>
    </row>
    <row r="5218" spans="2:5">
      <c r="B5218" s="1115">
        <v>45140</v>
      </c>
      <c r="C5218" s="242">
        <f t="shared" si="163"/>
        <v>8</v>
      </c>
      <c r="D5218" s="242" t="s">
        <v>1853</v>
      </c>
      <c r="E5218" s="845">
        <f t="shared" si="164"/>
        <v>18.888888888888889</v>
      </c>
    </row>
    <row r="5219" spans="2:5">
      <c r="B5219" s="1115">
        <v>45140</v>
      </c>
      <c r="C5219" s="242">
        <f t="shared" si="163"/>
        <v>8</v>
      </c>
      <c r="D5219" s="242" t="s">
        <v>1852</v>
      </c>
      <c r="E5219" s="845">
        <f t="shared" si="164"/>
        <v>17.777777777777779</v>
      </c>
    </row>
    <row r="5220" spans="2:5">
      <c r="B5220" s="1115">
        <v>45140</v>
      </c>
      <c r="C5220" s="242">
        <f t="shared" si="163"/>
        <v>8</v>
      </c>
      <c r="D5220" s="242" t="s">
        <v>1851</v>
      </c>
      <c r="E5220" s="845">
        <f t="shared" si="164"/>
        <v>17.222222222222221</v>
      </c>
    </row>
    <row r="5221" spans="2:5">
      <c r="B5221" s="1115">
        <v>45140</v>
      </c>
      <c r="C5221" s="242">
        <f t="shared" si="163"/>
        <v>8</v>
      </c>
      <c r="D5221" s="242">
        <v>61.9</v>
      </c>
      <c r="E5221" s="845">
        <f t="shared" si="164"/>
        <v>16.611111111111111</v>
      </c>
    </row>
    <row r="5222" spans="2:5">
      <c r="B5222" s="1115">
        <v>45140</v>
      </c>
      <c r="C5222" s="242">
        <f t="shared" si="163"/>
        <v>8</v>
      </c>
      <c r="D5222" s="242">
        <v>60.6</v>
      </c>
      <c r="E5222" s="845">
        <f t="shared" si="164"/>
        <v>15.888888888888889</v>
      </c>
    </row>
    <row r="5223" spans="2:5">
      <c r="B5223" s="1115">
        <v>45140</v>
      </c>
      <c r="C5223" s="242">
        <f t="shared" si="163"/>
        <v>8</v>
      </c>
      <c r="D5223" s="242">
        <v>60.6</v>
      </c>
      <c r="E5223" s="845">
        <f t="shared" si="164"/>
        <v>15.888888888888889</v>
      </c>
    </row>
    <row r="5224" spans="2:5">
      <c r="B5224" s="1115">
        <v>45140</v>
      </c>
      <c r="C5224" s="242">
        <f t="shared" si="163"/>
        <v>8</v>
      </c>
      <c r="D5224" s="242">
        <v>60.8</v>
      </c>
      <c r="E5224" s="845">
        <f t="shared" si="164"/>
        <v>15.999999999999998</v>
      </c>
    </row>
    <row r="5225" spans="2:5">
      <c r="B5225" s="1115">
        <v>45140</v>
      </c>
      <c r="C5225" s="242">
        <f t="shared" si="163"/>
        <v>8</v>
      </c>
      <c r="D5225" s="242">
        <v>62.2</v>
      </c>
      <c r="E5225" s="845">
        <f t="shared" si="164"/>
        <v>16.777777777777779</v>
      </c>
    </row>
    <row r="5226" spans="2:5">
      <c r="B5226" s="1115">
        <v>45140</v>
      </c>
      <c r="C5226" s="242">
        <f t="shared" si="163"/>
        <v>8</v>
      </c>
      <c r="D5226" s="242" t="s">
        <v>1852</v>
      </c>
      <c r="E5226" s="845">
        <f t="shared" si="164"/>
        <v>17.777777777777779</v>
      </c>
    </row>
    <row r="5227" spans="2:5">
      <c r="B5227" s="1115">
        <v>45140</v>
      </c>
      <c r="C5227" s="242">
        <f t="shared" si="163"/>
        <v>8</v>
      </c>
      <c r="D5227" s="242">
        <v>65.3</v>
      </c>
      <c r="E5227" s="845">
        <f t="shared" si="164"/>
        <v>18.499999999999996</v>
      </c>
    </row>
    <row r="5228" spans="2:5">
      <c r="B5228" s="1115">
        <v>45140</v>
      </c>
      <c r="C5228" s="242">
        <f t="shared" si="163"/>
        <v>8</v>
      </c>
      <c r="D5228" s="242">
        <v>66.599999999999994</v>
      </c>
      <c r="E5228" s="845">
        <f t="shared" si="164"/>
        <v>19.222222222222218</v>
      </c>
    </row>
    <row r="5229" spans="2:5">
      <c r="B5229" s="1115">
        <v>45140</v>
      </c>
      <c r="C5229" s="242">
        <f t="shared" si="163"/>
        <v>8</v>
      </c>
      <c r="D5229" s="242">
        <v>67.5</v>
      </c>
      <c r="E5229" s="845">
        <f t="shared" si="164"/>
        <v>19.722222222222221</v>
      </c>
    </row>
    <row r="5230" spans="2:5">
      <c r="B5230" s="1115">
        <v>45140</v>
      </c>
      <c r="C5230" s="242">
        <f t="shared" si="163"/>
        <v>8</v>
      </c>
      <c r="D5230" s="242">
        <v>67.8</v>
      </c>
      <c r="E5230" s="845">
        <f t="shared" si="164"/>
        <v>19.888888888888886</v>
      </c>
    </row>
    <row r="5231" spans="2:5">
      <c r="B5231" s="1115">
        <v>45140</v>
      </c>
      <c r="C5231" s="242">
        <f t="shared" si="163"/>
        <v>8</v>
      </c>
      <c r="D5231" s="242">
        <v>66.2</v>
      </c>
      <c r="E5231" s="845">
        <f t="shared" si="164"/>
        <v>19</v>
      </c>
    </row>
    <row r="5232" spans="2:5">
      <c r="B5232" s="1115">
        <v>45140</v>
      </c>
      <c r="C5232" s="242">
        <f t="shared" si="163"/>
        <v>8</v>
      </c>
      <c r="D5232" s="242">
        <v>64.599999999999994</v>
      </c>
      <c r="E5232" s="845">
        <f t="shared" si="164"/>
        <v>18.111111111111107</v>
      </c>
    </row>
    <row r="5233" spans="2:5">
      <c r="B5233" s="1115">
        <v>45140</v>
      </c>
      <c r="C5233" s="242">
        <f t="shared" si="163"/>
        <v>8</v>
      </c>
      <c r="D5233" s="242">
        <v>63.5</v>
      </c>
      <c r="E5233" s="845">
        <f t="shared" si="164"/>
        <v>17.5</v>
      </c>
    </row>
    <row r="5234" spans="2:5">
      <c r="B5234" s="1115">
        <v>45140</v>
      </c>
      <c r="C5234" s="242">
        <f t="shared" si="163"/>
        <v>8</v>
      </c>
      <c r="D5234" s="242">
        <v>62.6</v>
      </c>
      <c r="E5234" s="845">
        <f t="shared" si="164"/>
        <v>17</v>
      </c>
    </row>
    <row r="5235" spans="2:5">
      <c r="B5235" s="1115">
        <v>45140</v>
      </c>
      <c r="C5235" s="242">
        <f t="shared" si="163"/>
        <v>8</v>
      </c>
      <c r="D5235" s="242">
        <v>62.1</v>
      </c>
      <c r="E5235" s="845">
        <f t="shared" si="164"/>
        <v>16.722222222222221</v>
      </c>
    </row>
    <row r="5236" spans="2:5">
      <c r="B5236" s="1115">
        <v>45140</v>
      </c>
      <c r="C5236" s="242">
        <f t="shared" si="163"/>
        <v>8</v>
      </c>
      <c r="D5236" s="242">
        <v>63.1</v>
      </c>
      <c r="E5236" s="845">
        <f t="shared" si="164"/>
        <v>17.277777777777779</v>
      </c>
    </row>
    <row r="5237" spans="2:5">
      <c r="B5237" s="1115">
        <v>45140</v>
      </c>
      <c r="C5237" s="242">
        <f t="shared" si="163"/>
        <v>8</v>
      </c>
      <c r="D5237" s="242">
        <v>62.8</v>
      </c>
      <c r="E5237" s="845">
        <f t="shared" si="164"/>
        <v>17.111111111111111</v>
      </c>
    </row>
    <row r="5238" spans="2:5">
      <c r="B5238" s="1115">
        <v>45140</v>
      </c>
      <c r="C5238" s="242">
        <f t="shared" si="163"/>
        <v>8</v>
      </c>
      <c r="D5238" s="242" t="s">
        <v>1852</v>
      </c>
      <c r="E5238" s="845">
        <f t="shared" si="164"/>
        <v>17.777777777777779</v>
      </c>
    </row>
    <row r="5239" spans="2:5">
      <c r="B5239" s="1115">
        <v>45140</v>
      </c>
      <c r="C5239" s="242">
        <f t="shared" si="163"/>
        <v>8</v>
      </c>
      <c r="D5239" s="242">
        <v>65.8</v>
      </c>
      <c r="E5239" s="845">
        <f t="shared" si="164"/>
        <v>18.777777777777775</v>
      </c>
    </row>
    <row r="5240" spans="2:5">
      <c r="B5240" s="1115">
        <v>45140</v>
      </c>
      <c r="C5240" s="242">
        <f t="shared" si="163"/>
        <v>8</v>
      </c>
      <c r="D5240" s="242">
        <v>67.099999999999994</v>
      </c>
      <c r="E5240" s="845">
        <f t="shared" si="164"/>
        <v>19.499999999999996</v>
      </c>
    </row>
    <row r="5241" spans="2:5">
      <c r="B5241" s="1115">
        <v>45141</v>
      </c>
      <c r="C5241" s="242">
        <f t="shared" si="163"/>
        <v>8</v>
      </c>
      <c r="D5241" s="242">
        <v>67.8</v>
      </c>
      <c r="E5241" s="845">
        <f t="shared" si="164"/>
        <v>19.888888888888886</v>
      </c>
    </row>
    <row r="5242" spans="2:5">
      <c r="B5242" s="1115">
        <v>45141</v>
      </c>
      <c r="C5242" s="242">
        <f t="shared" si="163"/>
        <v>8</v>
      </c>
      <c r="D5242" s="242" t="s">
        <v>1854</v>
      </c>
      <c r="E5242" s="845">
        <f t="shared" si="164"/>
        <v>20</v>
      </c>
    </row>
    <row r="5243" spans="2:5">
      <c r="B5243" s="1115">
        <v>45141</v>
      </c>
      <c r="C5243" s="242">
        <f t="shared" si="163"/>
        <v>8</v>
      </c>
      <c r="D5243" s="242">
        <v>66.599999999999994</v>
      </c>
      <c r="E5243" s="845">
        <f t="shared" si="164"/>
        <v>19.222222222222218</v>
      </c>
    </row>
    <row r="5244" spans="2:5">
      <c r="B5244" s="1115">
        <v>45141</v>
      </c>
      <c r="C5244" s="242">
        <f t="shared" si="163"/>
        <v>8</v>
      </c>
      <c r="D5244" s="242">
        <v>65.099999999999994</v>
      </c>
      <c r="E5244" s="845">
        <f t="shared" si="164"/>
        <v>18.388888888888886</v>
      </c>
    </row>
    <row r="5245" spans="2:5">
      <c r="B5245" s="1115">
        <v>45141</v>
      </c>
      <c r="C5245" s="242">
        <f t="shared" si="163"/>
        <v>8</v>
      </c>
      <c r="D5245" s="242" t="s">
        <v>1852</v>
      </c>
      <c r="E5245" s="845">
        <f t="shared" si="164"/>
        <v>17.777777777777779</v>
      </c>
    </row>
    <row r="5246" spans="2:5">
      <c r="B5246" s="1115">
        <v>45141</v>
      </c>
      <c r="C5246" s="242">
        <f t="shared" si="163"/>
        <v>8</v>
      </c>
      <c r="D5246" s="242">
        <v>62.4</v>
      </c>
      <c r="E5246" s="845">
        <f t="shared" si="164"/>
        <v>16.888888888888889</v>
      </c>
    </row>
    <row r="5247" spans="2:5">
      <c r="B5247" s="1115">
        <v>45141</v>
      </c>
      <c r="C5247" s="242">
        <f t="shared" si="163"/>
        <v>8</v>
      </c>
      <c r="D5247" s="242">
        <v>61.3</v>
      </c>
      <c r="E5247" s="845">
        <f t="shared" si="164"/>
        <v>16.277777777777775</v>
      </c>
    </row>
    <row r="5248" spans="2:5">
      <c r="B5248" s="1115">
        <v>45141</v>
      </c>
      <c r="C5248" s="242">
        <f t="shared" si="163"/>
        <v>8</v>
      </c>
      <c r="D5248" s="242">
        <v>61.7</v>
      </c>
      <c r="E5248" s="845">
        <f t="shared" si="164"/>
        <v>16.5</v>
      </c>
    </row>
    <row r="5249" spans="2:5">
      <c r="B5249" s="1115">
        <v>45141</v>
      </c>
      <c r="C5249" s="242">
        <f t="shared" si="163"/>
        <v>8</v>
      </c>
      <c r="D5249" s="242">
        <v>61.9</v>
      </c>
      <c r="E5249" s="845">
        <f t="shared" si="164"/>
        <v>16.611111111111111</v>
      </c>
    </row>
    <row r="5250" spans="2:5">
      <c r="B5250" s="1115">
        <v>45141</v>
      </c>
      <c r="C5250" s="242">
        <f t="shared" si="163"/>
        <v>8</v>
      </c>
      <c r="D5250" s="242">
        <v>63.1</v>
      </c>
      <c r="E5250" s="845">
        <f t="shared" si="164"/>
        <v>17.277777777777779</v>
      </c>
    </row>
    <row r="5251" spans="2:5">
      <c r="B5251" s="1115">
        <v>45141</v>
      </c>
      <c r="C5251" s="242">
        <f t="shared" si="163"/>
        <v>8</v>
      </c>
      <c r="D5251" s="242">
        <v>64.8</v>
      </c>
      <c r="E5251" s="845">
        <f t="shared" si="164"/>
        <v>18.222222222222221</v>
      </c>
    </row>
    <row r="5252" spans="2:5">
      <c r="B5252" s="1115">
        <v>45141</v>
      </c>
      <c r="C5252" s="242">
        <f t="shared" si="163"/>
        <v>8</v>
      </c>
      <c r="D5252" s="242">
        <v>65.8</v>
      </c>
      <c r="E5252" s="845">
        <f t="shared" si="164"/>
        <v>18.777777777777775</v>
      </c>
    </row>
    <row r="5253" spans="2:5">
      <c r="B5253" s="1115">
        <v>45141</v>
      </c>
      <c r="C5253" s="242">
        <f t="shared" si="163"/>
        <v>8</v>
      </c>
      <c r="D5253" s="242">
        <v>66.900000000000006</v>
      </c>
      <c r="E5253" s="845">
        <f t="shared" si="164"/>
        <v>19.388888888888893</v>
      </c>
    </row>
    <row r="5254" spans="2:5">
      <c r="B5254" s="1115">
        <v>45141</v>
      </c>
      <c r="C5254" s="242">
        <f t="shared" si="163"/>
        <v>8</v>
      </c>
      <c r="D5254" s="242">
        <v>67.599999999999994</v>
      </c>
      <c r="E5254" s="845">
        <f t="shared" si="164"/>
        <v>19.777777777777775</v>
      </c>
    </row>
    <row r="5255" spans="2:5">
      <c r="B5255" s="1115">
        <v>45141</v>
      </c>
      <c r="C5255" s="242">
        <f t="shared" si="163"/>
        <v>8</v>
      </c>
      <c r="D5255" s="242">
        <v>67.8</v>
      </c>
      <c r="E5255" s="845">
        <f t="shared" si="164"/>
        <v>19.888888888888886</v>
      </c>
    </row>
    <row r="5256" spans="2:5">
      <c r="B5256" s="1115">
        <v>45141</v>
      </c>
      <c r="C5256" s="242">
        <f t="shared" si="163"/>
        <v>8</v>
      </c>
      <c r="D5256" s="242" t="s">
        <v>1853</v>
      </c>
      <c r="E5256" s="845">
        <f t="shared" si="164"/>
        <v>18.888888888888889</v>
      </c>
    </row>
    <row r="5257" spans="2:5">
      <c r="B5257" s="1115">
        <v>45141</v>
      </c>
      <c r="C5257" s="242">
        <f t="shared" si="163"/>
        <v>8</v>
      </c>
      <c r="D5257" s="242">
        <v>64.400000000000006</v>
      </c>
      <c r="E5257" s="845">
        <f t="shared" si="164"/>
        <v>18.000000000000004</v>
      </c>
    </row>
    <row r="5258" spans="2:5">
      <c r="B5258" s="1115">
        <v>45141</v>
      </c>
      <c r="C5258" s="242">
        <f t="shared" ref="C5258:C5321" si="165">MONTH(B5258)</f>
        <v>8</v>
      </c>
      <c r="D5258" s="242" t="s">
        <v>1850</v>
      </c>
      <c r="E5258" s="845">
        <f t="shared" ref="E5258:E5321" si="166">CONVERT(D5258,"F","C")</f>
        <v>16.111111111111111</v>
      </c>
    </row>
    <row r="5259" spans="2:5">
      <c r="B5259" s="1115">
        <v>45141</v>
      </c>
      <c r="C5259" s="242">
        <f t="shared" si="165"/>
        <v>8</v>
      </c>
      <c r="D5259" s="242">
        <v>59.7</v>
      </c>
      <c r="E5259" s="845">
        <f t="shared" si="166"/>
        <v>15.388888888888889</v>
      </c>
    </row>
    <row r="5260" spans="2:5">
      <c r="B5260" s="1115">
        <v>45141</v>
      </c>
      <c r="C5260" s="242">
        <f t="shared" si="165"/>
        <v>8</v>
      </c>
      <c r="D5260" s="242">
        <v>59.9</v>
      </c>
      <c r="E5260" s="845">
        <f t="shared" si="166"/>
        <v>15.499999999999998</v>
      </c>
    </row>
    <row r="5261" spans="2:5">
      <c r="B5261" s="1115">
        <v>45141</v>
      </c>
      <c r="C5261" s="242">
        <f t="shared" si="165"/>
        <v>8</v>
      </c>
      <c r="D5261" s="242">
        <v>61.2</v>
      </c>
      <c r="E5261" s="845">
        <f t="shared" si="166"/>
        <v>16.222222222222225</v>
      </c>
    </row>
    <row r="5262" spans="2:5">
      <c r="B5262" s="1115">
        <v>45141</v>
      </c>
      <c r="C5262" s="242">
        <f t="shared" si="165"/>
        <v>8</v>
      </c>
      <c r="D5262" s="242">
        <v>60.8</v>
      </c>
      <c r="E5262" s="845">
        <f t="shared" si="166"/>
        <v>15.999999999999998</v>
      </c>
    </row>
    <row r="5263" spans="2:5">
      <c r="B5263" s="1115">
        <v>45141</v>
      </c>
      <c r="C5263" s="242">
        <f t="shared" si="165"/>
        <v>8</v>
      </c>
      <c r="D5263" s="242">
        <v>62.6</v>
      </c>
      <c r="E5263" s="845">
        <f t="shared" si="166"/>
        <v>17</v>
      </c>
    </row>
    <row r="5264" spans="2:5">
      <c r="B5264" s="1115">
        <v>45141</v>
      </c>
      <c r="C5264" s="242">
        <f t="shared" si="165"/>
        <v>8</v>
      </c>
      <c r="D5264" s="242">
        <v>65.099999999999994</v>
      </c>
      <c r="E5264" s="845">
        <f t="shared" si="166"/>
        <v>18.388888888888886</v>
      </c>
    </row>
    <row r="5265" spans="2:5">
      <c r="B5265" s="1115">
        <v>45142</v>
      </c>
      <c r="C5265" s="242">
        <f t="shared" si="165"/>
        <v>8</v>
      </c>
      <c r="D5265" s="242">
        <v>66.599999999999994</v>
      </c>
      <c r="E5265" s="845">
        <f t="shared" si="166"/>
        <v>19.222222222222218</v>
      </c>
    </row>
    <row r="5266" spans="2:5">
      <c r="B5266" s="1115">
        <v>45142</v>
      </c>
      <c r="C5266" s="242">
        <f t="shared" si="165"/>
        <v>8</v>
      </c>
      <c r="D5266" s="242">
        <v>67.5</v>
      </c>
      <c r="E5266" s="845">
        <f t="shared" si="166"/>
        <v>19.722222222222221</v>
      </c>
    </row>
    <row r="5267" spans="2:5">
      <c r="B5267" s="1115">
        <v>45142</v>
      </c>
      <c r="C5267" s="242">
        <f t="shared" si="165"/>
        <v>8</v>
      </c>
      <c r="D5267" s="242">
        <v>67.599999999999994</v>
      </c>
      <c r="E5267" s="845">
        <f t="shared" si="166"/>
        <v>19.777777777777775</v>
      </c>
    </row>
    <row r="5268" spans="2:5">
      <c r="B5268" s="1115">
        <v>45142</v>
      </c>
      <c r="C5268" s="242">
        <f t="shared" si="165"/>
        <v>8</v>
      </c>
      <c r="D5268" s="242">
        <v>65.8</v>
      </c>
      <c r="E5268" s="845">
        <f t="shared" si="166"/>
        <v>18.777777777777775</v>
      </c>
    </row>
    <row r="5269" spans="2:5">
      <c r="B5269" s="1115">
        <v>45142</v>
      </c>
      <c r="C5269" s="242">
        <f t="shared" si="165"/>
        <v>8</v>
      </c>
      <c r="D5269" s="242">
        <v>63.1</v>
      </c>
      <c r="E5269" s="845">
        <f t="shared" si="166"/>
        <v>17.277777777777779</v>
      </c>
    </row>
    <row r="5270" spans="2:5">
      <c r="B5270" s="1115">
        <v>45142</v>
      </c>
      <c r="C5270" s="242">
        <f t="shared" si="165"/>
        <v>8</v>
      </c>
      <c r="D5270" s="242">
        <v>60.1</v>
      </c>
      <c r="E5270" s="845">
        <f t="shared" si="166"/>
        <v>15.611111111111111</v>
      </c>
    </row>
    <row r="5271" spans="2:5">
      <c r="B5271" s="1115">
        <v>45142</v>
      </c>
      <c r="C5271" s="242">
        <f t="shared" si="165"/>
        <v>8</v>
      </c>
      <c r="D5271" s="242" t="s">
        <v>1849</v>
      </c>
      <c r="E5271" s="845">
        <f t="shared" si="166"/>
        <v>15</v>
      </c>
    </row>
    <row r="5272" spans="2:5">
      <c r="B5272" s="1115">
        <v>45142</v>
      </c>
      <c r="C5272" s="242">
        <f t="shared" si="165"/>
        <v>8</v>
      </c>
      <c r="D5272" s="242">
        <v>58.3</v>
      </c>
      <c r="E5272" s="845">
        <f t="shared" si="166"/>
        <v>14.611111111111109</v>
      </c>
    </row>
    <row r="5273" spans="2:5">
      <c r="B5273" s="1115">
        <v>45142</v>
      </c>
      <c r="C5273" s="242">
        <f t="shared" si="165"/>
        <v>8</v>
      </c>
      <c r="D5273" s="242">
        <v>58.5</v>
      </c>
      <c r="E5273" s="845">
        <f t="shared" si="166"/>
        <v>14.722222222222221</v>
      </c>
    </row>
    <row r="5274" spans="2:5">
      <c r="B5274" s="1115">
        <v>45142</v>
      </c>
      <c r="C5274" s="242">
        <f t="shared" si="165"/>
        <v>8</v>
      </c>
      <c r="D5274" s="242" t="s">
        <v>1849</v>
      </c>
      <c r="E5274" s="845">
        <f t="shared" si="166"/>
        <v>15</v>
      </c>
    </row>
    <row r="5275" spans="2:5">
      <c r="B5275" s="1115">
        <v>45142</v>
      </c>
      <c r="C5275" s="242">
        <f t="shared" si="165"/>
        <v>8</v>
      </c>
      <c r="D5275" s="242">
        <v>60.6</v>
      </c>
      <c r="E5275" s="845">
        <f t="shared" si="166"/>
        <v>15.888888888888889</v>
      </c>
    </row>
    <row r="5276" spans="2:5">
      <c r="B5276" s="1115">
        <v>45142</v>
      </c>
      <c r="C5276" s="242">
        <f t="shared" si="165"/>
        <v>8</v>
      </c>
      <c r="D5276" s="242" t="s">
        <v>1851</v>
      </c>
      <c r="E5276" s="845">
        <f t="shared" si="166"/>
        <v>17.222222222222221</v>
      </c>
    </row>
    <row r="5277" spans="2:5">
      <c r="B5277" s="1115">
        <v>45142</v>
      </c>
      <c r="C5277" s="242">
        <f t="shared" si="165"/>
        <v>8</v>
      </c>
      <c r="D5277" s="242">
        <v>64.8</v>
      </c>
      <c r="E5277" s="845">
        <f t="shared" si="166"/>
        <v>18.222222222222221</v>
      </c>
    </row>
    <row r="5278" spans="2:5">
      <c r="B5278" s="1115">
        <v>45142</v>
      </c>
      <c r="C5278" s="242">
        <f t="shared" si="165"/>
        <v>8</v>
      </c>
      <c r="D5278" s="242" t="s">
        <v>1853</v>
      </c>
      <c r="E5278" s="845">
        <f t="shared" si="166"/>
        <v>18.888888888888889</v>
      </c>
    </row>
    <row r="5279" spans="2:5">
      <c r="B5279" s="1115">
        <v>45142</v>
      </c>
      <c r="C5279" s="242">
        <f t="shared" si="165"/>
        <v>8</v>
      </c>
      <c r="D5279" s="242">
        <v>66.900000000000006</v>
      </c>
      <c r="E5279" s="845">
        <f t="shared" si="166"/>
        <v>19.388888888888893</v>
      </c>
    </row>
    <row r="5280" spans="2:5">
      <c r="B5280" s="1115">
        <v>45142</v>
      </c>
      <c r="C5280" s="242">
        <f t="shared" si="165"/>
        <v>8</v>
      </c>
      <c r="D5280" s="242">
        <v>66.7</v>
      </c>
      <c r="E5280" s="845">
        <f t="shared" si="166"/>
        <v>19.277777777777779</v>
      </c>
    </row>
    <row r="5281" spans="2:5">
      <c r="B5281" s="1115">
        <v>45142</v>
      </c>
      <c r="C5281" s="242">
        <f t="shared" si="165"/>
        <v>8</v>
      </c>
      <c r="D5281" s="242">
        <v>64.400000000000006</v>
      </c>
      <c r="E5281" s="845">
        <f t="shared" si="166"/>
        <v>18.000000000000004</v>
      </c>
    </row>
    <row r="5282" spans="2:5">
      <c r="B5282" s="1115">
        <v>45142</v>
      </c>
      <c r="C5282" s="242">
        <f t="shared" si="165"/>
        <v>8</v>
      </c>
      <c r="D5282" s="242" t="s">
        <v>1850</v>
      </c>
      <c r="E5282" s="845">
        <f t="shared" si="166"/>
        <v>16.111111111111111</v>
      </c>
    </row>
    <row r="5283" spans="2:5">
      <c r="B5283" s="1115">
        <v>45142</v>
      </c>
      <c r="C5283" s="242">
        <f t="shared" si="165"/>
        <v>8</v>
      </c>
      <c r="D5283" s="242">
        <v>56.8</v>
      </c>
      <c r="E5283" s="845">
        <f t="shared" si="166"/>
        <v>13.777777777777775</v>
      </c>
    </row>
    <row r="5284" spans="2:5">
      <c r="B5284" s="1115">
        <v>45142</v>
      </c>
      <c r="C5284" s="242">
        <f t="shared" si="165"/>
        <v>8</v>
      </c>
      <c r="D5284" s="242">
        <v>55.6</v>
      </c>
      <c r="E5284" s="845">
        <f t="shared" si="166"/>
        <v>13.111111111111111</v>
      </c>
    </row>
    <row r="5285" spans="2:5">
      <c r="B5285" s="1115">
        <v>45142</v>
      </c>
      <c r="C5285" s="242">
        <f t="shared" si="165"/>
        <v>8</v>
      </c>
      <c r="D5285" s="242">
        <v>55.9</v>
      </c>
      <c r="E5285" s="845">
        <f t="shared" si="166"/>
        <v>13.277777777777777</v>
      </c>
    </row>
    <row r="5286" spans="2:5">
      <c r="B5286" s="1115">
        <v>45142</v>
      </c>
      <c r="C5286" s="242">
        <f t="shared" si="165"/>
        <v>8</v>
      </c>
      <c r="D5286" s="242">
        <v>56.3</v>
      </c>
      <c r="E5286" s="845">
        <f t="shared" si="166"/>
        <v>13.499999999999998</v>
      </c>
    </row>
    <row r="5287" spans="2:5">
      <c r="B5287" s="1115">
        <v>45142</v>
      </c>
      <c r="C5287" s="242">
        <f t="shared" si="165"/>
        <v>8</v>
      </c>
      <c r="D5287" s="242">
        <v>57.4</v>
      </c>
      <c r="E5287" s="845">
        <f t="shared" si="166"/>
        <v>14.111111111111111</v>
      </c>
    </row>
    <row r="5288" spans="2:5">
      <c r="B5288" s="1115">
        <v>45142</v>
      </c>
      <c r="C5288" s="242">
        <f t="shared" si="165"/>
        <v>8</v>
      </c>
      <c r="D5288" s="242">
        <v>59.7</v>
      </c>
      <c r="E5288" s="845">
        <f t="shared" si="166"/>
        <v>15.388888888888889</v>
      </c>
    </row>
    <row r="5289" spans="2:5">
      <c r="B5289" s="1115">
        <v>45143</v>
      </c>
      <c r="C5289" s="242">
        <f t="shared" si="165"/>
        <v>8</v>
      </c>
      <c r="D5289" s="242">
        <v>62.4</v>
      </c>
      <c r="E5289" s="845">
        <f t="shared" si="166"/>
        <v>16.888888888888889</v>
      </c>
    </row>
    <row r="5290" spans="2:5">
      <c r="B5290" s="1115">
        <v>45143</v>
      </c>
      <c r="C5290" s="242">
        <f t="shared" si="165"/>
        <v>8</v>
      </c>
      <c r="D5290" s="242">
        <v>64.400000000000006</v>
      </c>
      <c r="E5290" s="845">
        <f t="shared" si="166"/>
        <v>18.000000000000004</v>
      </c>
    </row>
    <row r="5291" spans="2:5">
      <c r="B5291" s="1115">
        <v>45143</v>
      </c>
      <c r="C5291" s="242">
        <f t="shared" si="165"/>
        <v>8</v>
      </c>
      <c r="D5291" s="242">
        <v>65.5</v>
      </c>
      <c r="E5291" s="845">
        <f t="shared" si="166"/>
        <v>18.611111111111111</v>
      </c>
    </row>
    <row r="5292" spans="2:5">
      <c r="B5292" s="1115">
        <v>45143</v>
      </c>
      <c r="C5292" s="242">
        <f t="shared" si="165"/>
        <v>8</v>
      </c>
      <c r="D5292" s="242">
        <v>65.8</v>
      </c>
      <c r="E5292" s="845">
        <f t="shared" si="166"/>
        <v>18.777777777777775</v>
      </c>
    </row>
    <row r="5293" spans="2:5">
      <c r="B5293" s="1115">
        <v>45143</v>
      </c>
      <c r="C5293" s="242">
        <f t="shared" si="165"/>
        <v>8</v>
      </c>
      <c r="D5293" s="242">
        <v>62.6</v>
      </c>
      <c r="E5293" s="845">
        <f t="shared" si="166"/>
        <v>17</v>
      </c>
    </row>
    <row r="5294" spans="2:5">
      <c r="B5294" s="1115">
        <v>45143</v>
      </c>
      <c r="C5294" s="242">
        <f t="shared" si="165"/>
        <v>8</v>
      </c>
      <c r="D5294" s="242" t="s">
        <v>1849</v>
      </c>
      <c r="E5294" s="845">
        <f t="shared" si="166"/>
        <v>15</v>
      </c>
    </row>
    <row r="5295" spans="2:5">
      <c r="B5295" s="1115">
        <v>45143</v>
      </c>
      <c r="C5295" s="242">
        <f t="shared" si="165"/>
        <v>8</v>
      </c>
      <c r="D5295" s="242">
        <v>55.6</v>
      </c>
      <c r="E5295" s="845">
        <f t="shared" si="166"/>
        <v>13.111111111111111</v>
      </c>
    </row>
    <row r="5296" spans="2:5">
      <c r="B5296" s="1115">
        <v>45143</v>
      </c>
      <c r="C5296" s="242">
        <f t="shared" si="165"/>
        <v>8</v>
      </c>
      <c r="D5296" s="242">
        <v>54.5</v>
      </c>
      <c r="E5296" s="845">
        <f t="shared" si="166"/>
        <v>12.5</v>
      </c>
    </row>
    <row r="5297" spans="2:5">
      <c r="B5297" s="1115">
        <v>45143</v>
      </c>
      <c r="C5297" s="242">
        <f t="shared" si="165"/>
        <v>8</v>
      </c>
      <c r="D5297" s="242">
        <v>54.1</v>
      </c>
      <c r="E5297" s="845">
        <f t="shared" si="166"/>
        <v>12.277777777777779</v>
      </c>
    </row>
    <row r="5298" spans="2:5">
      <c r="B5298" s="1115">
        <v>45143</v>
      </c>
      <c r="C5298" s="242">
        <f t="shared" si="165"/>
        <v>8</v>
      </c>
      <c r="D5298" s="242">
        <v>55.6</v>
      </c>
      <c r="E5298" s="845">
        <f t="shared" si="166"/>
        <v>13.111111111111111</v>
      </c>
    </row>
    <row r="5299" spans="2:5">
      <c r="B5299" s="1115">
        <v>45143</v>
      </c>
      <c r="C5299" s="242">
        <f t="shared" si="165"/>
        <v>8</v>
      </c>
      <c r="D5299" s="242">
        <v>55.4</v>
      </c>
      <c r="E5299" s="845">
        <f t="shared" si="166"/>
        <v>12.999999999999998</v>
      </c>
    </row>
    <row r="5300" spans="2:5">
      <c r="B5300" s="1115">
        <v>45143</v>
      </c>
      <c r="C5300" s="242">
        <f t="shared" si="165"/>
        <v>8</v>
      </c>
      <c r="D5300" s="242">
        <v>57.2</v>
      </c>
      <c r="E5300" s="845">
        <f t="shared" si="166"/>
        <v>14.000000000000002</v>
      </c>
    </row>
    <row r="5301" spans="2:5">
      <c r="B5301" s="1115">
        <v>45143</v>
      </c>
      <c r="C5301" s="242">
        <f t="shared" si="165"/>
        <v>8</v>
      </c>
      <c r="D5301" s="242">
        <v>60.4</v>
      </c>
      <c r="E5301" s="845">
        <f t="shared" si="166"/>
        <v>15.777777777777777</v>
      </c>
    </row>
    <row r="5302" spans="2:5">
      <c r="B5302" s="1115">
        <v>45143</v>
      </c>
      <c r="C5302" s="242">
        <f t="shared" si="165"/>
        <v>8</v>
      </c>
      <c r="D5302" s="242">
        <v>62.2</v>
      </c>
      <c r="E5302" s="845">
        <f t="shared" si="166"/>
        <v>16.777777777777779</v>
      </c>
    </row>
    <row r="5303" spans="2:5">
      <c r="B5303" s="1115">
        <v>45143</v>
      </c>
      <c r="C5303" s="242">
        <f t="shared" si="165"/>
        <v>8</v>
      </c>
      <c r="D5303" s="242" t="s">
        <v>1852</v>
      </c>
      <c r="E5303" s="845">
        <f t="shared" si="166"/>
        <v>17.777777777777779</v>
      </c>
    </row>
    <row r="5304" spans="2:5">
      <c r="B5304" s="1115">
        <v>45143</v>
      </c>
      <c r="C5304" s="242">
        <f t="shared" si="165"/>
        <v>8</v>
      </c>
      <c r="D5304" s="242">
        <v>65.3</v>
      </c>
      <c r="E5304" s="845">
        <f t="shared" si="166"/>
        <v>18.499999999999996</v>
      </c>
    </row>
    <row r="5305" spans="2:5">
      <c r="B5305" s="1115">
        <v>45143</v>
      </c>
      <c r="C5305" s="242">
        <f t="shared" si="165"/>
        <v>8</v>
      </c>
      <c r="D5305" s="242">
        <v>64.599999999999994</v>
      </c>
      <c r="E5305" s="845">
        <f t="shared" si="166"/>
        <v>18.111111111111107</v>
      </c>
    </row>
    <row r="5306" spans="2:5">
      <c r="B5306" s="1115">
        <v>45143</v>
      </c>
      <c r="C5306" s="242">
        <f t="shared" si="165"/>
        <v>8</v>
      </c>
      <c r="D5306" s="242">
        <v>60.8</v>
      </c>
      <c r="E5306" s="845">
        <f t="shared" si="166"/>
        <v>15.999999999999998</v>
      </c>
    </row>
    <row r="5307" spans="2:5">
      <c r="B5307" s="1115">
        <v>45143</v>
      </c>
      <c r="C5307" s="242">
        <f t="shared" si="165"/>
        <v>8</v>
      </c>
      <c r="D5307" s="242">
        <v>57.7</v>
      </c>
      <c r="E5307" s="845">
        <f t="shared" si="166"/>
        <v>14.277777777777779</v>
      </c>
    </row>
    <row r="5308" spans="2:5">
      <c r="B5308" s="1115">
        <v>45143</v>
      </c>
      <c r="C5308" s="242">
        <f t="shared" si="165"/>
        <v>8</v>
      </c>
      <c r="D5308" s="242">
        <v>56.3</v>
      </c>
      <c r="E5308" s="845">
        <f t="shared" si="166"/>
        <v>13.499999999999998</v>
      </c>
    </row>
    <row r="5309" spans="2:5">
      <c r="B5309" s="1115">
        <v>45143</v>
      </c>
      <c r="C5309" s="242">
        <f t="shared" si="165"/>
        <v>8</v>
      </c>
      <c r="D5309" s="242">
        <v>55.4</v>
      </c>
      <c r="E5309" s="845">
        <f t="shared" si="166"/>
        <v>12.999999999999998</v>
      </c>
    </row>
    <row r="5310" spans="2:5">
      <c r="B5310" s="1115">
        <v>45143</v>
      </c>
      <c r="C5310" s="242">
        <f t="shared" si="165"/>
        <v>8</v>
      </c>
      <c r="D5310" s="242">
        <v>55.9</v>
      </c>
      <c r="E5310" s="845">
        <f t="shared" si="166"/>
        <v>13.277777777777777</v>
      </c>
    </row>
    <row r="5311" spans="2:5">
      <c r="B5311" s="1115">
        <v>45143</v>
      </c>
      <c r="C5311" s="242">
        <f t="shared" si="165"/>
        <v>8</v>
      </c>
      <c r="D5311" s="242">
        <v>56.3</v>
      </c>
      <c r="E5311" s="845">
        <f t="shared" si="166"/>
        <v>13.499999999999998</v>
      </c>
    </row>
    <row r="5312" spans="2:5">
      <c r="B5312" s="1115">
        <v>45143</v>
      </c>
      <c r="C5312" s="242">
        <f t="shared" si="165"/>
        <v>8</v>
      </c>
      <c r="D5312" s="242">
        <v>57.2</v>
      </c>
      <c r="E5312" s="845">
        <f t="shared" si="166"/>
        <v>14.000000000000002</v>
      </c>
    </row>
    <row r="5313" spans="2:5">
      <c r="B5313" s="1115">
        <v>45144</v>
      </c>
      <c r="C5313" s="242">
        <f t="shared" si="165"/>
        <v>8</v>
      </c>
      <c r="D5313" s="242">
        <v>59.7</v>
      </c>
      <c r="E5313" s="845">
        <f t="shared" si="166"/>
        <v>15.388888888888889</v>
      </c>
    </row>
    <row r="5314" spans="2:5">
      <c r="B5314" s="1115">
        <v>45144</v>
      </c>
      <c r="C5314" s="242">
        <f t="shared" si="165"/>
        <v>8</v>
      </c>
      <c r="D5314" s="242">
        <v>62.1</v>
      </c>
      <c r="E5314" s="845">
        <f t="shared" si="166"/>
        <v>16.722222222222221</v>
      </c>
    </row>
    <row r="5315" spans="2:5">
      <c r="B5315" s="1115">
        <v>45144</v>
      </c>
      <c r="C5315" s="242">
        <f t="shared" si="165"/>
        <v>8</v>
      </c>
      <c r="D5315" s="242">
        <v>63.7</v>
      </c>
      <c r="E5315" s="845">
        <f t="shared" si="166"/>
        <v>17.611111111111111</v>
      </c>
    </row>
    <row r="5316" spans="2:5">
      <c r="B5316" s="1115">
        <v>45144</v>
      </c>
      <c r="C5316" s="242">
        <f t="shared" si="165"/>
        <v>8</v>
      </c>
      <c r="D5316" s="242">
        <v>64.8</v>
      </c>
      <c r="E5316" s="845">
        <f t="shared" si="166"/>
        <v>18.222222222222221</v>
      </c>
    </row>
    <row r="5317" spans="2:5">
      <c r="B5317" s="1115">
        <v>45144</v>
      </c>
      <c r="C5317" s="242">
        <f t="shared" si="165"/>
        <v>8</v>
      </c>
      <c r="D5317" s="242">
        <v>64.900000000000006</v>
      </c>
      <c r="E5317" s="845">
        <f t="shared" si="166"/>
        <v>18.277777777777782</v>
      </c>
    </row>
    <row r="5318" spans="2:5">
      <c r="B5318" s="1115">
        <v>45144</v>
      </c>
      <c r="C5318" s="242">
        <f t="shared" si="165"/>
        <v>8</v>
      </c>
      <c r="D5318" s="242">
        <v>62.1</v>
      </c>
      <c r="E5318" s="845">
        <f t="shared" si="166"/>
        <v>16.722222222222221</v>
      </c>
    </row>
    <row r="5319" spans="2:5">
      <c r="B5319" s="1115">
        <v>45144</v>
      </c>
      <c r="C5319" s="242">
        <f t="shared" si="165"/>
        <v>8</v>
      </c>
      <c r="D5319" s="242">
        <v>58.8</v>
      </c>
      <c r="E5319" s="845">
        <f t="shared" si="166"/>
        <v>14.888888888888888</v>
      </c>
    </row>
    <row r="5320" spans="2:5">
      <c r="B5320" s="1115">
        <v>45144</v>
      </c>
      <c r="C5320" s="242">
        <f t="shared" si="165"/>
        <v>8</v>
      </c>
      <c r="D5320" s="242">
        <v>56.3</v>
      </c>
      <c r="E5320" s="845">
        <f t="shared" si="166"/>
        <v>13.499999999999998</v>
      </c>
    </row>
    <row r="5321" spans="2:5">
      <c r="B5321" s="1115">
        <v>45144</v>
      </c>
      <c r="C5321" s="242">
        <f t="shared" si="165"/>
        <v>8</v>
      </c>
      <c r="D5321" s="242" t="s">
        <v>1847</v>
      </c>
      <c r="E5321" s="845">
        <f t="shared" si="166"/>
        <v>12.777777777777777</v>
      </c>
    </row>
    <row r="5322" spans="2:5">
      <c r="B5322" s="1115">
        <v>45144</v>
      </c>
      <c r="C5322" s="242">
        <f t="shared" ref="C5322:C5385" si="167">MONTH(B5322)</f>
        <v>8</v>
      </c>
      <c r="D5322" s="242">
        <v>54.5</v>
      </c>
      <c r="E5322" s="845">
        <f t="shared" ref="E5322:E5385" si="168">CONVERT(D5322,"F","C")</f>
        <v>12.5</v>
      </c>
    </row>
    <row r="5323" spans="2:5">
      <c r="B5323" s="1115">
        <v>45144</v>
      </c>
      <c r="C5323" s="242">
        <f t="shared" si="167"/>
        <v>8</v>
      </c>
      <c r="D5323" s="242" t="s">
        <v>1847</v>
      </c>
      <c r="E5323" s="845">
        <f t="shared" si="168"/>
        <v>12.777777777777777</v>
      </c>
    </row>
    <row r="5324" spans="2:5">
      <c r="B5324" s="1115">
        <v>45144</v>
      </c>
      <c r="C5324" s="242">
        <f t="shared" si="167"/>
        <v>8</v>
      </c>
      <c r="D5324" s="242">
        <v>55.8</v>
      </c>
      <c r="E5324" s="845">
        <f t="shared" si="168"/>
        <v>13.22222222222222</v>
      </c>
    </row>
    <row r="5325" spans="2:5">
      <c r="B5325" s="1115">
        <v>45144</v>
      </c>
      <c r="C5325" s="242">
        <f t="shared" si="167"/>
        <v>8</v>
      </c>
      <c r="D5325" s="242">
        <v>57.6</v>
      </c>
      <c r="E5325" s="845">
        <f t="shared" si="168"/>
        <v>14.222222222222223</v>
      </c>
    </row>
    <row r="5326" spans="2:5">
      <c r="B5326" s="1115">
        <v>45144</v>
      </c>
      <c r="C5326" s="242">
        <f t="shared" si="167"/>
        <v>8</v>
      </c>
      <c r="D5326" s="242">
        <v>60.6</v>
      </c>
      <c r="E5326" s="845">
        <f t="shared" si="168"/>
        <v>15.888888888888889</v>
      </c>
    </row>
    <row r="5327" spans="2:5">
      <c r="B5327" s="1115">
        <v>45144</v>
      </c>
      <c r="C5327" s="242">
        <f t="shared" si="167"/>
        <v>8</v>
      </c>
      <c r="D5327" s="242">
        <v>62.4</v>
      </c>
      <c r="E5327" s="845">
        <f t="shared" si="168"/>
        <v>16.888888888888889</v>
      </c>
    </row>
    <row r="5328" spans="2:5">
      <c r="B5328" s="1115">
        <v>45144</v>
      </c>
      <c r="C5328" s="242">
        <f t="shared" si="167"/>
        <v>8</v>
      </c>
      <c r="D5328" s="242" t="s">
        <v>1852</v>
      </c>
      <c r="E5328" s="845">
        <f t="shared" si="168"/>
        <v>17.777777777777779</v>
      </c>
    </row>
    <row r="5329" spans="2:5">
      <c r="B5329" s="1115">
        <v>45144</v>
      </c>
      <c r="C5329" s="242">
        <f t="shared" si="167"/>
        <v>8</v>
      </c>
      <c r="D5329" s="242">
        <v>65.099999999999994</v>
      </c>
      <c r="E5329" s="845">
        <f t="shared" si="168"/>
        <v>18.388888888888886</v>
      </c>
    </row>
    <row r="5330" spans="2:5">
      <c r="B5330" s="1115">
        <v>45144</v>
      </c>
      <c r="C5330" s="242">
        <f t="shared" si="167"/>
        <v>8</v>
      </c>
      <c r="D5330" s="242">
        <v>63.7</v>
      </c>
      <c r="E5330" s="845">
        <f t="shared" si="168"/>
        <v>17.611111111111111</v>
      </c>
    </row>
    <row r="5331" spans="2:5">
      <c r="B5331" s="1115">
        <v>45144</v>
      </c>
      <c r="C5331" s="242">
        <f t="shared" si="167"/>
        <v>8</v>
      </c>
      <c r="D5331" s="242">
        <v>60.6</v>
      </c>
      <c r="E5331" s="845">
        <f t="shared" si="168"/>
        <v>15.888888888888889</v>
      </c>
    </row>
    <row r="5332" spans="2:5">
      <c r="B5332" s="1115">
        <v>45144</v>
      </c>
      <c r="C5332" s="242">
        <f t="shared" si="167"/>
        <v>8</v>
      </c>
      <c r="D5332" s="242">
        <v>57.4</v>
      </c>
      <c r="E5332" s="845">
        <f t="shared" si="168"/>
        <v>14.111111111111111</v>
      </c>
    </row>
    <row r="5333" spans="2:5">
      <c r="B5333" s="1115">
        <v>45144</v>
      </c>
      <c r="C5333" s="242">
        <f t="shared" si="167"/>
        <v>8</v>
      </c>
      <c r="D5333" s="242">
        <v>55.8</v>
      </c>
      <c r="E5333" s="845">
        <f t="shared" si="168"/>
        <v>13.22222222222222</v>
      </c>
    </row>
    <row r="5334" spans="2:5">
      <c r="B5334" s="1115">
        <v>45144</v>
      </c>
      <c r="C5334" s="242">
        <f t="shared" si="167"/>
        <v>8</v>
      </c>
      <c r="D5334" s="242">
        <v>55.2</v>
      </c>
      <c r="E5334" s="845">
        <f t="shared" si="168"/>
        <v>12.888888888888889</v>
      </c>
    </row>
    <row r="5335" spans="2:5">
      <c r="B5335" s="1115">
        <v>45144</v>
      </c>
      <c r="C5335" s="242">
        <f t="shared" si="167"/>
        <v>8</v>
      </c>
      <c r="D5335" s="242">
        <v>55.4</v>
      </c>
      <c r="E5335" s="845">
        <f t="shared" si="168"/>
        <v>12.999999999999998</v>
      </c>
    </row>
    <row r="5336" spans="2:5">
      <c r="B5336" s="1115">
        <v>45144</v>
      </c>
      <c r="C5336" s="242">
        <f t="shared" si="167"/>
        <v>8</v>
      </c>
      <c r="D5336" s="242">
        <v>56.1</v>
      </c>
      <c r="E5336" s="845">
        <f t="shared" si="168"/>
        <v>13.388888888888889</v>
      </c>
    </row>
    <row r="5337" spans="2:5">
      <c r="B5337" s="1115">
        <v>45145</v>
      </c>
      <c r="C5337" s="242">
        <f t="shared" si="167"/>
        <v>8</v>
      </c>
      <c r="D5337" s="242">
        <v>56.8</v>
      </c>
      <c r="E5337" s="845">
        <f t="shared" si="168"/>
        <v>13.777777777777775</v>
      </c>
    </row>
    <row r="5338" spans="2:5">
      <c r="B5338" s="1115">
        <v>45145</v>
      </c>
      <c r="C5338" s="242">
        <f t="shared" si="167"/>
        <v>8</v>
      </c>
      <c r="D5338" s="242" t="s">
        <v>1849</v>
      </c>
      <c r="E5338" s="845">
        <f t="shared" si="168"/>
        <v>15</v>
      </c>
    </row>
    <row r="5339" spans="2:5">
      <c r="B5339" s="1115">
        <v>45145</v>
      </c>
      <c r="C5339" s="242">
        <f t="shared" si="167"/>
        <v>8</v>
      </c>
      <c r="D5339" s="242">
        <v>61.5</v>
      </c>
      <c r="E5339" s="845">
        <f t="shared" si="168"/>
        <v>16.388888888888889</v>
      </c>
    </row>
    <row r="5340" spans="2:5">
      <c r="B5340" s="1115">
        <v>45145</v>
      </c>
      <c r="C5340" s="242">
        <f t="shared" si="167"/>
        <v>8</v>
      </c>
      <c r="D5340" s="242">
        <v>63.1</v>
      </c>
      <c r="E5340" s="845">
        <f t="shared" si="168"/>
        <v>17.277777777777779</v>
      </c>
    </row>
    <row r="5341" spans="2:5">
      <c r="B5341" s="1115">
        <v>45145</v>
      </c>
      <c r="C5341" s="242">
        <f t="shared" si="167"/>
        <v>8</v>
      </c>
      <c r="D5341" s="242">
        <v>64.400000000000006</v>
      </c>
      <c r="E5341" s="845">
        <f t="shared" si="168"/>
        <v>18.000000000000004</v>
      </c>
    </row>
    <row r="5342" spans="2:5">
      <c r="B5342" s="1115">
        <v>45145</v>
      </c>
      <c r="C5342" s="242">
        <f t="shared" si="167"/>
        <v>8</v>
      </c>
      <c r="D5342" s="242">
        <v>64.400000000000006</v>
      </c>
      <c r="E5342" s="845">
        <f t="shared" si="168"/>
        <v>18.000000000000004</v>
      </c>
    </row>
    <row r="5343" spans="2:5">
      <c r="B5343" s="1115">
        <v>45145</v>
      </c>
      <c r="C5343" s="242">
        <f t="shared" si="167"/>
        <v>8</v>
      </c>
      <c r="D5343" s="242">
        <v>61.5</v>
      </c>
      <c r="E5343" s="845">
        <f t="shared" si="168"/>
        <v>16.388888888888889</v>
      </c>
    </row>
    <row r="5344" spans="2:5">
      <c r="B5344" s="1115">
        <v>45145</v>
      </c>
      <c r="C5344" s="242">
        <f t="shared" si="167"/>
        <v>8</v>
      </c>
      <c r="D5344" s="242">
        <v>59.2</v>
      </c>
      <c r="E5344" s="845">
        <f t="shared" si="168"/>
        <v>15.111111111111112</v>
      </c>
    </row>
    <row r="5345" spans="2:5">
      <c r="B5345" s="1115">
        <v>45145</v>
      </c>
      <c r="C5345" s="242">
        <f t="shared" si="167"/>
        <v>8</v>
      </c>
      <c r="D5345" s="242">
        <v>56.1</v>
      </c>
      <c r="E5345" s="845">
        <f t="shared" si="168"/>
        <v>13.388888888888889</v>
      </c>
    </row>
    <row r="5346" spans="2:5">
      <c r="B5346" s="1115">
        <v>45145</v>
      </c>
      <c r="C5346" s="242">
        <f t="shared" si="167"/>
        <v>8</v>
      </c>
      <c r="D5346" s="242">
        <v>55.2</v>
      </c>
      <c r="E5346" s="845">
        <f t="shared" si="168"/>
        <v>12.888888888888889</v>
      </c>
    </row>
    <row r="5347" spans="2:5">
      <c r="B5347" s="1115">
        <v>45145</v>
      </c>
      <c r="C5347" s="242">
        <f t="shared" si="167"/>
        <v>8</v>
      </c>
      <c r="D5347" s="242">
        <v>54.7</v>
      </c>
      <c r="E5347" s="845">
        <f t="shared" si="168"/>
        <v>12.611111111111112</v>
      </c>
    </row>
    <row r="5348" spans="2:5">
      <c r="B5348" s="1115">
        <v>45145</v>
      </c>
      <c r="C5348" s="242">
        <f t="shared" si="167"/>
        <v>8</v>
      </c>
      <c r="D5348" s="242">
        <v>55.2</v>
      </c>
      <c r="E5348" s="845">
        <f t="shared" si="168"/>
        <v>12.888888888888889</v>
      </c>
    </row>
    <row r="5349" spans="2:5">
      <c r="B5349" s="1115">
        <v>45145</v>
      </c>
      <c r="C5349" s="242">
        <f t="shared" si="167"/>
        <v>8</v>
      </c>
      <c r="D5349" s="242">
        <v>55.9</v>
      </c>
      <c r="E5349" s="845">
        <f t="shared" si="168"/>
        <v>13.277777777777777</v>
      </c>
    </row>
    <row r="5350" spans="2:5">
      <c r="B5350" s="1115">
        <v>45145</v>
      </c>
      <c r="C5350" s="242">
        <f t="shared" si="167"/>
        <v>8</v>
      </c>
      <c r="D5350" s="242">
        <v>57.7</v>
      </c>
      <c r="E5350" s="845">
        <f t="shared" si="168"/>
        <v>14.277777777777779</v>
      </c>
    </row>
    <row r="5351" spans="2:5">
      <c r="B5351" s="1115">
        <v>45145</v>
      </c>
      <c r="C5351" s="242">
        <f t="shared" si="167"/>
        <v>8</v>
      </c>
      <c r="D5351" s="242">
        <v>60.6</v>
      </c>
      <c r="E5351" s="845">
        <f t="shared" si="168"/>
        <v>15.888888888888889</v>
      </c>
    </row>
    <row r="5352" spans="2:5">
      <c r="B5352" s="1115">
        <v>45145</v>
      </c>
      <c r="C5352" s="242">
        <f t="shared" si="167"/>
        <v>8</v>
      </c>
      <c r="D5352" s="242">
        <v>62.4</v>
      </c>
      <c r="E5352" s="845">
        <f t="shared" si="168"/>
        <v>16.888888888888889</v>
      </c>
    </row>
    <row r="5353" spans="2:5">
      <c r="B5353" s="1115">
        <v>45145</v>
      </c>
      <c r="C5353" s="242">
        <f t="shared" si="167"/>
        <v>8</v>
      </c>
      <c r="D5353" s="242">
        <v>63.7</v>
      </c>
      <c r="E5353" s="845">
        <f t="shared" si="168"/>
        <v>17.611111111111111</v>
      </c>
    </row>
    <row r="5354" spans="2:5">
      <c r="B5354" s="1115">
        <v>45145</v>
      </c>
      <c r="C5354" s="242">
        <f t="shared" si="167"/>
        <v>8</v>
      </c>
      <c r="D5354" s="242" t="s">
        <v>1852</v>
      </c>
      <c r="E5354" s="845">
        <f t="shared" si="168"/>
        <v>17.777777777777779</v>
      </c>
    </row>
    <row r="5355" spans="2:5">
      <c r="B5355" s="1115">
        <v>45145</v>
      </c>
      <c r="C5355" s="242">
        <f t="shared" si="167"/>
        <v>8</v>
      </c>
      <c r="D5355" s="242">
        <v>62.1</v>
      </c>
      <c r="E5355" s="845">
        <f t="shared" si="168"/>
        <v>16.722222222222221</v>
      </c>
    </row>
    <row r="5356" spans="2:5">
      <c r="B5356" s="1115">
        <v>45145</v>
      </c>
      <c r="C5356" s="242">
        <f t="shared" si="167"/>
        <v>8</v>
      </c>
      <c r="D5356" s="242">
        <v>59.2</v>
      </c>
      <c r="E5356" s="845">
        <f t="shared" si="168"/>
        <v>15.111111111111112</v>
      </c>
    </row>
    <row r="5357" spans="2:5">
      <c r="B5357" s="1115">
        <v>45145</v>
      </c>
      <c r="C5357" s="242">
        <f t="shared" si="167"/>
        <v>8</v>
      </c>
      <c r="D5357" s="242">
        <v>57.9</v>
      </c>
      <c r="E5357" s="845">
        <f t="shared" si="168"/>
        <v>14.388888888888888</v>
      </c>
    </row>
    <row r="5358" spans="2:5">
      <c r="B5358" s="1115">
        <v>45145</v>
      </c>
      <c r="C5358" s="242">
        <f t="shared" si="167"/>
        <v>8</v>
      </c>
      <c r="D5358" s="242">
        <v>57.2</v>
      </c>
      <c r="E5358" s="845">
        <f t="shared" si="168"/>
        <v>14.000000000000002</v>
      </c>
    </row>
    <row r="5359" spans="2:5">
      <c r="B5359" s="1115">
        <v>45145</v>
      </c>
      <c r="C5359" s="242">
        <f t="shared" si="167"/>
        <v>8</v>
      </c>
      <c r="D5359" s="242">
        <v>56.7</v>
      </c>
      <c r="E5359" s="845">
        <f t="shared" si="168"/>
        <v>13.722222222222223</v>
      </c>
    </row>
    <row r="5360" spans="2:5">
      <c r="B5360" s="1115">
        <v>45145</v>
      </c>
      <c r="C5360" s="242">
        <f t="shared" si="167"/>
        <v>8</v>
      </c>
      <c r="D5360" s="242">
        <v>56.5</v>
      </c>
      <c r="E5360" s="845">
        <f t="shared" si="168"/>
        <v>13.611111111111111</v>
      </c>
    </row>
    <row r="5361" spans="2:5">
      <c r="B5361" s="1115">
        <v>45146</v>
      </c>
      <c r="C5361" s="242">
        <f t="shared" si="167"/>
        <v>8</v>
      </c>
      <c r="D5361" s="242">
        <v>56.8</v>
      </c>
      <c r="E5361" s="845">
        <f t="shared" si="168"/>
        <v>13.777777777777775</v>
      </c>
    </row>
    <row r="5362" spans="2:5">
      <c r="B5362" s="1115">
        <v>45146</v>
      </c>
      <c r="C5362" s="242">
        <f t="shared" si="167"/>
        <v>8</v>
      </c>
      <c r="D5362" s="242">
        <v>57.7</v>
      </c>
      <c r="E5362" s="845">
        <f t="shared" si="168"/>
        <v>14.277777777777779</v>
      </c>
    </row>
    <row r="5363" spans="2:5">
      <c r="B5363" s="1115">
        <v>45146</v>
      </c>
      <c r="C5363" s="242">
        <f t="shared" si="167"/>
        <v>8</v>
      </c>
      <c r="D5363" s="242">
        <v>59.4</v>
      </c>
      <c r="E5363" s="845">
        <f t="shared" si="168"/>
        <v>15.222222222222221</v>
      </c>
    </row>
    <row r="5364" spans="2:5">
      <c r="B5364" s="1115">
        <v>45146</v>
      </c>
      <c r="C5364" s="242">
        <f t="shared" si="167"/>
        <v>8</v>
      </c>
      <c r="D5364" s="242" t="s">
        <v>1850</v>
      </c>
      <c r="E5364" s="845">
        <f t="shared" si="168"/>
        <v>16.111111111111111</v>
      </c>
    </row>
    <row r="5365" spans="2:5">
      <c r="B5365" s="1115">
        <v>45146</v>
      </c>
      <c r="C5365" s="242">
        <f t="shared" si="167"/>
        <v>8</v>
      </c>
      <c r="D5365" s="242">
        <v>62.4</v>
      </c>
      <c r="E5365" s="845">
        <f t="shared" si="168"/>
        <v>16.888888888888889</v>
      </c>
    </row>
    <row r="5366" spans="2:5">
      <c r="B5366" s="1115">
        <v>45146</v>
      </c>
      <c r="C5366" s="242">
        <f t="shared" si="167"/>
        <v>8</v>
      </c>
      <c r="D5366" s="242">
        <v>63.3</v>
      </c>
      <c r="E5366" s="845">
        <f t="shared" si="168"/>
        <v>17.388888888888886</v>
      </c>
    </row>
    <row r="5367" spans="2:5">
      <c r="B5367" s="1115">
        <v>45146</v>
      </c>
      <c r="C5367" s="242">
        <f t="shared" si="167"/>
        <v>8</v>
      </c>
      <c r="D5367" s="242">
        <v>63.3</v>
      </c>
      <c r="E5367" s="845">
        <f t="shared" si="168"/>
        <v>17.388888888888886</v>
      </c>
    </row>
    <row r="5368" spans="2:5">
      <c r="B5368" s="1115">
        <v>45146</v>
      </c>
      <c r="C5368" s="242">
        <f t="shared" si="167"/>
        <v>8</v>
      </c>
      <c r="D5368" s="242">
        <v>61.2</v>
      </c>
      <c r="E5368" s="845">
        <f t="shared" si="168"/>
        <v>16.222222222222225</v>
      </c>
    </row>
    <row r="5369" spans="2:5">
      <c r="B5369" s="1115">
        <v>45146</v>
      </c>
      <c r="C5369" s="242">
        <f t="shared" si="167"/>
        <v>8</v>
      </c>
      <c r="D5369" s="242">
        <v>59.5</v>
      </c>
      <c r="E5369" s="845">
        <f t="shared" si="168"/>
        <v>15.277777777777777</v>
      </c>
    </row>
    <row r="5370" spans="2:5">
      <c r="B5370" s="1115">
        <v>45146</v>
      </c>
      <c r="C5370" s="242">
        <f t="shared" si="167"/>
        <v>8</v>
      </c>
      <c r="D5370" s="242">
        <v>59.7</v>
      </c>
      <c r="E5370" s="845">
        <f t="shared" si="168"/>
        <v>15.388888888888889</v>
      </c>
    </row>
    <row r="5371" spans="2:5">
      <c r="B5371" s="1115">
        <v>45146</v>
      </c>
      <c r="C5371" s="242">
        <f t="shared" si="167"/>
        <v>8</v>
      </c>
      <c r="D5371" s="242">
        <v>59.7</v>
      </c>
      <c r="E5371" s="845">
        <f t="shared" si="168"/>
        <v>15.388888888888889</v>
      </c>
    </row>
    <row r="5372" spans="2:5">
      <c r="B5372" s="1115">
        <v>45146</v>
      </c>
      <c r="C5372" s="242">
        <f t="shared" si="167"/>
        <v>8</v>
      </c>
      <c r="D5372" s="242">
        <v>59.7</v>
      </c>
      <c r="E5372" s="845">
        <f t="shared" si="168"/>
        <v>15.388888888888889</v>
      </c>
    </row>
    <row r="5373" spans="2:5">
      <c r="B5373" s="1115">
        <v>45146</v>
      </c>
      <c r="C5373" s="242">
        <f t="shared" si="167"/>
        <v>8</v>
      </c>
      <c r="D5373" s="242">
        <v>59.5</v>
      </c>
      <c r="E5373" s="845">
        <f t="shared" si="168"/>
        <v>15.277777777777777</v>
      </c>
    </row>
    <row r="5374" spans="2:5">
      <c r="B5374" s="1115">
        <v>45146</v>
      </c>
      <c r="C5374" s="242">
        <f t="shared" si="167"/>
        <v>8</v>
      </c>
      <c r="D5374" s="242">
        <v>59.7</v>
      </c>
      <c r="E5374" s="845">
        <f t="shared" si="168"/>
        <v>15.388888888888889</v>
      </c>
    </row>
    <row r="5375" spans="2:5">
      <c r="B5375" s="1115">
        <v>45146</v>
      </c>
      <c r="C5375" s="242">
        <f t="shared" si="167"/>
        <v>8</v>
      </c>
      <c r="D5375" s="242">
        <v>60.3</v>
      </c>
      <c r="E5375" s="845">
        <f t="shared" si="168"/>
        <v>15.72222222222222</v>
      </c>
    </row>
    <row r="5376" spans="2:5">
      <c r="B5376" s="1115">
        <v>45146</v>
      </c>
      <c r="C5376" s="242">
        <f t="shared" si="167"/>
        <v>8</v>
      </c>
      <c r="D5376" s="242">
        <v>61.3</v>
      </c>
      <c r="E5376" s="845">
        <f t="shared" si="168"/>
        <v>16.277777777777775</v>
      </c>
    </row>
    <row r="5377" spans="2:5">
      <c r="B5377" s="1115">
        <v>45146</v>
      </c>
      <c r="C5377" s="242">
        <f t="shared" si="167"/>
        <v>8</v>
      </c>
      <c r="D5377" s="242">
        <v>62.2</v>
      </c>
      <c r="E5377" s="845">
        <f t="shared" si="168"/>
        <v>16.777777777777779</v>
      </c>
    </row>
    <row r="5378" spans="2:5">
      <c r="B5378" s="1115">
        <v>45146</v>
      </c>
      <c r="C5378" s="242">
        <f t="shared" si="167"/>
        <v>8</v>
      </c>
      <c r="D5378" s="242">
        <v>63.1</v>
      </c>
      <c r="E5378" s="845">
        <f t="shared" si="168"/>
        <v>17.277777777777779</v>
      </c>
    </row>
    <row r="5379" spans="2:5">
      <c r="B5379" s="1115">
        <v>45146</v>
      </c>
      <c r="C5379" s="242">
        <f t="shared" si="167"/>
        <v>8</v>
      </c>
      <c r="D5379" s="242">
        <v>63.3</v>
      </c>
      <c r="E5379" s="845">
        <f t="shared" si="168"/>
        <v>17.388888888888886</v>
      </c>
    </row>
    <row r="5380" spans="2:5">
      <c r="B5380" s="1115">
        <v>45146</v>
      </c>
      <c r="C5380" s="242">
        <f t="shared" si="167"/>
        <v>8</v>
      </c>
      <c r="D5380" s="242">
        <v>62.1</v>
      </c>
      <c r="E5380" s="845">
        <f t="shared" si="168"/>
        <v>16.722222222222221</v>
      </c>
    </row>
    <row r="5381" spans="2:5">
      <c r="B5381" s="1115">
        <v>45146</v>
      </c>
      <c r="C5381" s="242">
        <f t="shared" si="167"/>
        <v>8</v>
      </c>
      <c r="D5381" s="242">
        <v>61.2</v>
      </c>
      <c r="E5381" s="845">
        <f t="shared" si="168"/>
        <v>16.222222222222225</v>
      </c>
    </row>
    <row r="5382" spans="2:5">
      <c r="B5382" s="1115">
        <v>45146</v>
      </c>
      <c r="C5382" s="242">
        <f t="shared" si="167"/>
        <v>8</v>
      </c>
      <c r="D5382" s="242">
        <v>59.9</v>
      </c>
      <c r="E5382" s="845">
        <f t="shared" si="168"/>
        <v>15.499999999999998</v>
      </c>
    </row>
    <row r="5383" spans="2:5">
      <c r="B5383" s="1115">
        <v>45146</v>
      </c>
      <c r="C5383" s="242">
        <f t="shared" si="167"/>
        <v>8</v>
      </c>
      <c r="D5383" s="242">
        <v>59.4</v>
      </c>
      <c r="E5383" s="845">
        <f t="shared" si="168"/>
        <v>15.222222222222221</v>
      </c>
    </row>
    <row r="5384" spans="2:5">
      <c r="B5384" s="1115">
        <v>45146</v>
      </c>
      <c r="C5384" s="242">
        <f t="shared" si="167"/>
        <v>8</v>
      </c>
      <c r="D5384" s="242">
        <v>58.8</v>
      </c>
      <c r="E5384" s="845">
        <f t="shared" si="168"/>
        <v>14.888888888888888</v>
      </c>
    </row>
    <row r="5385" spans="2:5">
      <c r="B5385" s="1115">
        <v>45147</v>
      </c>
      <c r="C5385" s="242">
        <f t="shared" si="167"/>
        <v>8</v>
      </c>
      <c r="D5385" s="242">
        <v>58.6</v>
      </c>
      <c r="E5385" s="845">
        <f t="shared" si="168"/>
        <v>14.777777777777779</v>
      </c>
    </row>
    <row r="5386" spans="2:5">
      <c r="B5386" s="1115">
        <v>45147</v>
      </c>
      <c r="C5386" s="242">
        <f t="shared" ref="C5386:C5449" si="169">MONTH(B5386)</f>
        <v>8</v>
      </c>
      <c r="D5386" s="242" t="s">
        <v>1849</v>
      </c>
      <c r="E5386" s="845">
        <f t="shared" ref="E5386:E5449" si="170">CONVERT(D5386,"F","C")</f>
        <v>15</v>
      </c>
    </row>
    <row r="5387" spans="2:5">
      <c r="B5387" s="1115">
        <v>45147</v>
      </c>
      <c r="C5387" s="242">
        <f t="shared" si="169"/>
        <v>8</v>
      </c>
      <c r="D5387" s="242">
        <v>60.1</v>
      </c>
      <c r="E5387" s="845">
        <f t="shared" si="170"/>
        <v>15.611111111111111</v>
      </c>
    </row>
    <row r="5388" spans="2:5">
      <c r="B5388" s="1115">
        <v>45147</v>
      </c>
      <c r="C5388" s="242">
        <f t="shared" si="169"/>
        <v>8</v>
      </c>
      <c r="D5388" s="242">
        <v>61.7</v>
      </c>
      <c r="E5388" s="845">
        <f t="shared" si="170"/>
        <v>16.5</v>
      </c>
    </row>
    <row r="5389" spans="2:5">
      <c r="B5389" s="1115">
        <v>45147</v>
      </c>
      <c r="C5389" s="242">
        <f t="shared" si="169"/>
        <v>8</v>
      </c>
      <c r="D5389" s="242">
        <v>62.8</v>
      </c>
      <c r="E5389" s="845">
        <f t="shared" si="170"/>
        <v>17.111111111111111</v>
      </c>
    </row>
    <row r="5390" spans="2:5">
      <c r="B5390" s="1115">
        <v>45147</v>
      </c>
      <c r="C5390" s="242">
        <f t="shared" si="169"/>
        <v>8</v>
      </c>
      <c r="D5390" s="242">
        <v>63.9</v>
      </c>
      <c r="E5390" s="845">
        <f t="shared" si="170"/>
        <v>17.722222222222221</v>
      </c>
    </row>
    <row r="5391" spans="2:5">
      <c r="B5391" s="1115">
        <v>45147</v>
      </c>
      <c r="C5391" s="242">
        <f t="shared" si="169"/>
        <v>8</v>
      </c>
      <c r="D5391" s="242">
        <v>64.400000000000006</v>
      </c>
      <c r="E5391" s="845">
        <f t="shared" si="170"/>
        <v>18.000000000000004</v>
      </c>
    </row>
    <row r="5392" spans="2:5">
      <c r="B5392" s="1115">
        <v>45147</v>
      </c>
      <c r="C5392" s="242">
        <f t="shared" si="169"/>
        <v>8</v>
      </c>
      <c r="D5392" s="242">
        <v>64.599999999999994</v>
      </c>
      <c r="E5392" s="845">
        <f t="shared" si="170"/>
        <v>18.111111111111107</v>
      </c>
    </row>
    <row r="5393" spans="2:5">
      <c r="B5393" s="1115">
        <v>45147</v>
      </c>
      <c r="C5393" s="242">
        <f t="shared" si="169"/>
        <v>8</v>
      </c>
      <c r="D5393" s="242">
        <v>62.4</v>
      </c>
      <c r="E5393" s="845">
        <f t="shared" si="170"/>
        <v>16.888888888888889</v>
      </c>
    </row>
    <row r="5394" spans="2:5">
      <c r="B5394" s="1115">
        <v>45147</v>
      </c>
      <c r="C5394" s="242">
        <f t="shared" si="169"/>
        <v>8</v>
      </c>
      <c r="D5394" s="242">
        <v>61.3</v>
      </c>
      <c r="E5394" s="845">
        <f t="shared" si="170"/>
        <v>16.277777777777775</v>
      </c>
    </row>
    <row r="5395" spans="2:5">
      <c r="B5395" s="1115">
        <v>45147</v>
      </c>
      <c r="C5395" s="242">
        <f t="shared" si="169"/>
        <v>8</v>
      </c>
      <c r="D5395" s="242">
        <v>58.6</v>
      </c>
      <c r="E5395" s="845">
        <f t="shared" si="170"/>
        <v>14.777777777777779</v>
      </c>
    </row>
    <row r="5396" spans="2:5">
      <c r="B5396" s="1115">
        <v>45147</v>
      </c>
      <c r="C5396" s="242">
        <f t="shared" si="169"/>
        <v>8</v>
      </c>
      <c r="D5396" s="242">
        <v>57.4</v>
      </c>
      <c r="E5396" s="845">
        <f t="shared" si="170"/>
        <v>14.111111111111111</v>
      </c>
    </row>
    <row r="5397" spans="2:5">
      <c r="B5397" s="1115">
        <v>45147</v>
      </c>
      <c r="C5397" s="242">
        <f t="shared" si="169"/>
        <v>8</v>
      </c>
      <c r="D5397" s="242">
        <v>56.5</v>
      </c>
      <c r="E5397" s="845">
        <f t="shared" si="170"/>
        <v>13.611111111111111</v>
      </c>
    </row>
    <row r="5398" spans="2:5">
      <c r="B5398" s="1115">
        <v>45147</v>
      </c>
      <c r="C5398" s="242">
        <f t="shared" si="169"/>
        <v>8</v>
      </c>
      <c r="D5398" s="242" t="s">
        <v>1848</v>
      </c>
      <c r="E5398" s="845">
        <f t="shared" si="170"/>
        <v>13.888888888888889</v>
      </c>
    </row>
    <row r="5399" spans="2:5">
      <c r="B5399" s="1115">
        <v>45147</v>
      </c>
      <c r="C5399" s="242">
        <f t="shared" si="169"/>
        <v>8</v>
      </c>
      <c r="D5399" s="242">
        <v>58.5</v>
      </c>
      <c r="E5399" s="845">
        <f t="shared" si="170"/>
        <v>14.722222222222221</v>
      </c>
    </row>
    <row r="5400" spans="2:5">
      <c r="B5400" s="1115">
        <v>45147</v>
      </c>
      <c r="C5400" s="242">
        <f t="shared" si="169"/>
        <v>8</v>
      </c>
      <c r="D5400" s="242">
        <v>60.8</v>
      </c>
      <c r="E5400" s="845">
        <f t="shared" si="170"/>
        <v>15.999999999999998</v>
      </c>
    </row>
    <row r="5401" spans="2:5">
      <c r="B5401" s="1115">
        <v>45147</v>
      </c>
      <c r="C5401" s="242">
        <f t="shared" si="169"/>
        <v>8</v>
      </c>
      <c r="D5401" s="242">
        <v>63.1</v>
      </c>
      <c r="E5401" s="845">
        <f t="shared" si="170"/>
        <v>17.277777777777779</v>
      </c>
    </row>
    <row r="5402" spans="2:5">
      <c r="B5402" s="1115">
        <v>45147</v>
      </c>
      <c r="C5402" s="242">
        <f t="shared" si="169"/>
        <v>8</v>
      </c>
      <c r="D5402" s="242">
        <v>64.599999999999994</v>
      </c>
      <c r="E5402" s="845">
        <f t="shared" si="170"/>
        <v>18.111111111111107</v>
      </c>
    </row>
    <row r="5403" spans="2:5">
      <c r="B5403" s="1115">
        <v>45147</v>
      </c>
      <c r="C5403" s="242">
        <f t="shared" si="169"/>
        <v>8</v>
      </c>
      <c r="D5403" s="242">
        <v>65.3</v>
      </c>
      <c r="E5403" s="845">
        <f t="shared" si="170"/>
        <v>18.499999999999996</v>
      </c>
    </row>
    <row r="5404" spans="2:5">
      <c r="B5404" s="1115">
        <v>45147</v>
      </c>
      <c r="C5404" s="242">
        <f t="shared" si="169"/>
        <v>8</v>
      </c>
      <c r="D5404" s="242">
        <v>65.3</v>
      </c>
      <c r="E5404" s="845">
        <f t="shared" si="170"/>
        <v>18.499999999999996</v>
      </c>
    </row>
    <row r="5405" spans="2:5">
      <c r="B5405" s="1115">
        <v>45147</v>
      </c>
      <c r="C5405" s="242">
        <f t="shared" si="169"/>
        <v>8</v>
      </c>
      <c r="D5405" s="242">
        <v>63.5</v>
      </c>
      <c r="E5405" s="845">
        <f t="shared" si="170"/>
        <v>17.5</v>
      </c>
    </row>
    <row r="5406" spans="2:5">
      <c r="B5406" s="1115">
        <v>45147</v>
      </c>
      <c r="C5406" s="242">
        <f t="shared" si="169"/>
        <v>8</v>
      </c>
      <c r="D5406" s="242">
        <v>60.8</v>
      </c>
      <c r="E5406" s="845">
        <f t="shared" si="170"/>
        <v>15.999999999999998</v>
      </c>
    </row>
    <row r="5407" spans="2:5">
      <c r="B5407" s="1115">
        <v>45147</v>
      </c>
      <c r="C5407" s="242">
        <f t="shared" si="169"/>
        <v>8</v>
      </c>
      <c r="D5407" s="242" t="s">
        <v>1849</v>
      </c>
      <c r="E5407" s="845">
        <f t="shared" si="170"/>
        <v>15</v>
      </c>
    </row>
    <row r="5408" spans="2:5">
      <c r="B5408" s="1115">
        <v>45147</v>
      </c>
      <c r="C5408" s="242">
        <f t="shared" si="169"/>
        <v>8</v>
      </c>
      <c r="D5408" s="242">
        <v>58.1</v>
      </c>
      <c r="E5408" s="845">
        <f t="shared" si="170"/>
        <v>14.5</v>
      </c>
    </row>
    <row r="5409" spans="2:5">
      <c r="B5409" s="1115">
        <v>45148</v>
      </c>
      <c r="C5409" s="242">
        <f t="shared" si="169"/>
        <v>8</v>
      </c>
      <c r="D5409" s="242">
        <v>57.6</v>
      </c>
      <c r="E5409" s="845">
        <f t="shared" si="170"/>
        <v>14.222222222222223</v>
      </c>
    </row>
    <row r="5410" spans="2:5">
      <c r="B5410" s="1115">
        <v>45148</v>
      </c>
      <c r="C5410" s="242">
        <f t="shared" si="169"/>
        <v>8</v>
      </c>
      <c r="D5410" s="242">
        <v>57.4</v>
      </c>
      <c r="E5410" s="845">
        <f t="shared" si="170"/>
        <v>14.111111111111111</v>
      </c>
    </row>
    <row r="5411" spans="2:5">
      <c r="B5411" s="1115">
        <v>45148</v>
      </c>
      <c r="C5411" s="242">
        <f t="shared" si="169"/>
        <v>8</v>
      </c>
      <c r="D5411" s="242">
        <v>57.9</v>
      </c>
      <c r="E5411" s="845">
        <f t="shared" si="170"/>
        <v>14.388888888888888</v>
      </c>
    </row>
    <row r="5412" spans="2:5">
      <c r="B5412" s="1115">
        <v>45148</v>
      </c>
      <c r="C5412" s="242">
        <f t="shared" si="169"/>
        <v>8</v>
      </c>
      <c r="D5412" s="242">
        <v>59.4</v>
      </c>
      <c r="E5412" s="845">
        <f t="shared" si="170"/>
        <v>15.222222222222221</v>
      </c>
    </row>
    <row r="5413" spans="2:5">
      <c r="B5413" s="1115">
        <v>45148</v>
      </c>
      <c r="C5413" s="242">
        <f t="shared" si="169"/>
        <v>8</v>
      </c>
      <c r="D5413" s="242">
        <v>61.5</v>
      </c>
      <c r="E5413" s="845">
        <f t="shared" si="170"/>
        <v>16.388888888888889</v>
      </c>
    </row>
    <row r="5414" spans="2:5">
      <c r="B5414" s="1115">
        <v>45148</v>
      </c>
      <c r="C5414" s="242">
        <f t="shared" si="169"/>
        <v>8</v>
      </c>
      <c r="D5414" s="242">
        <v>63.7</v>
      </c>
      <c r="E5414" s="845">
        <f t="shared" si="170"/>
        <v>17.611111111111111</v>
      </c>
    </row>
    <row r="5415" spans="2:5">
      <c r="B5415" s="1115">
        <v>45148</v>
      </c>
      <c r="C5415" s="242">
        <f t="shared" si="169"/>
        <v>8</v>
      </c>
      <c r="D5415" s="242">
        <v>64.900000000000006</v>
      </c>
      <c r="E5415" s="845">
        <f t="shared" si="170"/>
        <v>18.277777777777782</v>
      </c>
    </row>
    <row r="5416" spans="2:5">
      <c r="B5416" s="1115">
        <v>45148</v>
      </c>
      <c r="C5416" s="242">
        <f t="shared" si="169"/>
        <v>8</v>
      </c>
      <c r="D5416" s="242">
        <v>65.5</v>
      </c>
      <c r="E5416" s="845">
        <f t="shared" si="170"/>
        <v>18.611111111111111</v>
      </c>
    </row>
    <row r="5417" spans="2:5">
      <c r="B5417" s="1115">
        <v>45148</v>
      </c>
      <c r="C5417" s="242">
        <f t="shared" si="169"/>
        <v>8</v>
      </c>
      <c r="D5417" s="242">
        <v>65.5</v>
      </c>
      <c r="E5417" s="845">
        <f t="shared" si="170"/>
        <v>18.611111111111111</v>
      </c>
    </row>
    <row r="5418" spans="2:5">
      <c r="B5418" s="1115">
        <v>45148</v>
      </c>
      <c r="C5418" s="242">
        <f t="shared" si="169"/>
        <v>8</v>
      </c>
      <c r="D5418" s="242">
        <v>63.7</v>
      </c>
      <c r="E5418" s="845">
        <f t="shared" si="170"/>
        <v>17.611111111111111</v>
      </c>
    </row>
    <row r="5419" spans="2:5">
      <c r="B5419" s="1115">
        <v>45148</v>
      </c>
      <c r="C5419" s="242">
        <f t="shared" si="169"/>
        <v>8</v>
      </c>
      <c r="D5419" s="242">
        <v>61.9</v>
      </c>
      <c r="E5419" s="845">
        <f t="shared" si="170"/>
        <v>16.611111111111111</v>
      </c>
    </row>
    <row r="5420" spans="2:5">
      <c r="B5420" s="1115">
        <v>45148</v>
      </c>
      <c r="C5420" s="242">
        <f t="shared" si="169"/>
        <v>8</v>
      </c>
      <c r="D5420" s="242">
        <v>61.3</v>
      </c>
      <c r="E5420" s="845">
        <f t="shared" si="170"/>
        <v>16.277777777777775</v>
      </c>
    </row>
    <row r="5421" spans="2:5">
      <c r="B5421" s="1115">
        <v>45148</v>
      </c>
      <c r="C5421" s="242">
        <f t="shared" si="169"/>
        <v>8</v>
      </c>
      <c r="D5421" s="242">
        <v>61.2</v>
      </c>
      <c r="E5421" s="845">
        <f t="shared" si="170"/>
        <v>16.222222222222225</v>
      </c>
    </row>
    <row r="5422" spans="2:5">
      <c r="B5422" s="1115">
        <v>45148</v>
      </c>
      <c r="C5422" s="242">
        <f t="shared" si="169"/>
        <v>8</v>
      </c>
      <c r="D5422" s="242" t="s">
        <v>1850</v>
      </c>
      <c r="E5422" s="845">
        <f t="shared" si="170"/>
        <v>16.111111111111111</v>
      </c>
    </row>
    <row r="5423" spans="2:5">
      <c r="B5423" s="1115">
        <v>45148</v>
      </c>
      <c r="C5423" s="242">
        <f t="shared" si="169"/>
        <v>8</v>
      </c>
      <c r="D5423" s="242">
        <v>61.5</v>
      </c>
      <c r="E5423" s="845">
        <f t="shared" si="170"/>
        <v>16.388888888888889</v>
      </c>
    </row>
    <row r="5424" spans="2:5">
      <c r="B5424" s="1115">
        <v>45148</v>
      </c>
      <c r="C5424" s="242">
        <f t="shared" si="169"/>
        <v>8</v>
      </c>
      <c r="D5424" s="242">
        <v>61.5</v>
      </c>
      <c r="E5424" s="845">
        <f t="shared" si="170"/>
        <v>16.388888888888889</v>
      </c>
    </row>
    <row r="5425" spans="2:5">
      <c r="B5425" s="1115">
        <v>45148</v>
      </c>
      <c r="C5425" s="242">
        <f t="shared" si="169"/>
        <v>8</v>
      </c>
      <c r="D5425" s="242">
        <v>62.2</v>
      </c>
      <c r="E5425" s="845">
        <f t="shared" si="170"/>
        <v>16.777777777777779</v>
      </c>
    </row>
    <row r="5426" spans="2:5">
      <c r="B5426" s="1115">
        <v>45148</v>
      </c>
      <c r="C5426" s="242">
        <f t="shared" si="169"/>
        <v>8</v>
      </c>
      <c r="D5426" s="242">
        <v>63.7</v>
      </c>
      <c r="E5426" s="845">
        <f t="shared" si="170"/>
        <v>17.611111111111111</v>
      </c>
    </row>
    <row r="5427" spans="2:5">
      <c r="B5427" s="1115">
        <v>45148</v>
      </c>
      <c r="C5427" s="242">
        <f t="shared" si="169"/>
        <v>8</v>
      </c>
      <c r="D5427" s="242">
        <v>65.099999999999994</v>
      </c>
      <c r="E5427" s="845">
        <f t="shared" si="170"/>
        <v>18.388888888888886</v>
      </c>
    </row>
    <row r="5428" spans="2:5">
      <c r="B5428" s="1115">
        <v>45148</v>
      </c>
      <c r="C5428" s="242">
        <f t="shared" si="169"/>
        <v>8</v>
      </c>
      <c r="D5428" s="242">
        <v>65.8</v>
      </c>
      <c r="E5428" s="845">
        <f t="shared" si="170"/>
        <v>18.777777777777775</v>
      </c>
    </row>
    <row r="5429" spans="2:5">
      <c r="B5429" s="1115">
        <v>45148</v>
      </c>
      <c r="C5429" s="242">
        <f t="shared" si="169"/>
        <v>8</v>
      </c>
      <c r="D5429" s="242">
        <v>65.3</v>
      </c>
      <c r="E5429" s="845">
        <f t="shared" si="170"/>
        <v>18.499999999999996</v>
      </c>
    </row>
    <row r="5430" spans="2:5">
      <c r="B5430" s="1115">
        <v>45148</v>
      </c>
      <c r="C5430" s="242">
        <f t="shared" si="169"/>
        <v>8</v>
      </c>
      <c r="D5430" s="242">
        <v>63.5</v>
      </c>
      <c r="E5430" s="845">
        <f t="shared" si="170"/>
        <v>17.5</v>
      </c>
    </row>
    <row r="5431" spans="2:5">
      <c r="B5431" s="1115">
        <v>45148</v>
      </c>
      <c r="C5431" s="242">
        <f t="shared" si="169"/>
        <v>8</v>
      </c>
      <c r="D5431" s="242">
        <v>62.4</v>
      </c>
      <c r="E5431" s="845">
        <f t="shared" si="170"/>
        <v>16.888888888888889</v>
      </c>
    </row>
    <row r="5432" spans="2:5">
      <c r="B5432" s="1115">
        <v>45148</v>
      </c>
      <c r="C5432" s="242">
        <f t="shared" si="169"/>
        <v>8</v>
      </c>
      <c r="D5432" s="242">
        <v>61.5</v>
      </c>
      <c r="E5432" s="845">
        <f t="shared" si="170"/>
        <v>16.388888888888889</v>
      </c>
    </row>
    <row r="5433" spans="2:5">
      <c r="B5433" s="1115">
        <v>45149</v>
      </c>
      <c r="C5433" s="242">
        <f t="shared" si="169"/>
        <v>8</v>
      </c>
      <c r="D5433" s="242">
        <v>60.8</v>
      </c>
      <c r="E5433" s="845">
        <f t="shared" si="170"/>
        <v>15.999999999999998</v>
      </c>
    </row>
    <row r="5434" spans="2:5">
      <c r="B5434" s="1115">
        <v>45149</v>
      </c>
      <c r="C5434" s="242">
        <f t="shared" si="169"/>
        <v>8</v>
      </c>
      <c r="D5434" s="242">
        <v>60.1</v>
      </c>
      <c r="E5434" s="845">
        <f t="shared" si="170"/>
        <v>15.611111111111111</v>
      </c>
    </row>
    <row r="5435" spans="2:5">
      <c r="B5435" s="1115">
        <v>45149</v>
      </c>
      <c r="C5435" s="242">
        <f t="shared" si="169"/>
        <v>8</v>
      </c>
      <c r="D5435" s="242">
        <v>60.8</v>
      </c>
      <c r="E5435" s="845">
        <f t="shared" si="170"/>
        <v>15.999999999999998</v>
      </c>
    </row>
    <row r="5436" spans="2:5">
      <c r="B5436" s="1115">
        <v>45149</v>
      </c>
      <c r="C5436" s="242">
        <f t="shared" si="169"/>
        <v>8</v>
      </c>
      <c r="D5436" s="242">
        <v>60.3</v>
      </c>
      <c r="E5436" s="845">
        <f t="shared" si="170"/>
        <v>15.72222222222222</v>
      </c>
    </row>
    <row r="5437" spans="2:5">
      <c r="B5437" s="1115">
        <v>45149</v>
      </c>
      <c r="C5437" s="242">
        <f t="shared" si="169"/>
        <v>8</v>
      </c>
      <c r="D5437" s="242">
        <v>61.5</v>
      </c>
      <c r="E5437" s="845">
        <f t="shared" si="170"/>
        <v>16.388888888888889</v>
      </c>
    </row>
    <row r="5438" spans="2:5">
      <c r="B5438" s="1115">
        <v>45149</v>
      </c>
      <c r="C5438" s="242">
        <f t="shared" si="169"/>
        <v>8</v>
      </c>
      <c r="D5438" s="242">
        <v>63.1</v>
      </c>
      <c r="E5438" s="845">
        <f t="shared" si="170"/>
        <v>17.277777777777779</v>
      </c>
    </row>
    <row r="5439" spans="2:5">
      <c r="B5439" s="1115">
        <v>45149</v>
      </c>
      <c r="C5439" s="242">
        <f t="shared" si="169"/>
        <v>8</v>
      </c>
      <c r="D5439" s="242">
        <v>64.599999999999994</v>
      </c>
      <c r="E5439" s="845">
        <f t="shared" si="170"/>
        <v>18.111111111111107</v>
      </c>
    </row>
    <row r="5440" spans="2:5">
      <c r="B5440" s="1115">
        <v>45149</v>
      </c>
      <c r="C5440" s="242">
        <f t="shared" si="169"/>
        <v>8</v>
      </c>
      <c r="D5440" s="242">
        <v>65.7</v>
      </c>
      <c r="E5440" s="845">
        <f t="shared" si="170"/>
        <v>18.722222222222225</v>
      </c>
    </row>
    <row r="5441" spans="2:5">
      <c r="B5441" s="1115">
        <v>45149</v>
      </c>
      <c r="C5441" s="242">
        <f t="shared" si="169"/>
        <v>8</v>
      </c>
      <c r="D5441" s="242">
        <v>66.2</v>
      </c>
      <c r="E5441" s="845">
        <f t="shared" si="170"/>
        <v>19</v>
      </c>
    </row>
    <row r="5442" spans="2:5">
      <c r="B5442" s="1115">
        <v>45149</v>
      </c>
      <c r="C5442" s="242">
        <f t="shared" si="169"/>
        <v>8</v>
      </c>
      <c r="D5442" s="242">
        <v>66.2</v>
      </c>
      <c r="E5442" s="845">
        <f t="shared" si="170"/>
        <v>19</v>
      </c>
    </row>
    <row r="5443" spans="2:5">
      <c r="B5443" s="1115">
        <v>45149</v>
      </c>
      <c r="C5443" s="242">
        <f t="shared" si="169"/>
        <v>8</v>
      </c>
      <c r="D5443" s="242">
        <v>64.400000000000006</v>
      </c>
      <c r="E5443" s="845">
        <f t="shared" si="170"/>
        <v>18.000000000000004</v>
      </c>
    </row>
    <row r="5444" spans="2:5">
      <c r="B5444" s="1115">
        <v>45149</v>
      </c>
      <c r="C5444" s="242">
        <f t="shared" si="169"/>
        <v>8</v>
      </c>
      <c r="D5444" s="242">
        <v>63.3</v>
      </c>
      <c r="E5444" s="845">
        <f t="shared" si="170"/>
        <v>17.388888888888886</v>
      </c>
    </row>
    <row r="5445" spans="2:5">
      <c r="B5445" s="1115">
        <v>45149</v>
      </c>
      <c r="C5445" s="242">
        <f t="shared" si="169"/>
        <v>8</v>
      </c>
      <c r="D5445" s="242">
        <v>62.6</v>
      </c>
      <c r="E5445" s="845">
        <f t="shared" si="170"/>
        <v>17</v>
      </c>
    </row>
    <row r="5446" spans="2:5">
      <c r="B5446" s="1115">
        <v>45149</v>
      </c>
      <c r="C5446" s="242">
        <f t="shared" si="169"/>
        <v>8</v>
      </c>
      <c r="D5446" s="242">
        <v>60.3</v>
      </c>
      <c r="E5446" s="845">
        <f t="shared" si="170"/>
        <v>15.72222222222222</v>
      </c>
    </row>
    <row r="5447" spans="2:5">
      <c r="B5447" s="1115">
        <v>45149</v>
      </c>
      <c r="C5447" s="242">
        <f t="shared" si="169"/>
        <v>8</v>
      </c>
      <c r="D5447" s="242">
        <v>58.6</v>
      </c>
      <c r="E5447" s="845">
        <f t="shared" si="170"/>
        <v>14.777777777777779</v>
      </c>
    </row>
    <row r="5448" spans="2:5">
      <c r="B5448" s="1115">
        <v>45149</v>
      </c>
      <c r="C5448" s="242">
        <f t="shared" si="169"/>
        <v>8</v>
      </c>
      <c r="D5448" s="242">
        <v>60.6</v>
      </c>
      <c r="E5448" s="845">
        <f t="shared" si="170"/>
        <v>15.888888888888889</v>
      </c>
    </row>
    <row r="5449" spans="2:5">
      <c r="B5449" s="1115">
        <v>45149</v>
      </c>
      <c r="C5449" s="242">
        <f t="shared" si="169"/>
        <v>8</v>
      </c>
      <c r="D5449" s="242">
        <v>61.2</v>
      </c>
      <c r="E5449" s="845">
        <f t="shared" si="170"/>
        <v>16.222222222222225</v>
      </c>
    </row>
    <row r="5450" spans="2:5">
      <c r="B5450" s="1115">
        <v>45149</v>
      </c>
      <c r="C5450" s="242">
        <f t="shared" ref="C5450:C5513" si="171">MONTH(B5450)</f>
        <v>8</v>
      </c>
      <c r="D5450" s="242">
        <v>63.1</v>
      </c>
      <c r="E5450" s="845">
        <f t="shared" ref="E5450:E5513" si="172">CONVERT(D5450,"F","C")</f>
        <v>17.277777777777779</v>
      </c>
    </row>
    <row r="5451" spans="2:5">
      <c r="B5451" s="1115">
        <v>45149</v>
      </c>
      <c r="C5451" s="242">
        <f t="shared" si="171"/>
        <v>8</v>
      </c>
      <c r="D5451" s="242">
        <v>64.900000000000006</v>
      </c>
      <c r="E5451" s="845">
        <f t="shared" si="172"/>
        <v>18.277777777777782</v>
      </c>
    </row>
    <row r="5452" spans="2:5">
      <c r="B5452" s="1115">
        <v>45149</v>
      </c>
      <c r="C5452" s="242">
        <f t="shared" si="171"/>
        <v>8</v>
      </c>
      <c r="D5452" s="242">
        <v>66.2</v>
      </c>
      <c r="E5452" s="845">
        <f t="shared" si="172"/>
        <v>19</v>
      </c>
    </row>
    <row r="5453" spans="2:5">
      <c r="B5453" s="1115">
        <v>45149</v>
      </c>
      <c r="C5453" s="242">
        <f t="shared" si="171"/>
        <v>8</v>
      </c>
      <c r="D5453" s="242">
        <v>66.900000000000006</v>
      </c>
      <c r="E5453" s="845">
        <f t="shared" si="172"/>
        <v>19.388888888888893</v>
      </c>
    </row>
    <row r="5454" spans="2:5">
      <c r="B5454" s="1115">
        <v>45149</v>
      </c>
      <c r="C5454" s="242">
        <f t="shared" si="171"/>
        <v>8</v>
      </c>
      <c r="D5454" s="242">
        <v>66.400000000000006</v>
      </c>
      <c r="E5454" s="845">
        <f t="shared" si="172"/>
        <v>19.111111111111114</v>
      </c>
    </row>
    <row r="5455" spans="2:5">
      <c r="B5455" s="1115">
        <v>45149</v>
      </c>
      <c r="C5455" s="242">
        <f t="shared" si="171"/>
        <v>8</v>
      </c>
      <c r="D5455" s="242">
        <v>64.599999999999994</v>
      </c>
      <c r="E5455" s="845">
        <f t="shared" si="172"/>
        <v>18.111111111111107</v>
      </c>
    </row>
    <row r="5456" spans="2:5">
      <c r="B5456" s="1115">
        <v>45149</v>
      </c>
      <c r="C5456" s="242">
        <f t="shared" si="171"/>
        <v>8</v>
      </c>
      <c r="D5456" s="242">
        <v>62.1</v>
      </c>
      <c r="E5456" s="845">
        <f t="shared" si="172"/>
        <v>16.722222222222221</v>
      </c>
    </row>
    <row r="5457" spans="2:5">
      <c r="B5457" s="1115">
        <v>45150</v>
      </c>
      <c r="C5457" s="242">
        <f t="shared" si="171"/>
        <v>8</v>
      </c>
      <c r="D5457" s="242">
        <v>59.7</v>
      </c>
      <c r="E5457" s="845">
        <f t="shared" si="172"/>
        <v>15.388888888888889</v>
      </c>
    </row>
    <row r="5458" spans="2:5">
      <c r="B5458" s="1115">
        <v>45150</v>
      </c>
      <c r="C5458" s="242">
        <f t="shared" si="171"/>
        <v>8</v>
      </c>
      <c r="D5458" s="242">
        <v>58.1</v>
      </c>
      <c r="E5458" s="845">
        <f t="shared" si="172"/>
        <v>14.5</v>
      </c>
    </row>
    <row r="5459" spans="2:5">
      <c r="B5459" s="1115">
        <v>45150</v>
      </c>
      <c r="C5459" s="242">
        <f t="shared" si="171"/>
        <v>8</v>
      </c>
      <c r="D5459" s="242">
        <v>57.9</v>
      </c>
      <c r="E5459" s="845">
        <f t="shared" si="172"/>
        <v>14.388888888888888</v>
      </c>
    </row>
    <row r="5460" spans="2:5">
      <c r="B5460" s="1115">
        <v>45150</v>
      </c>
      <c r="C5460" s="242">
        <f t="shared" si="171"/>
        <v>8</v>
      </c>
      <c r="D5460" s="242">
        <v>58.8</v>
      </c>
      <c r="E5460" s="845">
        <f t="shared" si="172"/>
        <v>14.888888888888888</v>
      </c>
    </row>
    <row r="5461" spans="2:5">
      <c r="B5461" s="1115">
        <v>45150</v>
      </c>
      <c r="C5461" s="242">
        <f t="shared" si="171"/>
        <v>8</v>
      </c>
      <c r="D5461" s="242">
        <v>58.1</v>
      </c>
      <c r="E5461" s="845">
        <f t="shared" si="172"/>
        <v>14.5</v>
      </c>
    </row>
    <row r="5462" spans="2:5">
      <c r="B5462" s="1115">
        <v>45150</v>
      </c>
      <c r="C5462" s="242">
        <f t="shared" si="171"/>
        <v>8</v>
      </c>
      <c r="D5462" s="242">
        <v>59.9</v>
      </c>
      <c r="E5462" s="845">
        <f t="shared" si="172"/>
        <v>15.499999999999998</v>
      </c>
    </row>
    <row r="5463" spans="2:5">
      <c r="B5463" s="1115">
        <v>45150</v>
      </c>
      <c r="C5463" s="242">
        <f t="shared" si="171"/>
        <v>8</v>
      </c>
      <c r="D5463" s="242">
        <v>62.6</v>
      </c>
      <c r="E5463" s="845">
        <f t="shared" si="172"/>
        <v>17</v>
      </c>
    </row>
    <row r="5464" spans="2:5">
      <c r="B5464" s="1115">
        <v>45150</v>
      </c>
      <c r="C5464" s="242">
        <f t="shared" si="171"/>
        <v>8</v>
      </c>
      <c r="D5464" s="242">
        <v>64.8</v>
      </c>
      <c r="E5464" s="845">
        <f t="shared" si="172"/>
        <v>18.222222222222221</v>
      </c>
    </row>
    <row r="5465" spans="2:5">
      <c r="B5465" s="1115">
        <v>45150</v>
      </c>
      <c r="C5465" s="242">
        <f t="shared" si="171"/>
        <v>8</v>
      </c>
      <c r="D5465" s="242" t="s">
        <v>1853</v>
      </c>
      <c r="E5465" s="845">
        <f t="shared" si="172"/>
        <v>18.888888888888889</v>
      </c>
    </row>
    <row r="5466" spans="2:5">
      <c r="B5466" s="1115">
        <v>45150</v>
      </c>
      <c r="C5466" s="242">
        <f t="shared" si="171"/>
        <v>8</v>
      </c>
      <c r="D5466" s="242">
        <v>66.7</v>
      </c>
      <c r="E5466" s="845">
        <f t="shared" si="172"/>
        <v>19.277777777777779</v>
      </c>
    </row>
    <row r="5467" spans="2:5">
      <c r="B5467" s="1115">
        <v>45150</v>
      </c>
      <c r="C5467" s="242">
        <f t="shared" si="171"/>
        <v>8</v>
      </c>
      <c r="D5467" s="242">
        <v>66.599999999999994</v>
      </c>
      <c r="E5467" s="845">
        <f t="shared" si="172"/>
        <v>19.222222222222218</v>
      </c>
    </row>
    <row r="5468" spans="2:5">
      <c r="B5468" s="1115">
        <v>45150</v>
      </c>
      <c r="C5468" s="242">
        <f t="shared" si="171"/>
        <v>8</v>
      </c>
      <c r="D5468" s="242">
        <v>64.599999999999994</v>
      </c>
      <c r="E5468" s="845">
        <f t="shared" si="172"/>
        <v>18.111111111111107</v>
      </c>
    </row>
    <row r="5469" spans="2:5">
      <c r="B5469" s="1115">
        <v>45150</v>
      </c>
      <c r="C5469" s="242">
        <f t="shared" si="171"/>
        <v>8</v>
      </c>
      <c r="D5469" s="242">
        <v>62.6</v>
      </c>
      <c r="E5469" s="845">
        <f t="shared" si="172"/>
        <v>17</v>
      </c>
    </row>
    <row r="5470" spans="2:5">
      <c r="B5470" s="1115">
        <v>45150</v>
      </c>
      <c r="C5470" s="242">
        <f t="shared" si="171"/>
        <v>8</v>
      </c>
      <c r="D5470" s="242">
        <v>61.3</v>
      </c>
      <c r="E5470" s="845">
        <f t="shared" si="172"/>
        <v>16.277777777777775</v>
      </c>
    </row>
    <row r="5471" spans="2:5">
      <c r="B5471" s="1115">
        <v>45150</v>
      </c>
      <c r="C5471" s="242">
        <f t="shared" si="171"/>
        <v>8</v>
      </c>
      <c r="D5471" s="242">
        <v>60.4</v>
      </c>
      <c r="E5471" s="845">
        <f t="shared" si="172"/>
        <v>15.777777777777777</v>
      </c>
    </row>
    <row r="5472" spans="2:5">
      <c r="B5472" s="1115">
        <v>45150</v>
      </c>
      <c r="C5472" s="242">
        <f t="shared" si="171"/>
        <v>8</v>
      </c>
      <c r="D5472" s="242">
        <v>59.2</v>
      </c>
      <c r="E5472" s="845">
        <f t="shared" si="172"/>
        <v>15.111111111111112</v>
      </c>
    </row>
    <row r="5473" spans="2:5">
      <c r="B5473" s="1115">
        <v>45150</v>
      </c>
      <c r="C5473" s="242">
        <f t="shared" si="171"/>
        <v>8</v>
      </c>
      <c r="D5473" s="242">
        <v>60.4</v>
      </c>
      <c r="E5473" s="845">
        <f t="shared" si="172"/>
        <v>15.777777777777777</v>
      </c>
    </row>
    <row r="5474" spans="2:5">
      <c r="B5474" s="1115">
        <v>45150</v>
      </c>
      <c r="C5474" s="242">
        <f t="shared" si="171"/>
        <v>8</v>
      </c>
      <c r="D5474" s="242">
        <v>60.8</v>
      </c>
      <c r="E5474" s="845">
        <f t="shared" si="172"/>
        <v>15.999999999999998</v>
      </c>
    </row>
    <row r="5475" spans="2:5">
      <c r="B5475" s="1115">
        <v>45150</v>
      </c>
      <c r="C5475" s="242">
        <f t="shared" si="171"/>
        <v>8</v>
      </c>
      <c r="D5475" s="242">
        <v>62.4</v>
      </c>
      <c r="E5475" s="845">
        <f t="shared" si="172"/>
        <v>16.888888888888889</v>
      </c>
    </row>
    <row r="5476" spans="2:5">
      <c r="B5476" s="1115">
        <v>45150</v>
      </c>
      <c r="C5476" s="242">
        <f t="shared" si="171"/>
        <v>8</v>
      </c>
      <c r="D5476" s="242">
        <v>64.400000000000006</v>
      </c>
      <c r="E5476" s="845">
        <f t="shared" si="172"/>
        <v>18.000000000000004</v>
      </c>
    </row>
    <row r="5477" spans="2:5">
      <c r="B5477" s="1115">
        <v>45150</v>
      </c>
      <c r="C5477" s="242">
        <f t="shared" si="171"/>
        <v>8</v>
      </c>
      <c r="D5477" s="242" t="s">
        <v>1853</v>
      </c>
      <c r="E5477" s="845">
        <f t="shared" si="172"/>
        <v>18.888888888888889</v>
      </c>
    </row>
    <row r="5478" spans="2:5">
      <c r="B5478" s="1115">
        <v>45150</v>
      </c>
      <c r="C5478" s="242">
        <f t="shared" si="171"/>
        <v>8</v>
      </c>
      <c r="D5478" s="242">
        <v>66.7</v>
      </c>
      <c r="E5478" s="845">
        <f t="shared" si="172"/>
        <v>19.277777777777779</v>
      </c>
    </row>
    <row r="5479" spans="2:5">
      <c r="B5479" s="1115">
        <v>45150</v>
      </c>
      <c r="C5479" s="242">
        <f t="shared" si="171"/>
        <v>8</v>
      </c>
      <c r="D5479" s="242">
        <v>65.8</v>
      </c>
      <c r="E5479" s="845">
        <f t="shared" si="172"/>
        <v>18.777777777777775</v>
      </c>
    </row>
    <row r="5480" spans="2:5">
      <c r="B5480" s="1115">
        <v>45150</v>
      </c>
      <c r="C5480" s="242">
        <f t="shared" si="171"/>
        <v>8</v>
      </c>
      <c r="D5480" s="242" t="s">
        <v>1852</v>
      </c>
      <c r="E5480" s="845">
        <f t="shared" si="172"/>
        <v>17.777777777777779</v>
      </c>
    </row>
    <row r="5481" spans="2:5">
      <c r="B5481" s="1115">
        <v>45151</v>
      </c>
      <c r="C5481" s="242">
        <f t="shared" si="171"/>
        <v>8</v>
      </c>
      <c r="D5481" s="242">
        <v>62.1</v>
      </c>
      <c r="E5481" s="845">
        <f t="shared" si="172"/>
        <v>16.722222222222221</v>
      </c>
    </row>
    <row r="5482" spans="2:5">
      <c r="B5482" s="1115">
        <v>45151</v>
      </c>
      <c r="C5482" s="242">
        <f t="shared" si="171"/>
        <v>8</v>
      </c>
      <c r="D5482" s="242">
        <v>61.5</v>
      </c>
      <c r="E5482" s="845">
        <f t="shared" si="172"/>
        <v>16.388888888888889</v>
      </c>
    </row>
    <row r="5483" spans="2:5">
      <c r="B5483" s="1115">
        <v>45151</v>
      </c>
      <c r="C5483" s="242">
        <f t="shared" si="171"/>
        <v>8</v>
      </c>
      <c r="D5483" s="242">
        <v>60.8</v>
      </c>
      <c r="E5483" s="845">
        <f t="shared" si="172"/>
        <v>15.999999999999998</v>
      </c>
    </row>
    <row r="5484" spans="2:5">
      <c r="B5484" s="1115">
        <v>45151</v>
      </c>
      <c r="C5484" s="242">
        <f t="shared" si="171"/>
        <v>8</v>
      </c>
      <c r="D5484" s="242">
        <v>60.1</v>
      </c>
      <c r="E5484" s="845">
        <f t="shared" si="172"/>
        <v>15.611111111111111</v>
      </c>
    </row>
    <row r="5485" spans="2:5">
      <c r="B5485" s="1115">
        <v>45151</v>
      </c>
      <c r="C5485" s="242">
        <f t="shared" si="171"/>
        <v>8</v>
      </c>
      <c r="D5485" s="242">
        <v>61.3</v>
      </c>
      <c r="E5485" s="845">
        <f t="shared" si="172"/>
        <v>16.277777777777775</v>
      </c>
    </row>
    <row r="5486" spans="2:5">
      <c r="B5486" s="1115">
        <v>45151</v>
      </c>
      <c r="C5486" s="242">
        <f t="shared" si="171"/>
        <v>8</v>
      </c>
      <c r="D5486" s="242">
        <v>60.3</v>
      </c>
      <c r="E5486" s="845">
        <f t="shared" si="172"/>
        <v>15.72222222222222</v>
      </c>
    </row>
    <row r="5487" spans="2:5">
      <c r="B5487" s="1115">
        <v>45151</v>
      </c>
      <c r="C5487" s="242">
        <f t="shared" si="171"/>
        <v>8</v>
      </c>
      <c r="D5487" s="242">
        <v>61.7</v>
      </c>
      <c r="E5487" s="845">
        <f t="shared" si="172"/>
        <v>16.5</v>
      </c>
    </row>
    <row r="5488" spans="2:5">
      <c r="B5488" s="1115">
        <v>45151</v>
      </c>
      <c r="C5488" s="242">
        <f t="shared" si="171"/>
        <v>8</v>
      </c>
      <c r="D5488" s="242">
        <v>63.5</v>
      </c>
      <c r="E5488" s="845">
        <f t="shared" si="172"/>
        <v>17.5</v>
      </c>
    </row>
    <row r="5489" spans="2:5">
      <c r="B5489" s="1115">
        <v>45151</v>
      </c>
      <c r="C5489" s="242">
        <f t="shared" si="171"/>
        <v>8</v>
      </c>
      <c r="D5489" s="242">
        <v>64.900000000000006</v>
      </c>
      <c r="E5489" s="845">
        <f t="shared" si="172"/>
        <v>18.277777777777782</v>
      </c>
    </row>
    <row r="5490" spans="2:5">
      <c r="B5490" s="1115">
        <v>45151</v>
      </c>
      <c r="C5490" s="242">
        <f t="shared" si="171"/>
        <v>8</v>
      </c>
      <c r="D5490" s="242">
        <v>66.2</v>
      </c>
      <c r="E5490" s="845">
        <f t="shared" si="172"/>
        <v>19</v>
      </c>
    </row>
    <row r="5491" spans="2:5">
      <c r="B5491" s="1115">
        <v>45151</v>
      </c>
      <c r="C5491" s="242">
        <f t="shared" si="171"/>
        <v>8</v>
      </c>
      <c r="D5491" s="242">
        <v>66.900000000000006</v>
      </c>
      <c r="E5491" s="845">
        <f t="shared" si="172"/>
        <v>19.388888888888893</v>
      </c>
    </row>
    <row r="5492" spans="2:5">
      <c r="B5492" s="1115">
        <v>45151</v>
      </c>
      <c r="C5492" s="242">
        <f t="shared" si="171"/>
        <v>8</v>
      </c>
      <c r="D5492" s="242">
        <v>66.599999999999994</v>
      </c>
      <c r="E5492" s="845">
        <f t="shared" si="172"/>
        <v>19.222222222222218</v>
      </c>
    </row>
    <row r="5493" spans="2:5">
      <c r="B5493" s="1115">
        <v>45151</v>
      </c>
      <c r="C5493" s="242">
        <f t="shared" si="171"/>
        <v>8</v>
      </c>
      <c r="D5493" s="242">
        <v>64.900000000000006</v>
      </c>
      <c r="E5493" s="845">
        <f t="shared" si="172"/>
        <v>18.277777777777782</v>
      </c>
    </row>
    <row r="5494" spans="2:5">
      <c r="B5494" s="1115">
        <v>45151</v>
      </c>
      <c r="C5494" s="242">
        <f t="shared" si="171"/>
        <v>8</v>
      </c>
      <c r="D5494" s="242">
        <v>63.5</v>
      </c>
      <c r="E5494" s="845">
        <f t="shared" si="172"/>
        <v>17.5</v>
      </c>
    </row>
    <row r="5495" spans="2:5">
      <c r="B5495" s="1115">
        <v>45151</v>
      </c>
      <c r="C5495" s="242">
        <f t="shared" si="171"/>
        <v>8</v>
      </c>
      <c r="D5495" s="242">
        <v>62.1</v>
      </c>
      <c r="E5495" s="845">
        <f t="shared" si="172"/>
        <v>16.722222222222221</v>
      </c>
    </row>
    <row r="5496" spans="2:5">
      <c r="B5496" s="1115">
        <v>45151</v>
      </c>
      <c r="C5496" s="242">
        <f t="shared" si="171"/>
        <v>8</v>
      </c>
      <c r="D5496" s="242">
        <v>60.8</v>
      </c>
      <c r="E5496" s="845">
        <f t="shared" si="172"/>
        <v>15.999999999999998</v>
      </c>
    </row>
    <row r="5497" spans="2:5">
      <c r="B5497" s="1115">
        <v>45151</v>
      </c>
      <c r="C5497" s="242">
        <f t="shared" si="171"/>
        <v>8</v>
      </c>
      <c r="D5497" s="242">
        <v>59.2</v>
      </c>
      <c r="E5497" s="845">
        <f t="shared" si="172"/>
        <v>15.111111111111112</v>
      </c>
    </row>
    <row r="5498" spans="2:5">
      <c r="B5498" s="1115">
        <v>45151</v>
      </c>
      <c r="C5498" s="242">
        <f t="shared" si="171"/>
        <v>8</v>
      </c>
      <c r="D5498" s="242">
        <v>60.6</v>
      </c>
      <c r="E5498" s="845">
        <f t="shared" si="172"/>
        <v>15.888888888888889</v>
      </c>
    </row>
    <row r="5499" spans="2:5">
      <c r="B5499" s="1115">
        <v>45151</v>
      </c>
      <c r="C5499" s="242">
        <f t="shared" si="171"/>
        <v>8</v>
      </c>
      <c r="D5499" s="242">
        <v>61.5</v>
      </c>
      <c r="E5499" s="845">
        <f t="shared" si="172"/>
        <v>16.388888888888889</v>
      </c>
    </row>
    <row r="5500" spans="2:5">
      <c r="B5500" s="1115">
        <v>45151</v>
      </c>
      <c r="C5500" s="242">
        <f t="shared" si="171"/>
        <v>8</v>
      </c>
      <c r="D5500" s="242" t="s">
        <v>1851</v>
      </c>
      <c r="E5500" s="845">
        <f t="shared" si="172"/>
        <v>17.222222222222221</v>
      </c>
    </row>
    <row r="5501" spans="2:5">
      <c r="B5501" s="1115">
        <v>45151</v>
      </c>
      <c r="C5501" s="242">
        <f t="shared" si="171"/>
        <v>8</v>
      </c>
      <c r="D5501" s="242">
        <v>65.099999999999994</v>
      </c>
      <c r="E5501" s="845">
        <f t="shared" si="172"/>
        <v>18.388888888888886</v>
      </c>
    </row>
    <row r="5502" spans="2:5">
      <c r="B5502" s="1115">
        <v>45151</v>
      </c>
      <c r="C5502" s="242">
        <f t="shared" si="171"/>
        <v>8</v>
      </c>
      <c r="D5502" s="242">
        <v>66.7</v>
      </c>
      <c r="E5502" s="845">
        <f t="shared" si="172"/>
        <v>19.277777777777779</v>
      </c>
    </row>
    <row r="5503" spans="2:5">
      <c r="B5503" s="1115">
        <v>45151</v>
      </c>
      <c r="C5503" s="242">
        <f t="shared" si="171"/>
        <v>8</v>
      </c>
      <c r="D5503" s="242">
        <v>67.5</v>
      </c>
      <c r="E5503" s="845">
        <f t="shared" si="172"/>
        <v>19.722222222222221</v>
      </c>
    </row>
    <row r="5504" spans="2:5">
      <c r="B5504" s="1115">
        <v>45151</v>
      </c>
      <c r="C5504" s="242">
        <f t="shared" si="171"/>
        <v>8</v>
      </c>
      <c r="D5504" s="242">
        <v>66.400000000000006</v>
      </c>
      <c r="E5504" s="845">
        <f t="shared" si="172"/>
        <v>19.111111111111114</v>
      </c>
    </row>
    <row r="5505" spans="2:5">
      <c r="B5505" s="1115">
        <v>45152</v>
      </c>
      <c r="C5505" s="242">
        <f t="shared" si="171"/>
        <v>8</v>
      </c>
      <c r="D5505" s="242">
        <v>64.2</v>
      </c>
      <c r="E5505" s="845">
        <f t="shared" si="172"/>
        <v>17.888888888888889</v>
      </c>
    </row>
    <row r="5506" spans="2:5">
      <c r="B5506" s="1115">
        <v>45152</v>
      </c>
      <c r="C5506" s="242">
        <f t="shared" si="171"/>
        <v>8</v>
      </c>
      <c r="D5506" s="242">
        <v>62.8</v>
      </c>
      <c r="E5506" s="845">
        <f t="shared" si="172"/>
        <v>17.111111111111111</v>
      </c>
    </row>
    <row r="5507" spans="2:5">
      <c r="B5507" s="1115">
        <v>45152</v>
      </c>
      <c r="C5507" s="242">
        <f t="shared" si="171"/>
        <v>8</v>
      </c>
      <c r="D5507" s="242">
        <v>61.3</v>
      </c>
      <c r="E5507" s="845">
        <f t="shared" si="172"/>
        <v>16.277777777777775</v>
      </c>
    </row>
    <row r="5508" spans="2:5">
      <c r="B5508" s="1115">
        <v>45152</v>
      </c>
      <c r="C5508" s="242">
        <f t="shared" si="171"/>
        <v>8</v>
      </c>
      <c r="D5508" s="242">
        <v>60.3</v>
      </c>
      <c r="E5508" s="845">
        <f t="shared" si="172"/>
        <v>15.72222222222222</v>
      </c>
    </row>
    <row r="5509" spans="2:5">
      <c r="B5509" s="1115">
        <v>45152</v>
      </c>
      <c r="C5509" s="242">
        <f t="shared" si="171"/>
        <v>8</v>
      </c>
      <c r="D5509" s="242" t="s">
        <v>1849</v>
      </c>
      <c r="E5509" s="845">
        <f t="shared" si="172"/>
        <v>15</v>
      </c>
    </row>
    <row r="5510" spans="2:5">
      <c r="B5510" s="1115">
        <v>45152</v>
      </c>
      <c r="C5510" s="242">
        <f t="shared" si="171"/>
        <v>8</v>
      </c>
      <c r="D5510" s="242">
        <v>59.9</v>
      </c>
      <c r="E5510" s="845">
        <f t="shared" si="172"/>
        <v>15.499999999999998</v>
      </c>
    </row>
    <row r="5511" spans="2:5">
      <c r="B5511" s="1115">
        <v>45152</v>
      </c>
      <c r="C5511" s="242">
        <f t="shared" si="171"/>
        <v>8</v>
      </c>
      <c r="D5511" s="242">
        <v>60.4</v>
      </c>
      <c r="E5511" s="845">
        <f t="shared" si="172"/>
        <v>15.777777777777777</v>
      </c>
    </row>
    <row r="5512" spans="2:5">
      <c r="B5512" s="1115">
        <v>45152</v>
      </c>
      <c r="C5512" s="242">
        <f t="shared" si="171"/>
        <v>8</v>
      </c>
      <c r="D5512" s="242">
        <v>61.7</v>
      </c>
      <c r="E5512" s="845">
        <f t="shared" si="172"/>
        <v>16.5</v>
      </c>
    </row>
    <row r="5513" spans="2:5">
      <c r="B5513" s="1115">
        <v>45152</v>
      </c>
      <c r="C5513" s="242">
        <f t="shared" si="171"/>
        <v>8</v>
      </c>
      <c r="D5513" s="242">
        <v>64.2</v>
      </c>
      <c r="E5513" s="845">
        <f t="shared" si="172"/>
        <v>17.888888888888889</v>
      </c>
    </row>
    <row r="5514" spans="2:5">
      <c r="B5514" s="1115">
        <v>45152</v>
      </c>
      <c r="C5514" s="242">
        <f t="shared" ref="C5514:C5577" si="173">MONTH(B5514)</f>
        <v>8</v>
      </c>
      <c r="D5514" s="242">
        <v>65.8</v>
      </c>
      <c r="E5514" s="845">
        <f t="shared" ref="E5514:E5577" si="174">CONVERT(D5514,"F","C")</f>
        <v>18.777777777777775</v>
      </c>
    </row>
    <row r="5515" spans="2:5">
      <c r="B5515" s="1115">
        <v>45152</v>
      </c>
      <c r="C5515" s="242">
        <f t="shared" si="173"/>
        <v>8</v>
      </c>
      <c r="D5515" s="242">
        <v>66.900000000000006</v>
      </c>
      <c r="E5515" s="845">
        <f t="shared" si="174"/>
        <v>19.388888888888893</v>
      </c>
    </row>
    <row r="5516" spans="2:5">
      <c r="B5516" s="1115">
        <v>45152</v>
      </c>
      <c r="C5516" s="242">
        <f t="shared" si="173"/>
        <v>8</v>
      </c>
      <c r="D5516" s="242">
        <v>67.5</v>
      </c>
      <c r="E5516" s="845">
        <f t="shared" si="174"/>
        <v>19.722222222222221</v>
      </c>
    </row>
    <row r="5517" spans="2:5">
      <c r="B5517" s="1115">
        <v>45152</v>
      </c>
      <c r="C5517" s="242">
        <f t="shared" si="173"/>
        <v>8</v>
      </c>
      <c r="D5517" s="242">
        <v>66.900000000000006</v>
      </c>
      <c r="E5517" s="845">
        <f t="shared" si="174"/>
        <v>19.388888888888893</v>
      </c>
    </row>
    <row r="5518" spans="2:5">
      <c r="B5518" s="1115">
        <v>45152</v>
      </c>
      <c r="C5518" s="242">
        <f t="shared" si="173"/>
        <v>8</v>
      </c>
      <c r="D5518" s="242">
        <v>64.900000000000006</v>
      </c>
      <c r="E5518" s="845">
        <f t="shared" si="174"/>
        <v>18.277777777777782</v>
      </c>
    </row>
    <row r="5519" spans="2:5">
      <c r="B5519" s="1115">
        <v>45152</v>
      </c>
      <c r="C5519" s="242">
        <f t="shared" si="173"/>
        <v>8</v>
      </c>
      <c r="D5519" s="242" t="s">
        <v>1851</v>
      </c>
      <c r="E5519" s="845">
        <f t="shared" si="174"/>
        <v>17.222222222222221</v>
      </c>
    </row>
    <row r="5520" spans="2:5">
      <c r="B5520" s="1115">
        <v>45152</v>
      </c>
      <c r="C5520" s="242">
        <f t="shared" si="173"/>
        <v>8</v>
      </c>
      <c r="D5520" s="242">
        <v>61.2</v>
      </c>
      <c r="E5520" s="845">
        <f t="shared" si="174"/>
        <v>16.222222222222225</v>
      </c>
    </row>
    <row r="5521" spans="2:5">
      <c r="B5521" s="1115">
        <v>45152</v>
      </c>
      <c r="C5521" s="242">
        <f t="shared" si="173"/>
        <v>8</v>
      </c>
      <c r="D5521" s="242">
        <v>60.4</v>
      </c>
      <c r="E5521" s="845">
        <f t="shared" si="174"/>
        <v>15.777777777777777</v>
      </c>
    </row>
    <row r="5522" spans="2:5">
      <c r="B5522" s="1115">
        <v>45152</v>
      </c>
      <c r="C5522" s="242">
        <f t="shared" si="173"/>
        <v>8</v>
      </c>
      <c r="D5522" s="242" t="s">
        <v>1849</v>
      </c>
      <c r="E5522" s="845">
        <f t="shared" si="174"/>
        <v>15</v>
      </c>
    </row>
    <row r="5523" spans="2:5">
      <c r="B5523" s="1115">
        <v>45152</v>
      </c>
      <c r="C5523" s="242">
        <f t="shared" si="173"/>
        <v>8</v>
      </c>
      <c r="D5523" s="242">
        <v>60.3</v>
      </c>
      <c r="E5523" s="845">
        <f t="shared" si="174"/>
        <v>15.72222222222222</v>
      </c>
    </row>
    <row r="5524" spans="2:5">
      <c r="B5524" s="1115">
        <v>45152</v>
      </c>
      <c r="C5524" s="242">
        <f t="shared" si="173"/>
        <v>8</v>
      </c>
      <c r="D5524" s="242">
        <v>61.3</v>
      </c>
      <c r="E5524" s="845">
        <f t="shared" si="174"/>
        <v>16.277777777777775</v>
      </c>
    </row>
    <row r="5525" spans="2:5">
      <c r="B5525" s="1115">
        <v>45152</v>
      </c>
      <c r="C5525" s="242">
        <f t="shared" si="173"/>
        <v>8</v>
      </c>
      <c r="D5525" s="242">
        <v>63.5</v>
      </c>
      <c r="E5525" s="845">
        <f t="shared" si="174"/>
        <v>17.5</v>
      </c>
    </row>
    <row r="5526" spans="2:5">
      <c r="B5526" s="1115">
        <v>45152</v>
      </c>
      <c r="C5526" s="242">
        <f t="shared" si="173"/>
        <v>8</v>
      </c>
      <c r="D5526" s="242" t="s">
        <v>1853</v>
      </c>
      <c r="E5526" s="845">
        <f t="shared" si="174"/>
        <v>18.888888888888889</v>
      </c>
    </row>
    <row r="5527" spans="2:5">
      <c r="B5527" s="1115">
        <v>45152</v>
      </c>
      <c r="C5527" s="242">
        <f t="shared" si="173"/>
        <v>8</v>
      </c>
      <c r="D5527" s="242">
        <v>67.5</v>
      </c>
      <c r="E5527" s="845">
        <f t="shared" si="174"/>
        <v>19.722222222222221</v>
      </c>
    </row>
    <row r="5528" spans="2:5">
      <c r="B5528" s="1115">
        <v>45152</v>
      </c>
      <c r="C5528" s="242">
        <f t="shared" si="173"/>
        <v>8</v>
      </c>
      <c r="D5528" s="242" t="s">
        <v>1854</v>
      </c>
      <c r="E5528" s="845">
        <f t="shared" si="174"/>
        <v>20</v>
      </c>
    </row>
    <row r="5529" spans="2:5">
      <c r="B5529" s="1115">
        <v>45153</v>
      </c>
      <c r="C5529" s="242">
        <f t="shared" si="173"/>
        <v>8</v>
      </c>
      <c r="D5529" s="242">
        <v>66.7</v>
      </c>
      <c r="E5529" s="845">
        <f t="shared" si="174"/>
        <v>19.277777777777779</v>
      </c>
    </row>
    <row r="5530" spans="2:5">
      <c r="B5530" s="1115">
        <v>45153</v>
      </c>
      <c r="C5530" s="242">
        <f t="shared" si="173"/>
        <v>8</v>
      </c>
      <c r="D5530" s="242" t="s">
        <v>1851</v>
      </c>
      <c r="E5530" s="845">
        <f t="shared" si="174"/>
        <v>17.222222222222221</v>
      </c>
    </row>
    <row r="5531" spans="2:5">
      <c r="B5531" s="1115">
        <v>45153</v>
      </c>
      <c r="C5531" s="242">
        <f t="shared" si="173"/>
        <v>8</v>
      </c>
      <c r="D5531" s="242">
        <v>62.4</v>
      </c>
      <c r="E5531" s="845">
        <f t="shared" si="174"/>
        <v>16.888888888888889</v>
      </c>
    </row>
    <row r="5532" spans="2:5">
      <c r="B5532" s="1115">
        <v>45153</v>
      </c>
      <c r="C5532" s="242">
        <f t="shared" si="173"/>
        <v>8</v>
      </c>
      <c r="D5532" s="242">
        <v>61.3</v>
      </c>
      <c r="E5532" s="845">
        <f t="shared" si="174"/>
        <v>16.277777777777775</v>
      </c>
    </row>
    <row r="5533" spans="2:5">
      <c r="B5533" s="1115">
        <v>45153</v>
      </c>
      <c r="C5533" s="242">
        <f t="shared" si="173"/>
        <v>8</v>
      </c>
      <c r="D5533" s="242">
        <v>60.6</v>
      </c>
      <c r="E5533" s="845">
        <f t="shared" si="174"/>
        <v>15.888888888888889</v>
      </c>
    </row>
    <row r="5534" spans="2:5">
      <c r="B5534" s="1115">
        <v>45153</v>
      </c>
      <c r="C5534" s="242">
        <f t="shared" si="173"/>
        <v>8</v>
      </c>
      <c r="D5534" s="242">
        <v>59.7</v>
      </c>
      <c r="E5534" s="845">
        <f t="shared" si="174"/>
        <v>15.388888888888889</v>
      </c>
    </row>
    <row r="5535" spans="2:5">
      <c r="B5535" s="1115">
        <v>45153</v>
      </c>
      <c r="C5535" s="242">
        <f t="shared" si="173"/>
        <v>8</v>
      </c>
      <c r="D5535" s="242">
        <v>60.1</v>
      </c>
      <c r="E5535" s="845">
        <f t="shared" si="174"/>
        <v>15.611111111111111</v>
      </c>
    </row>
    <row r="5536" spans="2:5">
      <c r="B5536" s="1115">
        <v>45153</v>
      </c>
      <c r="C5536" s="242">
        <f t="shared" si="173"/>
        <v>8</v>
      </c>
      <c r="D5536" s="242">
        <v>60.8</v>
      </c>
      <c r="E5536" s="845">
        <f t="shared" si="174"/>
        <v>15.999999999999998</v>
      </c>
    </row>
    <row r="5537" spans="2:5">
      <c r="B5537" s="1115">
        <v>45153</v>
      </c>
      <c r="C5537" s="242">
        <f t="shared" si="173"/>
        <v>8</v>
      </c>
      <c r="D5537" s="242">
        <v>62.4</v>
      </c>
      <c r="E5537" s="845">
        <f t="shared" si="174"/>
        <v>16.888888888888889</v>
      </c>
    </row>
    <row r="5538" spans="2:5">
      <c r="B5538" s="1115">
        <v>45153</v>
      </c>
      <c r="C5538" s="242">
        <f t="shared" si="173"/>
        <v>8</v>
      </c>
      <c r="D5538" s="242">
        <v>64.8</v>
      </c>
      <c r="E5538" s="845">
        <f t="shared" si="174"/>
        <v>18.222222222222221</v>
      </c>
    </row>
    <row r="5539" spans="2:5">
      <c r="B5539" s="1115">
        <v>45153</v>
      </c>
      <c r="C5539" s="242">
        <f t="shared" si="173"/>
        <v>8</v>
      </c>
      <c r="D5539" s="242">
        <v>66.400000000000006</v>
      </c>
      <c r="E5539" s="845">
        <f t="shared" si="174"/>
        <v>19.111111111111114</v>
      </c>
    </row>
    <row r="5540" spans="2:5">
      <c r="B5540" s="1115">
        <v>45153</v>
      </c>
      <c r="C5540" s="242">
        <f t="shared" si="173"/>
        <v>8</v>
      </c>
      <c r="D5540" s="242">
        <v>67.3</v>
      </c>
      <c r="E5540" s="845">
        <f t="shared" si="174"/>
        <v>19.611111111111111</v>
      </c>
    </row>
    <row r="5541" spans="2:5">
      <c r="B5541" s="1115">
        <v>45153</v>
      </c>
      <c r="C5541" s="242">
        <f t="shared" si="173"/>
        <v>8</v>
      </c>
      <c r="D5541" s="242">
        <v>67.8</v>
      </c>
      <c r="E5541" s="845">
        <f t="shared" si="174"/>
        <v>19.888888888888886</v>
      </c>
    </row>
    <row r="5542" spans="2:5">
      <c r="B5542" s="1115">
        <v>45153</v>
      </c>
      <c r="C5542" s="242">
        <f t="shared" si="173"/>
        <v>8</v>
      </c>
      <c r="D5542" s="242">
        <v>67.099999999999994</v>
      </c>
      <c r="E5542" s="845">
        <f t="shared" si="174"/>
        <v>19.499999999999996</v>
      </c>
    </row>
    <row r="5543" spans="2:5">
      <c r="B5543" s="1115">
        <v>45153</v>
      </c>
      <c r="C5543" s="242">
        <f t="shared" si="173"/>
        <v>8</v>
      </c>
      <c r="D5543" s="242">
        <v>63.9</v>
      </c>
      <c r="E5543" s="845">
        <f t="shared" si="174"/>
        <v>17.722222222222221</v>
      </c>
    </row>
    <row r="5544" spans="2:5">
      <c r="B5544" s="1115">
        <v>45153</v>
      </c>
      <c r="C5544" s="242">
        <f t="shared" si="173"/>
        <v>8</v>
      </c>
      <c r="D5544" s="242">
        <v>62.6</v>
      </c>
      <c r="E5544" s="845">
        <f t="shared" si="174"/>
        <v>17</v>
      </c>
    </row>
    <row r="5545" spans="2:5">
      <c r="B5545" s="1115">
        <v>45153</v>
      </c>
      <c r="C5545" s="242">
        <f t="shared" si="173"/>
        <v>8</v>
      </c>
      <c r="D5545" s="242">
        <v>61.3</v>
      </c>
      <c r="E5545" s="845">
        <f t="shared" si="174"/>
        <v>16.277777777777775</v>
      </c>
    </row>
    <row r="5546" spans="2:5">
      <c r="B5546" s="1115">
        <v>45153</v>
      </c>
      <c r="C5546" s="242">
        <f t="shared" si="173"/>
        <v>8</v>
      </c>
      <c r="D5546" s="242">
        <v>60.3</v>
      </c>
      <c r="E5546" s="845">
        <f t="shared" si="174"/>
        <v>15.72222222222222</v>
      </c>
    </row>
    <row r="5547" spans="2:5">
      <c r="B5547" s="1115">
        <v>45153</v>
      </c>
      <c r="C5547" s="242">
        <f t="shared" si="173"/>
        <v>8</v>
      </c>
      <c r="D5547" s="242" t="s">
        <v>1850</v>
      </c>
      <c r="E5547" s="845">
        <f t="shared" si="174"/>
        <v>16.111111111111111</v>
      </c>
    </row>
    <row r="5548" spans="2:5">
      <c r="B5548" s="1115">
        <v>45153</v>
      </c>
      <c r="C5548" s="242">
        <f t="shared" si="173"/>
        <v>8</v>
      </c>
      <c r="D5548" s="242">
        <v>61.2</v>
      </c>
      <c r="E5548" s="845">
        <f t="shared" si="174"/>
        <v>16.222222222222225</v>
      </c>
    </row>
    <row r="5549" spans="2:5">
      <c r="B5549" s="1115">
        <v>45153</v>
      </c>
      <c r="C5549" s="242">
        <f t="shared" si="173"/>
        <v>8</v>
      </c>
      <c r="D5549" s="242">
        <v>62.1</v>
      </c>
      <c r="E5549" s="845">
        <f t="shared" si="174"/>
        <v>16.722222222222221</v>
      </c>
    </row>
    <row r="5550" spans="2:5">
      <c r="B5550" s="1115">
        <v>45153</v>
      </c>
      <c r="C5550" s="242">
        <f t="shared" si="173"/>
        <v>8</v>
      </c>
      <c r="D5550" s="242">
        <v>63.7</v>
      </c>
      <c r="E5550" s="845">
        <f t="shared" si="174"/>
        <v>17.611111111111111</v>
      </c>
    </row>
    <row r="5551" spans="2:5">
      <c r="B5551" s="1115">
        <v>45153</v>
      </c>
      <c r="C5551" s="242">
        <f t="shared" si="173"/>
        <v>8</v>
      </c>
      <c r="D5551" s="242">
        <v>65.7</v>
      </c>
      <c r="E5551" s="845">
        <f t="shared" si="174"/>
        <v>18.722222222222225</v>
      </c>
    </row>
    <row r="5552" spans="2:5">
      <c r="B5552" s="1115">
        <v>45153</v>
      </c>
      <c r="C5552" s="242">
        <f t="shared" si="173"/>
        <v>8</v>
      </c>
      <c r="D5552" s="242">
        <v>66.900000000000006</v>
      </c>
      <c r="E5552" s="845">
        <f t="shared" si="174"/>
        <v>19.388888888888893</v>
      </c>
    </row>
    <row r="5553" spans="2:5">
      <c r="B5553" s="1115">
        <v>45154</v>
      </c>
      <c r="C5553" s="242">
        <f t="shared" si="173"/>
        <v>8</v>
      </c>
      <c r="D5553" s="242">
        <v>67.099999999999994</v>
      </c>
      <c r="E5553" s="845">
        <f t="shared" si="174"/>
        <v>19.499999999999996</v>
      </c>
    </row>
    <row r="5554" spans="2:5">
      <c r="B5554" s="1115">
        <v>45154</v>
      </c>
      <c r="C5554" s="242">
        <f t="shared" si="173"/>
        <v>8</v>
      </c>
      <c r="D5554" s="242">
        <v>65.7</v>
      </c>
      <c r="E5554" s="845">
        <f t="shared" si="174"/>
        <v>18.722222222222225</v>
      </c>
    </row>
    <row r="5555" spans="2:5">
      <c r="B5555" s="1115">
        <v>45154</v>
      </c>
      <c r="C5555" s="242">
        <f t="shared" si="173"/>
        <v>8</v>
      </c>
      <c r="D5555" s="242">
        <v>63.7</v>
      </c>
      <c r="E5555" s="845">
        <f t="shared" si="174"/>
        <v>17.611111111111111</v>
      </c>
    </row>
    <row r="5556" spans="2:5">
      <c r="B5556" s="1115">
        <v>45154</v>
      </c>
      <c r="C5556" s="242">
        <f t="shared" si="173"/>
        <v>8</v>
      </c>
      <c r="D5556" s="242">
        <v>62.8</v>
      </c>
      <c r="E5556" s="845">
        <f t="shared" si="174"/>
        <v>17.111111111111111</v>
      </c>
    </row>
    <row r="5557" spans="2:5">
      <c r="B5557" s="1115">
        <v>45154</v>
      </c>
      <c r="C5557" s="242">
        <f t="shared" si="173"/>
        <v>8</v>
      </c>
      <c r="D5557" s="242">
        <v>61.9</v>
      </c>
      <c r="E5557" s="845">
        <f t="shared" si="174"/>
        <v>16.611111111111111</v>
      </c>
    </row>
    <row r="5558" spans="2:5">
      <c r="B5558" s="1115">
        <v>45154</v>
      </c>
      <c r="C5558" s="242">
        <f t="shared" si="173"/>
        <v>8</v>
      </c>
      <c r="D5558" s="242">
        <v>61.5</v>
      </c>
      <c r="E5558" s="845">
        <f t="shared" si="174"/>
        <v>16.388888888888889</v>
      </c>
    </row>
    <row r="5559" spans="2:5">
      <c r="B5559" s="1115">
        <v>45154</v>
      </c>
      <c r="C5559" s="242">
        <f t="shared" si="173"/>
        <v>8</v>
      </c>
      <c r="D5559" s="242">
        <v>61.3</v>
      </c>
      <c r="E5559" s="845">
        <f t="shared" si="174"/>
        <v>16.277777777777775</v>
      </c>
    </row>
    <row r="5560" spans="2:5">
      <c r="B5560" s="1115">
        <v>45154</v>
      </c>
      <c r="C5560" s="242">
        <f t="shared" si="173"/>
        <v>8</v>
      </c>
      <c r="D5560" s="242">
        <v>61.5</v>
      </c>
      <c r="E5560" s="845">
        <f t="shared" si="174"/>
        <v>16.388888888888889</v>
      </c>
    </row>
    <row r="5561" spans="2:5">
      <c r="B5561" s="1115">
        <v>45154</v>
      </c>
      <c r="C5561" s="242">
        <f t="shared" si="173"/>
        <v>8</v>
      </c>
      <c r="D5561" s="242">
        <v>62.1</v>
      </c>
      <c r="E5561" s="845">
        <f t="shared" si="174"/>
        <v>16.722222222222221</v>
      </c>
    </row>
    <row r="5562" spans="2:5">
      <c r="B5562" s="1115">
        <v>45154</v>
      </c>
      <c r="C5562" s="242">
        <f t="shared" si="173"/>
        <v>8</v>
      </c>
      <c r="D5562" s="242">
        <v>63.5</v>
      </c>
      <c r="E5562" s="845">
        <f t="shared" si="174"/>
        <v>17.5</v>
      </c>
    </row>
    <row r="5563" spans="2:5">
      <c r="B5563" s="1115">
        <v>45154</v>
      </c>
      <c r="C5563" s="242">
        <f t="shared" si="173"/>
        <v>8</v>
      </c>
      <c r="D5563" s="242">
        <v>65.3</v>
      </c>
      <c r="E5563" s="845">
        <f t="shared" si="174"/>
        <v>18.499999999999996</v>
      </c>
    </row>
    <row r="5564" spans="2:5">
      <c r="B5564" s="1115">
        <v>45154</v>
      </c>
      <c r="C5564" s="242">
        <f t="shared" si="173"/>
        <v>8</v>
      </c>
      <c r="D5564" s="242">
        <v>66.2</v>
      </c>
      <c r="E5564" s="845">
        <f t="shared" si="174"/>
        <v>19</v>
      </c>
    </row>
    <row r="5565" spans="2:5">
      <c r="B5565" s="1115">
        <v>45154</v>
      </c>
      <c r="C5565" s="242">
        <f t="shared" si="173"/>
        <v>8</v>
      </c>
      <c r="D5565" s="242">
        <v>67.099999999999994</v>
      </c>
      <c r="E5565" s="845">
        <f t="shared" si="174"/>
        <v>19.499999999999996</v>
      </c>
    </row>
    <row r="5566" spans="2:5">
      <c r="B5566" s="1115">
        <v>45154</v>
      </c>
      <c r="C5566" s="242">
        <f t="shared" si="173"/>
        <v>8</v>
      </c>
      <c r="D5566" s="242">
        <v>67.3</v>
      </c>
      <c r="E5566" s="845">
        <f t="shared" si="174"/>
        <v>19.611111111111111</v>
      </c>
    </row>
    <row r="5567" spans="2:5">
      <c r="B5567" s="1115">
        <v>45154</v>
      </c>
      <c r="C5567" s="242">
        <f t="shared" si="173"/>
        <v>8</v>
      </c>
      <c r="D5567" s="242">
        <v>65.7</v>
      </c>
      <c r="E5567" s="845">
        <f t="shared" si="174"/>
        <v>18.722222222222225</v>
      </c>
    </row>
    <row r="5568" spans="2:5">
      <c r="B5568" s="1115">
        <v>45154</v>
      </c>
      <c r="C5568" s="242">
        <f t="shared" si="173"/>
        <v>8</v>
      </c>
      <c r="D5568" s="242">
        <v>64.400000000000006</v>
      </c>
      <c r="E5568" s="845">
        <f t="shared" si="174"/>
        <v>18.000000000000004</v>
      </c>
    </row>
    <row r="5569" spans="2:5">
      <c r="B5569" s="1115">
        <v>45154</v>
      </c>
      <c r="C5569" s="242">
        <f t="shared" si="173"/>
        <v>8</v>
      </c>
      <c r="D5569" s="242">
        <v>63.3</v>
      </c>
      <c r="E5569" s="845">
        <f t="shared" si="174"/>
        <v>17.388888888888886</v>
      </c>
    </row>
    <row r="5570" spans="2:5">
      <c r="B5570" s="1115">
        <v>45154</v>
      </c>
      <c r="C5570" s="242">
        <f t="shared" si="173"/>
        <v>8</v>
      </c>
      <c r="D5570" s="242">
        <v>62.2</v>
      </c>
      <c r="E5570" s="845">
        <f t="shared" si="174"/>
        <v>16.777777777777779</v>
      </c>
    </row>
    <row r="5571" spans="2:5">
      <c r="B5571" s="1115">
        <v>45154</v>
      </c>
      <c r="C5571" s="242">
        <f t="shared" si="173"/>
        <v>8</v>
      </c>
      <c r="D5571" s="242">
        <v>61.3</v>
      </c>
      <c r="E5571" s="845">
        <f t="shared" si="174"/>
        <v>16.277777777777775</v>
      </c>
    </row>
    <row r="5572" spans="2:5">
      <c r="B5572" s="1115">
        <v>45154</v>
      </c>
      <c r="C5572" s="242">
        <f t="shared" si="173"/>
        <v>8</v>
      </c>
      <c r="D5572" s="242">
        <v>62.1</v>
      </c>
      <c r="E5572" s="845">
        <f t="shared" si="174"/>
        <v>16.722222222222221</v>
      </c>
    </row>
    <row r="5573" spans="2:5">
      <c r="B5573" s="1115">
        <v>45154</v>
      </c>
      <c r="C5573" s="242">
        <f t="shared" si="173"/>
        <v>8</v>
      </c>
      <c r="D5573" s="242">
        <v>62.2</v>
      </c>
      <c r="E5573" s="845">
        <f t="shared" si="174"/>
        <v>16.777777777777779</v>
      </c>
    </row>
    <row r="5574" spans="2:5">
      <c r="B5574" s="1115">
        <v>45154</v>
      </c>
      <c r="C5574" s="242">
        <f t="shared" si="173"/>
        <v>8</v>
      </c>
      <c r="D5574" s="242">
        <v>63.5</v>
      </c>
      <c r="E5574" s="845">
        <f t="shared" si="174"/>
        <v>17.5</v>
      </c>
    </row>
    <row r="5575" spans="2:5">
      <c r="B5575" s="1115">
        <v>45154</v>
      </c>
      <c r="C5575" s="242">
        <f t="shared" si="173"/>
        <v>8</v>
      </c>
      <c r="D5575" s="242">
        <v>65.099999999999994</v>
      </c>
      <c r="E5575" s="845">
        <f t="shared" si="174"/>
        <v>18.388888888888886</v>
      </c>
    </row>
    <row r="5576" spans="2:5">
      <c r="B5576" s="1115">
        <v>45154</v>
      </c>
      <c r="C5576" s="242">
        <f t="shared" si="173"/>
        <v>8</v>
      </c>
      <c r="D5576" s="242">
        <v>66.599999999999994</v>
      </c>
      <c r="E5576" s="845">
        <f t="shared" si="174"/>
        <v>19.222222222222218</v>
      </c>
    </row>
    <row r="5577" spans="2:5">
      <c r="B5577" s="1115">
        <v>45155</v>
      </c>
      <c r="C5577" s="242">
        <f t="shared" si="173"/>
        <v>8</v>
      </c>
      <c r="D5577" s="242">
        <v>67.099999999999994</v>
      </c>
      <c r="E5577" s="845">
        <f t="shared" si="174"/>
        <v>19.499999999999996</v>
      </c>
    </row>
    <row r="5578" spans="2:5">
      <c r="B5578" s="1115">
        <v>45155</v>
      </c>
      <c r="C5578" s="242">
        <f t="shared" ref="C5578:C5641" si="175">MONTH(B5578)</f>
        <v>8</v>
      </c>
      <c r="D5578" s="242">
        <v>66.900000000000006</v>
      </c>
      <c r="E5578" s="845">
        <f t="shared" ref="E5578:E5641" si="176">CONVERT(D5578,"F","C")</f>
        <v>19.388888888888893</v>
      </c>
    </row>
    <row r="5579" spans="2:5">
      <c r="B5579" s="1115">
        <v>45155</v>
      </c>
      <c r="C5579" s="242">
        <f t="shared" si="175"/>
        <v>8</v>
      </c>
      <c r="D5579" s="242">
        <v>65.099999999999994</v>
      </c>
      <c r="E5579" s="845">
        <f t="shared" si="176"/>
        <v>18.388888888888886</v>
      </c>
    </row>
    <row r="5580" spans="2:5">
      <c r="B5580" s="1115">
        <v>45155</v>
      </c>
      <c r="C5580" s="242">
        <f t="shared" si="175"/>
        <v>8</v>
      </c>
      <c r="D5580" s="242" t="s">
        <v>1852</v>
      </c>
      <c r="E5580" s="845">
        <f t="shared" si="176"/>
        <v>17.777777777777779</v>
      </c>
    </row>
    <row r="5581" spans="2:5">
      <c r="B5581" s="1115">
        <v>45155</v>
      </c>
      <c r="C5581" s="242">
        <f t="shared" si="175"/>
        <v>8</v>
      </c>
      <c r="D5581" s="242">
        <v>63.7</v>
      </c>
      <c r="E5581" s="845">
        <f t="shared" si="176"/>
        <v>17.611111111111111</v>
      </c>
    </row>
    <row r="5582" spans="2:5">
      <c r="B5582" s="1115">
        <v>45155</v>
      </c>
      <c r="C5582" s="242">
        <f t="shared" si="175"/>
        <v>8</v>
      </c>
      <c r="D5582" s="242">
        <v>63.5</v>
      </c>
      <c r="E5582" s="845">
        <f t="shared" si="176"/>
        <v>17.5</v>
      </c>
    </row>
    <row r="5583" spans="2:5">
      <c r="B5583" s="1115">
        <v>45155</v>
      </c>
      <c r="C5583" s="242">
        <f t="shared" si="175"/>
        <v>8</v>
      </c>
      <c r="D5583" s="242">
        <v>63.1</v>
      </c>
      <c r="E5583" s="845">
        <f t="shared" si="176"/>
        <v>17.277777777777779</v>
      </c>
    </row>
    <row r="5584" spans="2:5">
      <c r="B5584" s="1115">
        <v>45155</v>
      </c>
      <c r="C5584" s="242">
        <f t="shared" si="175"/>
        <v>8</v>
      </c>
      <c r="D5584" s="242">
        <v>63.3</v>
      </c>
      <c r="E5584" s="845">
        <f t="shared" si="176"/>
        <v>17.388888888888886</v>
      </c>
    </row>
    <row r="5585" spans="2:5">
      <c r="B5585" s="1115">
        <v>45155</v>
      </c>
      <c r="C5585" s="242">
        <f t="shared" si="175"/>
        <v>8</v>
      </c>
      <c r="D5585" s="242">
        <v>63.1</v>
      </c>
      <c r="E5585" s="845">
        <f t="shared" si="176"/>
        <v>17.277777777777779</v>
      </c>
    </row>
    <row r="5586" spans="2:5">
      <c r="B5586" s="1115">
        <v>45155</v>
      </c>
      <c r="C5586" s="242">
        <f t="shared" si="175"/>
        <v>8</v>
      </c>
      <c r="D5586" s="242">
        <v>63.9</v>
      </c>
      <c r="E5586" s="845">
        <f t="shared" si="176"/>
        <v>17.722222222222221</v>
      </c>
    </row>
    <row r="5587" spans="2:5">
      <c r="B5587" s="1115">
        <v>45155</v>
      </c>
      <c r="C5587" s="242">
        <f t="shared" si="175"/>
        <v>8</v>
      </c>
      <c r="D5587" s="242">
        <v>65.099999999999994</v>
      </c>
      <c r="E5587" s="845">
        <f t="shared" si="176"/>
        <v>18.388888888888886</v>
      </c>
    </row>
    <row r="5588" spans="2:5">
      <c r="B5588" s="1115">
        <v>45155</v>
      </c>
      <c r="C5588" s="242">
        <f t="shared" si="175"/>
        <v>8</v>
      </c>
      <c r="D5588" s="242" t="s">
        <v>1853</v>
      </c>
      <c r="E5588" s="845">
        <f t="shared" si="176"/>
        <v>18.888888888888889</v>
      </c>
    </row>
    <row r="5589" spans="2:5">
      <c r="B5589" s="1115">
        <v>45155</v>
      </c>
      <c r="C5589" s="242">
        <f t="shared" si="175"/>
        <v>8</v>
      </c>
      <c r="D5589" s="242">
        <v>66.7</v>
      </c>
      <c r="E5589" s="845">
        <f t="shared" si="176"/>
        <v>19.277777777777779</v>
      </c>
    </row>
    <row r="5590" spans="2:5">
      <c r="B5590" s="1115">
        <v>45155</v>
      </c>
      <c r="C5590" s="242">
        <f t="shared" si="175"/>
        <v>8</v>
      </c>
      <c r="D5590" s="242">
        <v>67.3</v>
      </c>
      <c r="E5590" s="845">
        <f t="shared" si="176"/>
        <v>19.611111111111111</v>
      </c>
    </row>
    <row r="5591" spans="2:5">
      <c r="B5591" s="1115">
        <v>45155</v>
      </c>
      <c r="C5591" s="242">
        <f t="shared" si="175"/>
        <v>8</v>
      </c>
      <c r="D5591" s="242">
        <v>66.7</v>
      </c>
      <c r="E5591" s="845">
        <f t="shared" si="176"/>
        <v>19.277777777777779</v>
      </c>
    </row>
    <row r="5592" spans="2:5">
      <c r="B5592" s="1115">
        <v>45155</v>
      </c>
      <c r="C5592" s="242">
        <f t="shared" si="175"/>
        <v>8</v>
      </c>
      <c r="D5592" s="242">
        <v>65.3</v>
      </c>
      <c r="E5592" s="845">
        <f t="shared" si="176"/>
        <v>18.499999999999996</v>
      </c>
    </row>
    <row r="5593" spans="2:5">
      <c r="B5593" s="1115">
        <v>45155</v>
      </c>
      <c r="C5593" s="242">
        <f t="shared" si="175"/>
        <v>8</v>
      </c>
      <c r="D5593" s="242">
        <v>64.900000000000006</v>
      </c>
      <c r="E5593" s="845">
        <f t="shared" si="176"/>
        <v>18.277777777777782</v>
      </c>
    </row>
    <row r="5594" spans="2:5">
      <c r="B5594" s="1115">
        <v>45155</v>
      </c>
      <c r="C5594" s="242">
        <f t="shared" si="175"/>
        <v>8</v>
      </c>
      <c r="D5594" s="242">
        <v>64.2</v>
      </c>
      <c r="E5594" s="845">
        <f t="shared" si="176"/>
        <v>17.888888888888889</v>
      </c>
    </row>
    <row r="5595" spans="2:5">
      <c r="B5595" s="1115">
        <v>45155</v>
      </c>
      <c r="C5595" s="242">
        <f t="shared" si="175"/>
        <v>8</v>
      </c>
      <c r="D5595" s="242">
        <v>63.1</v>
      </c>
      <c r="E5595" s="845">
        <f t="shared" si="176"/>
        <v>17.277777777777779</v>
      </c>
    </row>
    <row r="5596" spans="2:5">
      <c r="B5596" s="1115">
        <v>45155</v>
      </c>
      <c r="C5596" s="242">
        <f t="shared" si="175"/>
        <v>8</v>
      </c>
      <c r="D5596" s="242">
        <v>62.4</v>
      </c>
      <c r="E5596" s="845">
        <f t="shared" si="176"/>
        <v>16.888888888888889</v>
      </c>
    </row>
    <row r="5597" spans="2:5">
      <c r="B5597" s="1115">
        <v>45155</v>
      </c>
      <c r="C5597" s="242">
        <f t="shared" si="175"/>
        <v>8</v>
      </c>
      <c r="D5597" s="242">
        <v>62.8</v>
      </c>
      <c r="E5597" s="845">
        <f t="shared" si="176"/>
        <v>17.111111111111111</v>
      </c>
    </row>
    <row r="5598" spans="2:5">
      <c r="B5598" s="1115">
        <v>45155</v>
      </c>
      <c r="C5598" s="242">
        <f t="shared" si="175"/>
        <v>8</v>
      </c>
      <c r="D5598" s="242" t="s">
        <v>1852</v>
      </c>
      <c r="E5598" s="845">
        <f t="shared" si="176"/>
        <v>17.777777777777779</v>
      </c>
    </row>
    <row r="5599" spans="2:5">
      <c r="B5599" s="1115">
        <v>45155</v>
      </c>
      <c r="C5599" s="242">
        <f t="shared" si="175"/>
        <v>8</v>
      </c>
      <c r="D5599" s="242">
        <v>65.099999999999994</v>
      </c>
      <c r="E5599" s="845">
        <f t="shared" si="176"/>
        <v>18.388888888888886</v>
      </c>
    </row>
    <row r="5600" spans="2:5">
      <c r="B5600" s="1115">
        <v>45155</v>
      </c>
      <c r="C5600" s="242">
        <f t="shared" si="175"/>
        <v>8</v>
      </c>
      <c r="D5600" s="242">
        <v>66.400000000000006</v>
      </c>
      <c r="E5600" s="845">
        <f t="shared" si="176"/>
        <v>19.111111111111114</v>
      </c>
    </row>
    <row r="5601" spans="2:5">
      <c r="B5601" s="1115">
        <v>45156</v>
      </c>
      <c r="C5601" s="242">
        <f t="shared" si="175"/>
        <v>8</v>
      </c>
      <c r="D5601" s="242">
        <v>67.099999999999994</v>
      </c>
      <c r="E5601" s="845">
        <f t="shared" si="176"/>
        <v>19.499999999999996</v>
      </c>
    </row>
    <row r="5602" spans="2:5">
      <c r="B5602" s="1115">
        <v>45156</v>
      </c>
      <c r="C5602" s="242">
        <f t="shared" si="175"/>
        <v>8</v>
      </c>
      <c r="D5602" s="242">
        <v>67.5</v>
      </c>
      <c r="E5602" s="845">
        <f t="shared" si="176"/>
        <v>19.722222222222221</v>
      </c>
    </row>
    <row r="5603" spans="2:5">
      <c r="B5603" s="1115">
        <v>45156</v>
      </c>
      <c r="C5603" s="242">
        <f t="shared" si="175"/>
        <v>8</v>
      </c>
      <c r="D5603" s="242">
        <v>66.599999999999994</v>
      </c>
      <c r="E5603" s="845">
        <f t="shared" si="176"/>
        <v>19.222222222222218</v>
      </c>
    </row>
    <row r="5604" spans="2:5">
      <c r="B5604" s="1115">
        <v>45156</v>
      </c>
      <c r="C5604" s="242">
        <f t="shared" si="175"/>
        <v>8</v>
      </c>
      <c r="D5604" s="242">
        <v>65.3</v>
      </c>
      <c r="E5604" s="845">
        <f t="shared" si="176"/>
        <v>18.499999999999996</v>
      </c>
    </row>
    <row r="5605" spans="2:5">
      <c r="B5605" s="1115">
        <v>45156</v>
      </c>
      <c r="C5605" s="242">
        <f t="shared" si="175"/>
        <v>8</v>
      </c>
      <c r="D5605" s="242">
        <v>64.8</v>
      </c>
      <c r="E5605" s="845">
        <f t="shared" si="176"/>
        <v>18.222222222222221</v>
      </c>
    </row>
    <row r="5606" spans="2:5">
      <c r="B5606" s="1115">
        <v>45156</v>
      </c>
      <c r="C5606" s="242">
        <f t="shared" si="175"/>
        <v>8</v>
      </c>
      <c r="D5606" s="242">
        <v>64.900000000000006</v>
      </c>
      <c r="E5606" s="845">
        <f t="shared" si="176"/>
        <v>18.277777777777782</v>
      </c>
    </row>
    <row r="5607" spans="2:5">
      <c r="B5607" s="1115">
        <v>45156</v>
      </c>
      <c r="C5607" s="242">
        <f t="shared" si="175"/>
        <v>8</v>
      </c>
      <c r="D5607" s="242">
        <v>64.2</v>
      </c>
      <c r="E5607" s="845">
        <f t="shared" si="176"/>
        <v>17.888888888888889</v>
      </c>
    </row>
    <row r="5608" spans="2:5">
      <c r="B5608" s="1115">
        <v>45156</v>
      </c>
      <c r="C5608" s="242">
        <f t="shared" si="175"/>
        <v>8</v>
      </c>
      <c r="D5608" s="242">
        <v>63.7</v>
      </c>
      <c r="E5608" s="845">
        <f t="shared" si="176"/>
        <v>17.611111111111111</v>
      </c>
    </row>
    <row r="5609" spans="2:5">
      <c r="B5609" s="1115">
        <v>45156</v>
      </c>
      <c r="C5609" s="242">
        <f t="shared" si="175"/>
        <v>8</v>
      </c>
      <c r="D5609" s="242">
        <v>63.7</v>
      </c>
      <c r="E5609" s="845">
        <f t="shared" si="176"/>
        <v>17.611111111111111</v>
      </c>
    </row>
    <row r="5610" spans="2:5">
      <c r="B5610" s="1115">
        <v>45156</v>
      </c>
      <c r="C5610" s="242">
        <f t="shared" si="175"/>
        <v>8</v>
      </c>
      <c r="D5610" s="242">
        <v>64.2</v>
      </c>
      <c r="E5610" s="845">
        <f t="shared" si="176"/>
        <v>17.888888888888889</v>
      </c>
    </row>
    <row r="5611" spans="2:5">
      <c r="B5611" s="1115">
        <v>45156</v>
      </c>
      <c r="C5611" s="242">
        <f t="shared" si="175"/>
        <v>8</v>
      </c>
      <c r="D5611" s="242">
        <v>65.099999999999994</v>
      </c>
      <c r="E5611" s="845">
        <f t="shared" si="176"/>
        <v>18.388888888888886</v>
      </c>
    </row>
    <row r="5612" spans="2:5">
      <c r="B5612" s="1115">
        <v>45156</v>
      </c>
      <c r="C5612" s="242">
        <f t="shared" si="175"/>
        <v>8</v>
      </c>
      <c r="D5612" s="242" t="s">
        <v>1853</v>
      </c>
      <c r="E5612" s="845">
        <f t="shared" si="176"/>
        <v>18.888888888888889</v>
      </c>
    </row>
    <row r="5613" spans="2:5">
      <c r="B5613" s="1115">
        <v>45156</v>
      </c>
      <c r="C5613" s="242">
        <f t="shared" si="175"/>
        <v>8</v>
      </c>
      <c r="D5613" s="242">
        <v>66.7</v>
      </c>
      <c r="E5613" s="845">
        <f t="shared" si="176"/>
        <v>19.277777777777779</v>
      </c>
    </row>
    <row r="5614" spans="2:5">
      <c r="B5614" s="1115">
        <v>45156</v>
      </c>
      <c r="C5614" s="242">
        <f t="shared" si="175"/>
        <v>8</v>
      </c>
      <c r="D5614" s="242">
        <v>67.3</v>
      </c>
      <c r="E5614" s="845">
        <f t="shared" si="176"/>
        <v>19.611111111111111</v>
      </c>
    </row>
    <row r="5615" spans="2:5">
      <c r="B5615" s="1115">
        <v>45156</v>
      </c>
      <c r="C5615" s="242">
        <f t="shared" si="175"/>
        <v>8</v>
      </c>
      <c r="D5615" s="242">
        <v>67.5</v>
      </c>
      <c r="E5615" s="845">
        <f t="shared" si="176"/>
        <v>19.722222222222221</v>
      </c>
    </row>
    <row r="5616" spans="2:5">
      <c r="B5616" s="1115">
        <v>45156</v>
      </c>
      <c r="C5616" s="242">
        <f t="shared" si="175"/>
        <v>8</v>
      </c>
      <c r="D5616" s="242">
        <v>66.2</v>
      </c>
      <c r="E5616" s="845">
        <f t="shared" si="176"/>
        <v>19</v>
      </c>
    </row>
    <row r="5617" spans="2:5">
      <c r="B5617" s="1115">
        <v>45156</v>
      </c>
      <c r="C5617" s="242">
        <f t="shared" si="175"/>
        <v>8</v>
      </c>
      <c r="D5617" s="242">
        <v>65.7</v>
      </c>
      <c r="E5617" s="845">
        <f t="shared" si="176"/>
        <v>18.722222222222225</v>
      </c>
    </row>
    <row r="5618" spans="2:5">
      <c r="B5618" s="1115">
        <v>45156</v>
      </c>
      <c r="C5618" s="242">
        <f t="shared" si="175"/>
        <v>8</v>
      </c>
      <c r="D5618" s="242">
        <v>65.5</v>
      </c>
      <c r="E5618" s="845">
        <f t="shared" si="176"/>
        <v>18.611111111111111</v>
      </c>
    </row>
    <row r="5619" spans="2:5">
      <c r="B5619" s="1115">
        <v>45156</v>
      </c>
      <c r="C5619" s="242">
        <f t="shared" si="175"/>
        <v>8</v>
      </c>
      <c r="D5619" s="242">
        <v>65.5</v>
      </c>
      <c r="E5619" s="845">
        <f t="shared" si="176"/>
        <v>18.611111111111111</v>
      </c>
    </row>
    <row r="5620" spans="2:5">
      <c r="B5620" s="1115">
        <v>45156</v>
      </c>
      <c r="C5620" s="242">
        <f t="shared" si="175"/>
        <v>8</v>
      </c>
      <c r="D5620" s="242">
        <v>64.400000000000006</v>
      </c>
      <c r="E5620" s="845">
        <f t="shared" si="176"/>
        <v>18.000000000000004</v>
      </c>
    </row>
    <row r="5621" spans="2:5">
      <c r="B5621" s="1115">
        <v>45156</v>
      </c>
      <c r="C5621" s="242">
        <f t="shared" si="175"/>
        <v>8</v>
      </c>
      <c r="D5621" s="242">
        <v>65.3</v>
      </c>
      <c r="E5621" s="845">
        <f t="shared" si="176"/>
        <v>18.499999999999996</v>
      </c>
    </row>
    <row r="5622" spans="2:5">
      <c r="B5622" s="1115">
        <v>45156</v>
      </c>
      <c r="C5622" s="242">
        <f t="shared" si="175"/>
        <v>8</v>
      </c>
      <c r="D5622" s="242">
        <v>64.8</v>
      </c>
      <c r="E5622" s="845">
        <f t="shared" si="176"/>
        <v>18.222222222222221</v>
      </c>
    </row>
    <row r="5623" spans="2:5">
      <c r="B5623" s="1115">
        <v>45156</v>
      </c>
      <c r="C5623" s="242">
        <f t="shared" si="175"/>
        <v>8</v>
      </c>
      <c r="D5623" s="242">
        <v>65.7</v>
      </c>
      <c r="E5623" s="845">
        <f t="shared" si="176"/>
        <v>18.722222222222225</v>
      </c>
    </row>
    <row r="5624" spans="2:5">
      <c r="B5624" s="1115">
        <v>45156</v>
      </c>
      <c r="C5624" s="242">
        <f t="shared" si="175"/>
        <v>8</v>
      </c>
      <c r="D5624" s="242">
        <v>66.599999999999994</v>
      </c>
      <c r="E5624" s="845">
        <f t="shared" si="176"/>
        <v>19.222222222222218</v>
      </c>
    </row>
    <row r="5625" spans="2:5">
      <c r="B5625" s="1115">
        <v>45157</v>
      </c>
      <c r="C5625" s="242">
        <f t="shared" si="175"/>
        <v>8</v>
      </c>
      <c r="D5625" s="242">
        <v>67.099999999999994</v>
      </c>
      <c r="E5625" s="845">
        <f t="shared" si="176"/>
        <v>19.499999999999996</v>
      </c>
    </row>
    <row r="5626" spans="2:5">
      <c r="B5626" s="1115">
        <v>45157</v>
      </c>
      <c r="C5626" s="242">
        <f t="shared" si="175"/>
        <v>8</v>
      </c>
      <c r="D5626" s="242">
        <v>67.599999999999994</v>
      </c>
      <c r="E5626" s="845">
        <f t="shared" si="176"/>
        <v>19.777777777777775</v>
      </c>
    </row>
    <row r="5627" spans="2:5">
      <c r="B5627" s="1115">
        <v>45157</v>
      </c>
      <c r="C5627" s="242">
        <f t="shared" si="175"/>
        <v>8</v>
      </c>
      <c r="D5627" s="242">
        <v>67.8</v>
      </c>
      <c r="E5627" s="845">
        <f t="shared" si="176"/>
        <v>19.888888888888886</v>
      </c>
    </row>
    <row r="5628" spans="2:5">
      <c r="B5628" s="1115">
        <v>45157</v>
      </c>
      <c r="C5628" s="242">
        <f t="shared" si="175"/>
        <v>8</v>
      </c>
      <c r="D5628" s="242">
        <v>67.099999999999994</v>
      </c>
      <c r="E5628" s="845">
        <f t="shared" si="176"/>
        <v>19.499999999999996</v>
      </c>
    </row>
    <row r="5629" spans="2:5">
      <c r="B5629" s="1115">
        <v>45157</v>
      </c>
      <c r="C5629" s="242">
        <f t="shared" si="175"/>
        <v>8</v>
      </c>
      <c r="D5629" s="242">
        <v>66.2</v>
      </c>
      <c r="E5629" s="845">
        <f t="shared" si="176"/>
        <v>19</v>
      </c>
    </row>
    <row r="5630" spans="2:5">
      <c r="B5630" s="1115">
        <v>45157</v>
      </c>
      <c r="C5630" s="242">
        <f t="shared" si="175"/>
        <v>8</v>
      </c>
      <c r="D5630" s="242">
        <v>65.8</v>
      </c>
      <c r="E5630" s="845">
        <f t="shared" si="176"/>
        <v>18.777777777777775</v>
      </c>
    </row>
    <row r="5631" spans="2:5">
      <c r="B5631" s="1115">
        <v>45157</v>
      </c>
      <c r="C5631" s="242">
        <f t="shared" si="175"/>
        <v>8</v>
      </c>
      <c r="D5631" s="242">
        <v>64.900000000000006</v>
      </c>
      <c r="E5631" s="845">
        <f t="shared" si="176"/>
        <v>18.277777777777782</v>
      </c>
    </row>
    <row r="5632" spans="2:5">
      <c r="B5632" s="1115">
        <v>45157</v>
      </c>
      <c r="C5632" s="242">
        <f t="shared" si="175"/>
        <v>8</v>
      </c>
      <c r="D5632" s="242">
        <v>64.599999999999994</v>
      </c>
      <c r="E5632" s="845">
        <f t="shared" si="176"/>
        <v>18.111111111111107</v>
      </c>
    </row>
    <row r="5633" spans="2:5">
      <c r="B5633" s="1115">
        <v>45157</v>
      </c>
      <c r="C5633" s="242">
        <f t="shared" si="175"/>
        <v>8</v>
      </c>
      <c r="D5633" s="242">
        <v>65.099999999999994</v>
      </c>
      <c r="E5633" s="845">
        <f t="shared" si="176"/>
        <v>18.388888888888886</v>
      </c>
    </row>
    <row r="5634" spans="2:5">
      <c r="B5634" s="1115">
        <v>45157</v>
      </c>
      <c r="C5634" s="242">
        <f t="shared" si="175"/>
        <v>8</v>
      </c>
      <c r="D5634" s="242">
        <v>64.599999999999994</v>
      </c>
      <c r="E5634" s="845">
        <f t="shared" si="176"/>
        <v>18.111111111111107</v>
      </c>
    </row>
    <row r="5635" spans="2:5">
      <c r="B5635" s="1115">
        <v>45157</v>
      </c>
      <c r="C5635" s="242">
        <f t="shared" si="175"/>
        <v>8</v>
      </c>
      <c r="D5635" s="242">
        <v>65.3</v>
      </c>
      <c r="E5635" s="845">
        <f t="shared" si="176"/>
        <v>18.499999999999996</v>
      </c>
    </row>
    <row r="5636" spans="2:5">
      <c r="B5636" s="1115">
        <v>45157</v>
      </c>
      <c r="C5636" s="242">
        <f t="shared" si="175"/>
        <v>8</v>
      </c>
      <c r="D5636" s="242">
        <v>66.2</v>
      </c>
      <c r="E5636" s="845">
        <f t="shared" si="176"/>
        <v>19</v>
      </c>
    </row>
    <row r="5637" spans="2:5">
      <c r="B5637" s="1115">
        <v>45157</v>
      </c>
      <c r="C5637" s="242">
        <f t="shared" si="175"/>
        <v>8</v>
      </c>
      <c r="D5637" s="242">
        <v>66.900000000000006</v>
      </c>
      <c r="E5637" s="845">
        <f t="shared" si="176"/>
        <v>19.388888888888893</v>
      </c>
    </row>
    <row r="5638" spans="2:5">
      <c r="B5638" s="1115">
        <v>45157</v>
      </c>
      <c r="C5638" s="242">
        <f t="shared" si="175"/>
        <v>8</v>
      </c>
      <c r="D5638" s="242">
        <v>67.5</v>
      </c>
      <c r="E5638" s="845">
        <f t="shared" si="176"/>
        <v>19.722222222222221</v>
      </c>
    </row>
    <row r="5639" spans="2:5">
      <c r="B5639" s="1115">
        <v>45157</v>
      </c>
      <c r="C5639" s="242">
        <f t="shared" si="175"/>
        <v>8</v>
      </c>
      <c r="D5639" s="242">
        <v>67.8</v>
      </c>
      <c r="E5639" s="845">
        <f t="shared" si="176"/>
        <v>19.888888888888886</v>
      </c>
    </row>
    <row r="5640" spans="2:5">
      <c r="B5640" s="1115">
        <v>45157</v>
      </c>
      <c r="C5640" s="242">
        <f t="shared" si="175"/>
        <v>8</v>
      </c>
      <c r="D5640" s="242">
        <v>67.599999999999994</v>
      </c>
      <c r="E5640" s="845">
        <f t="shared" si="176"/>
        <v>19.777777777777775</v>
      </c>
    </row>
    <row r="5641" spans="2:5">
      <c r="B5641" s="1115">
        <v>45157</v>
      </c>
      <c r="C5641" s="242">
        <f t="shared" si="175"/>
        <v>8</v>
      </c>
      <c r="D5641" s="242">
        <v>66.7</v>
      </c>
      <c r="E5641" s="845">
        <f t="shared" si="176"/>
        <v>19.277777777777779</v>
      </c>
    </row>
    <row r="5642" spans="2:5">
      <c r="B5642" s="1115">
        <v>45157</v>
      </c>
      <c r="C5642" s="242">
        <f t="shared" ref="C5642:C5705" si="177">MONTH(B5642)</f>
        <v>8</v>
      </c>
      <c r="D5642" s="242">
        <v>64.900000000000006</v>
      </c>
      <c r="E5642" s="845">
        <f t="shared" ref="E5642:E5705" si="178">CONVERT(D5642,"F","C")</f>
        <v>18.277777777777782</v>
      </c>
    </row>
    <row r="5643" spans="2:5">
      <c r="B5643" s="1115">
        <v>45157</v>
      </c>
      <c r="C5643" s="242">
        <f t="shared" si="177"/>
        <v>8</v>
      </c>
      <c r="D5643" s="242">
        <v>63.3</v>
      </c>
      <c r="E5643" s="845">
        <f t="shared" si="178"/>
        <v>17.388888888888886</v>
      </c>
    </row>
    <row r="5644" spans="2:5">
      <c r="B5644" s="1115">
        <v>45157</v>
      </c>
      <c r="C5644" s="242">
        <f t="shared" si="177"/>
        <v>8</v>
      </c>
      <c r="D5644" s="242">
        <v>62.1</v>
      </c>
      <c r="E5644" s="845">
        <f t="shared" si="178"/>
        <v>16.722222222222221</v>
      </c>
    </row>
    <row r="5645" spans="2:5">
      <c r="B5645" s="1115">
        <v>45157</v>
      </c>
      <c r="C5645" s="242">
        <f t="shared" si="177"/>
        <v>8</v>
      </c>
      <c r="D5645" s="242">
        <v>61.7</v>
      </c>
      <c r="E5645" s="845">
        <f t="shared" si="178"/>
        <v>16.5</v>
      </c>
    </row>
    <row r="5646" spans="2:5">
      <c r="B5646" s="1115">
        <v>45157</v>
      </c>
      <c r="C5646" s="242">
        <f t="shared" si="177"/>
        <v>8</v>
      </c>
      <c r="D5646" s="242">
        <v>62.1</v>
      </c>
      <c r="E5646" s="845">
        <f t="shared" si="178"/>
        <v>16.722222222222221</v>
      </c>
    </row>
    <row r="5647" spans="2:5">
      <c r="B5647" s="1115">
        <v>45157</v>
      </c>
      <c r="C5647" s="242">
        <f t="shared" si="177"/>
        <v>8</v>
      </c>
      <c r="D5647" s="242">
        <v>63.3</v>
      </c>
      <c r="E5647" s="845">
        <f t="shared" si="178"/>
        <v>17.388888888888886</v>
      </c>
    </row>
    <row r="5648" spans="2:5">
      <c r="B5648" s="1115">
        <v>45157</v>
      </c>
      <c r="C5648" s="242">
        <f t="shared" si="177"/>
        <v>8</v>
      </c>
      <c r="D5648" s="242">
        <v>64.900000000000006</v>
      </c>
      <c r="E5648" s="845">
        <f t="shared" si="178"/>
        <v>18.277777777777782</v>
      </c>
    </row>
    <row r="5649" spans="2:5">
      <c r="B5649" s="1115">
        <v>45158</v>
      </c>
      <c r="C5649" s="242">
        <f t="shared" si="177"/>
        <v>8</v>
      </c>
      <c r="D5649" s="242">
        <v>66.599999999999994</v>
      </c>
      <c r="E5649" s="845">
        <f t="shared" si="178"/>
        <v>19.222222222222218</v>
      </c>
    </row>
    <row r="5650" spans="2:5">
      <c r="B5650" s="1115">
        <v>45158</v>
      </c>
      <c r="C5650" s="242">
        <f t="shared" si="177"/>
        <v>8</v>
      </c>
      <c r="D5650" s="242">
        <v>67.5</v>
      </c>
      <c r="E5650" s="845">
        <f t="shared" si="178"/>
        <v>19.722222222222221</v>
      </c>
    </row>
    <row r="5651" spans="2:5">
      <c r="B5651" s="1115">
        <v>45158</v>
      </c>
      <c r="C5651" s="242">
        <f t="shared" si="177"/>
        <v>8</v>
      </c>
      <c r="D5651" s="242">
        <v>67.8</v>
      </c>
      <c r="E5651" s="845">
        <f t="shared" si="178"/>
        <v>19.888888888888886</v>
      </c>
    </row>
    <row r="5652" spans="2:5">
      <c r="B5652" s="1115">
        <v>45158</v>
      </c>
      <c r="C5652" s="242">
        <f t="shared" si="177"/>
        <v>8</v>
      </c>
      <c r="D5652" s="242">
        <v>67.5</v>
      </c>
      <c r="E5652" s="845">
        <f t="shared" si="178"/>
        <v>19.722222222222221</v>
      </c>
    </row>
    <row r="5653" spans="2:5">
      <c r="B5653" s="1115">
        <v>45158</v>
      </c>
      <c r="C5653" s="242">
        <f t="shared" si="177"/>
        <v>8</v>
      </c>
      <c r="D5653" s="242">
        <v>66.2</v>
      </c>
      <c r="E5653" s="845">
        <f t="shared" si="178"/>
        <v>19</v>
      </c>
    </row>
    <row r="5654" spans="2:5">
      <c r="B5654" s="1115">
        <v>45158</v>
      </c>
      <c r="C5654" s="242">
        <f t="shared" si="177"/>
        <v>8</v>
      </c>
      <c r="D5654" s="242">
        <v>62.6</v>
      </c>
      <c r="E5654" s="845">
        <f t="shared" si="178"/>
        <v>17</v>
      </c>
    </row>
    <row r="5655" spans="2:5">
      <c r="B5655" s="1115">
        <v>45158</v>
      </c>
      <c r="C5655" s="242">
        <f t="shared" si="177"/>
        <v>8</v>
      </c>
      <c r="D5655" s="242">
        <v>61.5</v>
      </c>
      <c r="E5655" s="845">
        <f t="shared" si="178"/>
        <v>16.388888888888889</v>
      </c>
    </row>
    <row r="5656" spans="2:5">
      <c r="B5656" s="1115">
        <v>45158</v>
      </c>
      <c r="C5656" s="242">
        <f t="shared" si="177"/>
        <v>8</v>
      </c>
      <c r="D5656" s="242">
        <v>59.5</v>
      </c>
      <c r="E5656" s="845">
        <f t="shared" si="178"/>
        <v>15.277777777777777</v>
      </c>
    </row>
    <row r="5657" spans="2:5">
      <c r="B5657" s="1115">
        <v>45158</v>
      </c>
      <c r="C5657" s="242">
        <f t="shared" si="177"/>
        <v>8</v>
      </c>
      <c r="D5657" s="242">
        <v>58.8</v>
      </c>
      <c r="E5657" s="845">
        <f t="shared" si="178"/>
        <v>14.888888888888888</v>
      </c>
    </row>
    <row r="5658" spans="2:5">
      <c r="B5658" s="1115">
        <v>45158</v>
      </c>
      <c r="C5658" s="242">
        <f t="shared" si="177"/>
        <v>8</v>
      </c>
      <c r="D5658" s="242">
        <v>59.4</v>
      </c>
      <c r="E5658" s="845">
        <f t="shared" si="178"/>
        <v>15.222222222222221</v>
      </c>
    </row>
    <row r="5659" spans="2:5">
      <c r="B5659" s="1115">
        <v>45158</v>
      </c>
      <c r="C5659" s="242">
        <f t="shared" si="177"/>
        <v>8</v>
      </c>
      <c r="D5659" s="242">
        <v>59.9</v>
      </c>
      <c r="E5659" s="845">
        <f t="shared" si="178"/>
        <v>15.499999999999998</v>
      </c>
    </row>
    <row r="5660" spans="2:5">
      <c r="B5660" s="1115">
        <v>45158</v>
      </c>
      <c r="C5660" s="242">
        <f t="shared" si="177"/>
        <v>8</v>
      </c>
      <c r="D5660" s="242">
        <v>61.5</v>
      </c>
      <c r="E5660" s="845">
        <f t="shared" si="178"/>
        <v>16.388888888888889</v>
      </c>
    </row>
    <row r="5661" spans="2:5">
      <c r="B5661" s="1115">
        <v>45158</v>
      </c>
      <c r="C5661" s="242">
        <f t="shared" si="177"/>
        <v>8</v>
      </c>
      <c r="D5661" s="242">
        <v>64.400000000000006</v>
      </c>
      <c r="E5661" s="845">
        <f t="shared" si="178"/>
        <v>18.000000000000004</v>
      </c>
    </row>
    <row r="5662" spans="2:5">
      <c r="B5662" s="1115">
        <v>45158</v>
      </c>
      <c r="C5662" s="242">
        <f t="shared" si="177"/>
        <v>8</v>
      </c>
      <c r="D5662" s="242" t="s">
        <v>1853</v>
      </c>
      <c r="E5662" s="845">
        <f t="shared" si="178"/>
        <v>18.888888888888889</v>
      </c>
    </row>
    <row r="5663" spans="2:5">
      <c r="B5663" s="1115">
        <v>45158</v>
      </c>
      <c r="C5663" s="242">
        <f t="shared" si="177"/>
        <v>8</v>
      </c>
      <c r="D5663" s="242">
        <v>66.7</v>
      </c>
      <c r="E5663" s="845">
        <f t="shared" si="178"/>
        <v>19.277777777777779</v>
      </c>
    </row>
    <row r="5664" spans="2:5">
      <c r="B5664" s="1115">
        <v>45158</v>
      </c>
      <c r="C5664" s="242">
        <f t="shared" si="177"/>
        <v>8</v>
      </c>
      <c r="D5664" s="242">
        <v>67.099999999999994</v>
      </c>
      <c r="E5664" s="845">
        <f t="shared" si="178"/>
        <v>19.499999999999996</v>
      </c>
    </row>
    <row r="5665" spans="2:5">
      <c r="B5665" s="1115">
        <v>45158</v>
      </c>
      <c r="C5665" s="242">
        <f t="shared" si="177"/>
        <v>8</v>
      </c>
      <c r="D5665" s="242">
        <v>66.2</v>
      </c>
      <c r="E5665" s="845">
        <f t="shared" si="178"/>
        <v>19</v>
      </c>
    </row>
    <row r="5666" spans="2:5">
      <c r="B5666" s="1115">
        <v>45158</v>
      </c>
      <c r="C5666" s="242">
        <f t="shared" si="177"/>
        <v>8</v>
      </c>
      <c r="D5666" s="242">
        <v>63.1</v>
      </c>
      <c r="E5666" s="845">
        <f t="shared" si="178"/>
        <v>17.277777777777779</v>
      </c>
    </row>
    <row r="5667" spans="2:5">
      <c r="B5667" s="1115">
        <v>45158</v>
      </c>
      <c r="C5667" s="242">
        <f t="shared" si="177"/>
        <v>8</v>
      </c>
      <c r="D5667" s="242">
        <v>61.5</v>
      </c>
      <c r="E5667" s="845">
        <f t="shared" si="178"/>
        <v>16.388888888888889</v>
      </c>
    </row>
    <row r="5668" spans="2:5">
      <c r="B5668" s="1115">
        <v>45158</v>
      </c>
      <c r="C5668" s="242">
        <f t="shared" si="177"/>
        <v>8</v>
      </c>
      <c r="D5668" s="242">
        <v>59.2</v>
      </c>
      <c r="E5668" s="845">
        <f t="shared" si="178"/>
        <v>15.111111111111112</v>
      </c>
    </row>
    <row r="5669" spans="2:5">
      <c r="B5669" s="1115">
        <v>45158</v>
      </c>
      <c r="C5669" s="242">
        <f t="shared" si="177"/>
        <v>8</v>
      </c>
      <c r="D5669" s="242">
        <v>57.9</v>
      </c>
      <c r="E5669" s="845">
        <f t="shared" si="178"/>
        <v>14.388888888888888</v>
      </c>
    </row>
    <row r="5670" spans="2:5">
      <c r="B5670" s="1115">
        <v>45158</v>
      </c>
      <c r="C5670" s="242">
        <f t="shared" si="177"/>
        <v>8</v>
      </c>
      <c r="D5670" s="242">
        <v>60.8</v>
      </c>
      <c r="E5670" s="845">
        <f t="shared" si="178"/>
        <v>15.999999999999998</v>
      </c>
    </row>
    <row r="5671" spans="2:5">
      <c r="B5671" s="1115">
        <v>45158</v>
      </c>
      <c r="C5671" s="242">
        <f t="shared" si="177"/>
        <v>8</v>
      </c>
      <c r="D5671" s="242">
        <v>58.8</v>
      </c>
      <c r="E5671" s="845">
        <f t="shared" si="178"/>
        <v>14.888888888888888</v>
      </c>
    </row>
    <row r="5672" spans="2:5">
      <c r="B5672" s="1115">
        <v>45158</v>
      </c>
      <c r="C5672" s="242">
        <f t="shared" si="177"/>
        <v>8</v>
      </c>
      <c r="D5672" s="242">
        <v>60.4</v>
      </c>
      <c r="E5672" s="845">
        <f t="shared" si="178"/>
        <v>15.777777777777777</v>
      </c>
    </row>
    <row r="5673" spans="2:5">
      <c r="B5673" s="1115">
        <v>45159</v>
      </c>
      <c r="C5673" s="242">
        <f t="shared" si="177"/>
        <v>8</v>
      </c>
      <c r="D5673" s="242">
        <v>63.1</v>
      </c>
      <c r="E5673" s="845">
        <f t="shared" si="178"/>
        <v>17.277777777777779</v>
      </c>
    </row>
    <row r="5674" spans="2:5">
      <c r="B5674" s="1115">
        <v>45159</v>
      </c>
      <c r="C5674" s="242">
        <f t="shared" si="177"/>
        <v>8</v>
      </c>
      <c r="D5674" s="242">
        <v>65.3</v>
      </c>
      <c r="E5674" s="845">
        <f t="shared" si="178"/>
        <v>18.499999999999996</v>
      </c>
    </row>
    <row r="5675" spans="2:5">
      <c r="B5675" s="1115">
        <v>45159</v>
      </c>
      <c r="C5675" s="242">
        <f t="shared" si="177"/>
        <v>8</v>
      </c>
      <c r="D5675" s="242">
        <v>66.400000000000006</v>
      </c>
      <c r="E5675" s="845">
        <f t="shared" si="178"/>
        <v>19.111111111111114</v>
      </c>
    </row>
    <row r="5676" spans="2:5">
      <c r="B5676" s="1115">
        <v>45159</v>
      </c>
      <c r="C5676" s="242">
        <f t="shared" si="177"/>
        <v>8</v>
      </c>
      <c r="D5676" s="242">
        <v>66.900000000000006</v>
      </c>
      <c r="E5676" s="845">
        <f t="shared" si="178"/>
        <v>19.388888888888893</v>
      </c>
    </row>
    <row r="5677" spans="2:5">
      <c r="B5677" s="1115">
        <v>45159</v>
      </c>
      <c r="C5677" s="242">
        <f t="shared" si="177"/>
        <v>8</v>
      </c>
      <c r="D5677" s="242" t="s">
        <v>1853</v>
      </c>
      <c r="E5677" s="845">
        <f t="shared" si="178"/>
        <v>18.888888888888889</v>
      </c>
    </row>
    <row r="5678" spans="2:5">
      <c r="B5678" s="1115">
        <v>45159</v>
      </c>
      <c r="C5678" s="242">
        <f t="shared" si="177"/>
        <v>8</v>
      </c>
      <c r="D5678" s="242">
        <v>62.8</v>
      </c>
      <c r="E5678" s="845">
        <f t="shared" si="178"/>
        <v>17.111111111111111</v>
      </c>
    </row>
    <row r="5679" spans="2:5">
      <c r="B5679" s="1115">
        <v>45159</v>
      </c>
      <c r="C5679" s="242">
        <f t="shared" si="177"/>
        <v>8</v>
      </c>
      <c r="D5679" s="242" t="s">
        <v>1850</v>
      </c>
      <c r="E5679" s="845">
        <f t="shared" si="178"/>
        <v>16.111111111111111</v>
      </c>
    </row>
    <row r="5680" spans="2:5">
      <c r="B5680" s="1115">
        <v>45159</v>
      </c>
      <c r="C5680" s="242">
        <f t="shared" si="177"/>
        <v>8</v>
      </c>
      <c r="D5680" s="242">
        <v>58.5</v>
      </c>
      <c r="E5680" s="845">
        <f t="shared" si="178"/>
        <v>14.722222222222221</v>
      </c>
    </row>
    <row r="5681" spans="2:5">
      <c r="B5681" s="1115">
        <v>45159</v>
      </c>
      <c r="C5681" s="242">
        <f t="shared" si="177"/>
        <v>8</v>
      </c>
      <c r="D5681" s="242">
        <v>57.6</v>
      </c>
      <c r="E5681" s="845">
        <f t="shared" si="178"/>
        <v>14.222222222222223</v>
      </c>
    </row>
    <row r="5682" spans="2:5">
      <c r="B5682" s="1115">
        <v>45159</v>
      </c>
      <c r="C5682" s="242">
        <f t="shared" si="177"/>
        <v>8</v>
      </c>
      <c r="D5682" s="242">
        <v>56.7</v>
      </c>
      <c r="E5682" s="845">
        <f t="shared" si="178"/>
        <v>13.722222222222223</v>
      </c>
    </row>
    <row r="5683" spans="2:5">
      <c r="B5683" s="1115">
        <v>45159</v>
      </c>
      <c r="C5683" s="242">
        <f t="shared" si="177"/>
        <v>8</v>
      </c>
      <c r="D5683" s="242">
        <v>57.7</v>
      </c>
      <c r="E5683" s="845">
        <f t="shared" si="178"/>
        <v>14.277777777777779</v>
      </c>
    </row>
    <row r="5684" spans="2:5">
      <c r="B5684" s="1115">
        <v>45159</v>
      </c>
      <c r="C5684" s="242">
        <f t="shared" si="177"/>
        <v>8</v>
      </c>
      <c r="D5684" s="242">
        <v>58.8</v>
      </c>
      <c r="E5684" s="845">
        <f t="shared" si="178"/>
        <v>14.888888888888888</v>
      </c>
    </row>
    <row r="5685" spans="2:5">
      <c r="B5685" s="1115">
        <v>45159</v>
      </c>
      <c r="C5685" s="242">
        <f t="shared" si="177"/>
        <v>8</v>
      </c>
      <c r="D5685" s="242">
        <v>61.2</v>
      </c>
      <c r="E5685" s="845">
        <f t="shared" si="178"/>
        <v>16.222222222222225</v>
      </c>
    </row>
    <row r="5686" spans="2:5">
      <c r="B5686" s="1115">
        <v>45159</v>
      </c>
      <c r="C5686" s="242">
        <f t="shared" si="177"/>
        <v>8</v>
      </c>
      <c r="D5686" s="242" t="s">
        <v>1852</v>
      </c>
      <c r="E5686" s="845">
        <f t="shared" si="178"/>
        <v>17.777777777777779</v>
      </c>
    </row>
    <row r="5687" spans="2:5">
      <c r="B5687" s="1115">
        <v>45159</v>
      </c>
      <c r="C5687" s="242">
        <f t="shared" si="177"/>
        <v>8</v>
      </c>
      <c r="D5687" s="242">
        <v>65.5</v>
      </c>
      <c r="E5687" s="845">
        <f t="shared" si="178"/>
        <v>18.611111111111111</v>
      </c>
    </row>
    <row r="5688" spans="2:5">
      <c r="B5688" s="1115">
        <v>45159</v>
      </c>
      <c r="C5688" s="242">
        <f t="shared" si="177"/>
        <v>8</v>
      </c>
      <c r="D5688" s="242">
        <v>66.2</v>
      </c>
      <c r="E5688" s="845">
        <f t="shared" si="178"/>
        <v>19</v>
      </c>
    </row>
    <row r="5689" spans="2:5">
      <c r="B5689" s="1115">
        <v>45159</v>
      </c>
      <c r="C5689" s="242">
        <f t="shared" si="177"/>
        <v>8</v>
      </c>
      <c r="D5689" s="242">
        <v>65.099999999999994</v>
      </c>
      <c r="E5689" s="845">
        <f t="shared" si="178"/>
        <v>18.388888888888886</v>
      </c>
    </row>
    <row r="5690" spans="2:5">
      <c r="B5690" s="1115">
        <v>45159</v>
      </c>
      <c r="C5690" s="242">
        <f t="shared" si="177"/>
        <v>8</v>
      </c>
      <c r="D5690" s="242">
        <v>62.6</v>
      </c>
      <c r="E5690" s="845">
        <f t="shared" si="178"/>
        <v>17</v>
      </c>
    </row>
    <row r="5691" spans="2:5">
      <c r="B5691" s="1115">
        <v>45159</v>
      </c>
      <c r="C5691" s="242">
        <f t="shared" si="177"/>
        <v>8</v>
      </c>
      <c r="D5691" s="242">
        <v>59.9</v>
      </c>
      <c r="E5691" s="845">
        <f t="shared" si="178"/>
        <v>15.499999999999998</v>
      </c>
    </row>
    <row r="5692" spans="2:5">
      <c r="B5692" s="1115">
        <v>45159</v>
      </c>
      <c r="C5692" s="242">
        <f t="shared" si="177"/>
        <v>8</v>
      </c>
      <c r="D5692" s="242">
        <v>58.8</v>
      </c>
      <c r="E5692" s="845">
        <f t="shared" si="178"/>
        <v>14.888888888888888</v>
      </c>
    </row>
    <row r="5693" spans="2:5">
      <c r="B5693" s="1115">
        <v>45159</v>
      </c>
      <c r="C5693" s="242">
        <f t="shared" si="177"/>
        <v>8</v>
      </c>
      <c r="D5693" s="242">
        <v>57.2</v>
      </c>
      <c r="E5693" s="845">
        <f t="shared" si="178"/>
        <v>14.000000000000002</v>
      </c>
    </row>
    <row r="5694" spans="2:5">
      <c r="B5694" s="1115">
        <v>45159</v>
      </c>
      <c r="C5694" s="242">
        <f t="shared" si="177"/>
        <v>8</v>
      </c>
      <c r="D5694" s="242">
        <v>56.7</v>
      </c>
      <c r="E5694" s="845">
        <f t="shared" si="178"/>
        <v>13.722222222222223</v>
      </c>
    </row>
    <row r="5695" spans="2:5">
      <c r="B5695" s="1115">
        <v>45159</v>
      </c>
      <c r="C5695" s="242">
        <f t="shared" si="177"/>
        <v>8</v>
      </c>
      <c r="D5695" s="242">
        <v>57.6</v>
      </c>
      <c r="E5695" s="845">
        <f t="shared" si="178"/>
        <v>14.222222222222223</v>
      </c>
    </row>
    <row r="5696" spans="2:5">
      <c r="B5696" s="1115">
        <v>45159</v>
      </c>
      <c r="C5696" s="242">
        <f t="shared" si="177"/>
        <v>8</v>
      </c>
      <c r="D5696" s="242">
        <v>58.1</v>
      </c>
      <c r="E5696" s="845">
        <f t="shared" si="178"/>
        <v>14.5</v>
      </c>
    </row>
    <row r="5697" spans="2:5">
      <c r="B5697" s="1115">
        <v>45160</v>
      </c>
      <c r="C5697" s="242">
        <f t="shared" si="177"/>
        <v>8</v>
      </c>
      <c r="D5697" s="242">
        <v>59.7</v>
      </c>
      <c r="E5697" s="845">
        <f t="shared" si="178"/>
        <v>15.388888888888889</v>
      </c>
    </row>
    <row r="5698" spans="2:5">
      <c r="B5698" s="1115">
        <v>45160</v>
      </c>
      <c r="C5698" s="242">
        <f t="shared" si="177"/>
        <v>8</v>
      </c>
      <c r="D5698" s="242">
        <v>62.8</v>
      </c>
      <c r="E5698" s="845">
        <f t="shared" si="178"/>
        <v>17.111111111111111</v>
      </c>
    </row>
    <row r="5699" spans="2:5">
      <c r="B5699" s="1115">
        <v>45160</v>
      </c>
      <c r="C5699" s="242">
        <f t="shared" si="177"/>
        <v>8</v>
      </c>
      <c r="D5699" s="242">
        <v>64.8</v>
      </c>
      <c r="E5699" s="845">
        <f t="shared" si="178"/>
        <v>18.222222222222221</v>
      </c>
    </row>
    <row r="5700" spans="2:5">
      <c r="B5700" s="1115">
        <v>45160</v>
      </c>
      <c r="C5700" s="242">
        <f t="shared" si="177"/>
        <v>8</v>
      </c>
      <c r="D5700" s="242">
        <v>65.7</v>
      </c>
      <c r="E5700" s="845">
        <f t="shared" si="178"/>
        <v>18.722222222222225</v>
      </c>
    </row>
    <row r="5701" spans="2:5">
      <c r="B5701" s="1115">
        <v>45160</v>
      </c>
      <c r="C5701" s="242">
        <f t="shared" si="177"/>
        <v>8</v>
      </c>
      <c r="D5701" s="242">
        <v>65.8</v>
      </c>
      <c r="E5701" s="845">
        <f t="shared" si="178"/>
        <v>18.777777777777775</v>
      </c>
    </row>
    <row r="5702" spans="2:5">
      <c r="B5702" s="1115">
        <v>45160</v>
      </c>
      <c r="C5702" s="242">
        <f t="shared" si="177"/>
        <v>8</v>
      </c>
      <c r="D5702" s="242">
        <v>64.8</v>
      </c>
      <c r="E5702" s="845">
        <f t="shared" si="178"/>
        <v>18.222222222222221</v>
      </c>
    </row>
    <row r="5703" spans="2:5">
      <c r="B5703" s="1115">
        <v>45160</v>
      </c>
      <c r="C5703" s="242">
        <f t="shared" si="177"/>
        <v>8</v>
      </c>
      <c r="D5703" s="242" t="s">
        <v>1850</v>
      </c>
      <c r="E5703" s="845">
        <f t="shared" si="178"/>
        <v>16.111111111111111</v>
      </c>
    </row>
    <row r="5704" spans="2:5">
      <c r="B5704" s="1115">
        <v>45160</v>
      </c>
      <c r="C5704" s="242">
        <f t="shared" si="177"/>
        <v>8</v>
      </c>
      <c r="D5704" s="242">
        <v>59.7</v>
      </c>
      <c r="E5704" s="845">
        <f t="shared" si="178"/>
        <v>15.388888888888889</v>
      </c>
    </row>
    <row r="5705" spans="2:5">
      <c r="B5705" s="1115">
        <v>45160</v>
      </c>
      <c r="C5705" s="242">
        <f t="shared" si="177"/>
        <v>8</v>
      </c>
      <c r="D5705" s="242">
        <v>58.3</v>
      </c>
      <c r="E5705" s="845">
        <f t="shared" si="178"/>
        <v>14.611111111111109</v>
      </c>
    </row>
    <row r="5706" spans="2:5">
      <c r="B5706" s="1115">
        <v>45160</v>
      </c>
      <c r="C5706" s="242">
        <f t="shared" ref="C5706:C5769" si="179">MONTH(B5706)</f>
        <v>8</v>
      </c>
      <c r="D5706" s="242">
        <v>57.2</v>
      </c>
      <c r="E5706" s="845">
        <f t="shared" ref="E5706:E5769" si="180">CONVERT(D5706,"F","C")</f>
        <v>14.000000000000002</v>
      </c>
    </row>
    <row r="5707" spans="2:5">
      <c r="B5707" s="1115">
        <v>45160</v>
      </c>
      <c r="C5707" s="242">
        <f t="shared" si="179"/>
        <v>8</v>
      </c>
      <c r="D5707" s="242">
        <v>57.7</v>
      </c>
      <c r="E5707" s="845">
        <f t="shared" si="180"/>
        <v>14.277777777777779</v>
      </c>
    </row>
    <row r="5708" spans="2:5">
      <c r="B5708" s="1115">
        <v>45160</v>
      </c>
      <c r="C5708" s="242">
        <f t="shared" si="179"/>
        <v>8</v>
      </c>
      <c r="D5708" s="242">
        <v>57.7</v>
      </c>
      <c r="E5708" s="845">
        <f t="shared" si="180"/>
        <v>14.277777777777779</v>
      </c>
    </row>
    <row r="5709" spans="2:5">
      <c r="B5709" s="1115">
        <v>45160</v>
      </c>
      <c r="C5709" s="242">
        <f t="shared" si="179"/>
        <v>8</v>
      </c>
      <c r="D5709" s="242">
        <v>59.5</v>
      </c>
      <c r="E5709" s="845">
        <f t="shared" si="180"/>
        <v>15.277777777777777</v>
      </c>
    </row>
    <row r="5710" spans="2:5">
      <c r="B5710" s="1115">
        <v>45160</v>
      </c>
      <c r="C5710" s="242">
        <f t="shared" si="179"/>
        <v>8</v>
      </c>
      <c r="D5710" s="242">
        <v>61.7</v>
      </c>
      <c r="E5710" s="845">
        <f t="shared" si="180"/>
        <v>16.5</v>
      </c>
    </row>
    <row r="5711" spans="2:5">
      <c r="B5711" s="1115">
        <v>45160</v>
      </c>
      <c r="C5711" s="242">
        <f t="shared" si="179"/>
        <v>8</v>
      </c>
      <c r="D5711" s="242">
        <v>63.9</v>
      </c>
      <c r="E5711" s="845">
        <f t="shared" si="180"/>
        <v>17.722222222222221</v>
      </c>
    </row>
    <row r="5712" spans="2:5">
      <c r="B5712" s="1115">
        <v>45160</v>
      </c>
      <c r="C5712" s="242">
        <f t="shared" si="179"/>
        <v>8</v>
      </c>
      <c r="D5712" s="242">
        <v>64.900000000000006</v>
      </c>
      <c r="E5712" s="845">
        <f t="shared" si="180"/>
        <v>18.277777777777782</v>
      </c>
    </row>
    <row r="5713" spans="2:5">
      <c r="B5713" s="1115">
        <v>45160</v>
      </c>
      <c r="C5713" s="242">
        <f t="shared" si="179"/>
        <v>8</v>
      </c>
      <c r="D5713" s="242">
        <v>65.5</v>
      </c>
      <c r="E5713" s="845">
        <f t="shared" si="180"/>
        <v>18.611111111111111</v>
      </c>
    </row>
    <row r="5714" spans="2:5">
      <c r="B5714" s="1115">
        <v>45160</v>
      </c>
      <c r="C5714" s="242">
        <f t="shared" si="179"/>
        <v>8</v>
      </c>
      <c r="D5714" s="242">
        <v>64.400000000000006</v>
      </c>
      <c r="E5714" s="845">
        <f t="shared" si="180"/>
        <v>18.000000000000004</v>
      </c>
    </row>
    <row r="5715" spans="2:5">
      <c r="B5715" s="1115">
        <v>45160</v>
      </c>
      <c r="C5715" s="242">
        <f t="shared" si="179"/>
        <v>8</v>
      </c>
      <c r="D5715" s="242" t="s">
        <v>1850</v>
      </c>
      <c r="E5715" s="845">
        <f t="shared" si="180"/>
        <v>16.111111111111111</v>
      </c>
    </row>
    <row r="5716" spans="2:5">
      <c r="B5716" s="1115">
        <v>45160</v>
      </c>
      <c r="C5716" s="242">
        <f t="shared" si="179"/>
        <v>8</v>
      </c>
      <c r="D5716" s="242">
        <v>59.9</v>
      </c>
      <c r="E5716" s="845">
        <f t="shared" si="180"/>
        <v>15.499999999999998</v>
      </c>
    </row>
    <row r="5717" spans="2:5">
      <c r="B5717" s="1115">
        <v>45160</v>
      </c>
      <c r="C5717" s="242">
        <f t="shared" si="179"/>
        <v>8</v>
      </c>
      <c r="D5717" s="242">
        <v>58.8</v>
      </c>
      <c r="E5717" s="845">
        <f t="shared" si="180"/>
        <v>14.888888888888888</v>
      </c>
    </row>
    <row r="5718" spans="2:5">
      <c r="B5718" s="1115">
        <v>45160</v>
      </c>
      <c r="C5718" s="242">
        <f t="shared" si="179"/>
        <v>8</v>
      </c>
      <c r="D5718" s="242">
        <v>58.8</v>
      </c>
      <c r="E5718" s="845">
        <f t="shared" si="180"/>
        <v>14.888888888888888</v>
      </c>
    </row>
    <row r="5719" spans="2:5">
      <c r="B5719" s="1115">
        <v>45160</v>
      </c>
      <c r="C5719" s="242">
        <f t="shared" si="179"/>
        <v>8</v>
      </c>
      <c r="D5719" s="242" t="s">
        <v>1849</v>
      </c>
      <c r="E5719" s="845">
        <f t="shared" si="180"/>
        <v>15</v>
      </c>
    </row>
    <row r="5720" spans="2:5">
      <c r="B5720" s="1115">
        <v>45160</v>
      </c>
      <c r="C5720" s="242">
        <f t="shared" si="179"/>
        <v>8</v>
      </c>
      <c r="D5720" s="242">
        <v>59.2</v>
      </c>
      <c r="E5720" s="845">
        <f t="shared" si="180"/>
        <v>15.111111111111112</v>
      </c>
    </row>
    <row r="5721" spans="2:5">
      <c r="B5721" s="1115">
        <v>45161</v>
      </c>
      <c r="C5721" s="242">
        <f t="shared" si="179"/>
        <v>8</v>
      </c>
      <c r="D5721" s="242">
        <v>59.7</v>
      </c>
      <c r="E5721" s="845">
        <f t="shared" si="180"/>
        <v>15.388888888888889</v>
      </c>
    </row>
    <row r="5722" spans="2:5">
      <c r="B5722" s="1115">
        <v>45161</v>
      </c>
      <c r="C5722" s="242">
        <f t="shared" si="179"/>
        <v>8</v>
      </c>
      <c r="D5722" s="242">
        <v>61.2</v>
      </c>
      <c r="E5722" s="845">
        <f t="shared" si="180"/>
        <v>16.222222222222225</v>
      </c>
    </row>
    <row r="5723" spans="2:5">
      <c r="B5723" s="1115">
        <v>45161</v>
      </c>
      <c r="C5723" s="242">
        <f t="shared" si="179"/>
        <v>8</v>
      </c>
      <c r="D5723" s="242">
        <v>63.3</v>
      </c>
      <c r="E5723" s="845">
        <f t="shared" si="180"/>
        <v>17.388888888888886</v>
      </c>
    </row>
    <row r="5724" spans="2:5">
      <c r="B5724" s="1115">
        <v>45161</v>
      </c>
      <c r="C5724" s="242">
        <f t="shared" si="179"/>
        <v>8</v>
      </c>
      <c r="D5724" s="242">
        <v>64.599999999999994</v>
      </c>
      <c r="E5724" s="845">
        <f t="shared" si="180"/>
        <v>18.111111111111107</v>
      </c>
    </row>
    <row r="5725" spans="2:5">
      <c r="B5725" s="1115">
        <v>45161</v>
      </c>
      <c r="C5725" s="242">
        <f t="shared" si="179"/>
        <v>8</v>
      </c>
      <c r="D5725" s="242">
        <v>65.3</v>
      </c>
      <c r="E5725" s="845">
        <f t="shared" si="180"/>
        <v>18.499999999999996</v>
      </c>
    </row>
    <row r="5726" spans="2:5">
      <c r="B5726" s="1115">
        <v>45161</v>
      </c>
      <c r="C5726" s="242">
        <f t="shared" si="179"/>
        <v>8</v>
      </c>
      <c r="D5726" s="242">
        <v>65.3</v>
      </c>
      <c r="E5726" s="845">
        <f t="shared" si="180"/>
        <v>18.499999999999996</v>
      </c>
    </row>
    <row r="5727" spans="2:5">
      <c r="B5727" s="1115">
        <v>45161</v>
      </c>
      <c r="C5727" s="242">
        <f t="shared" si="179"/>
        <v>8</v>
      </c>
      <c r="D5727" s="242">
        <v>63.3</v>
      </c>
      <c r="E5727" s="845">
        <f t="shared" si="180"/>
        <v>17.388888888888886</v>
      </c>
    </row>
    <row r="5728" spans="2:5">
      <c r="B5728" s="1115">
        <v>45161</v>
      </c>
      <c r="C5728" s="242">
        <f t="shared" si="179"/>
        <v>8</v>
      </c>
      <c r="D5728" s="242">
        <v>61.9</v>
      </c>
      <c r="E5728" s="845">
        <f t="shared" si="180"/>
        <v>16.611111111111111</v>
      </c>
    </row>
    <row r="5729" spans="2:5">
      <c r="B5729" s="1115">
        <v>45161</v>
      </c>
      <c r="C5729" s="242">
        <f t="shared" si="179"/>
        <v>8</v>
      </c>
      <c r="D5729" s="242">
        <v>60.4</v>
      </c>
      <c r="E5729" s="845">
        <f t="shared" si="180"/>
        <v>15.777777777777777</v>
      </c>
    </row>
    <row r="5730" spans="2:5">
      <c r="B5730" s="1115">
        <v>45161</v>
      </c>
      <c r="C5730" s="242">
        <f t="shared" si="179"/>
        <v>8</v>
      </c>
      <c r="D5730" s="242" t="s">
        <v>1849</v>
      </c>
      <c r="E5730" s="845">
        <f t="shared" si="180"/>
        <v>15</v>
      </c>
    </row>
    <row r="5731" spans="2:5">
      <c r="B5731" s="1115">
        <v>45161</v>
      </c>
      <c r="C5731" s="242">
        <f t="shared" si="179"/>
        <v>8</v>
      </c>
      <c r="D5731" s="242">
        <v>57.9</v>
      </c>
      <c r="E5731" s="845">
        <f t="shared" si="180"/>
        <v>14.388888888888888</v>
      </c>
    </row>
    <row r="5732" spans="2:5">
      <c r="B5732" s="1115">
        <v>45161</v>
      </c>
      <c r="C5732" s="242">
        <f t="shared" si="179"/>
        <v>8</v>
      </c>
      <c r="D5732" s="242">
        <v>58.3</v>
      </c>
      <c r="E5732" s="845">
        <f t="shared" si="180"/>
        <v>14.611111111111109</v>
      </c>
    </row>
    <row r="5733" spans="2:5">
      <c r="B5733" s="1115">
        <v>45161</v>
      </c>
      <c r="C5733" s="242">
        <f t="shared" si="179"/>
        <v>8</v>
      </c>
      <c r="D5733" s="242">
        <v>58.8</v>
      </c>
      <c r="E5733" s="845">
        <f t="shared" si="180"/>
        <v>14.888888888888888</v>
      </c>
    </row>
    <row r="5734" spans="2:5">
      <c r="B5734" s="1115">
        <v>45161</v>
      </c>
      <c r="C5734" s="242">
        <f t="shared" si="179"/>
        <v>8</v>
      </c>
      <c r="D5734" s="242">
        <v>60.4</v>
      </c>
      <c r="E5734" s="845">
        <f t="shared" si="180"/>
        <v>15.777777777777777</v>
      </c>
    </row>
    <row r="5735" spans="2:5">
      <c r="B5735" s="1115">
        <v>45161</v>
      </c>
      <c r="C5735" s="242">
        <f t="shared" si="179"/>
        <v>8</v>
      </c>
      <c r="D5735" s="242">
        <v>62.4</v>
      </c>
      <c r="E5735" s="845">
        <f t="shared" si="180"/>
        <v>16.888888888888889</v>
      </c>
    </row>
    <row r="5736" spans="2:5">
      <c r="B5736" s="1115">
        <v>45161</v>
      </c>
      <c r="C5736" s="242">
        <f t="shared" si="179"/>
        <v>8</v>
      </c>
      <c r="D5736" s="242">
        <v>64.2</v>
      </c>
      <c r="E5736" s="845">
        <f t="shared" si="180"/>
        <v>17.888888888888889</v>
      </c>
    </row>
    <row r="5737" spans="2:5">
      <c r="B5737" s="1115">
        <v>45161</v>
      </c>
      <c r="C5737" s="242">
        <f t="shared" si="179"/>
        <v>8</v>
      </c>
      <c r="D5737" s="242">
        <v>65.099999999999994</v>
      </c>
      <c r="E5737" s="845">
        <f t="shared" si="180"/>
        <v>18.388888888888886</v>
      </c>
    </row>
    <row r="5738" spans="2:5">
      <c r="B5738" s="1115">
        <v>45161</v>
      </c>
      <c r="C5738" s="242">
        <f t="shared" si="179"/>
        <v>8</v>
      </c>
      <c r="D5738" s="242">
        <v>64.900000000000006</v>
      </c>
      <c r="E5738" s="845">
        <f t="shared" si="180"/>
        <v>18.277777777777782</v>
      </c>
    </row>
    <row r="5739" spans="2:5">
      <c r="B5739" s="1115">
        <v>45161</v>
      </c>
      <c r="C5739" s="242">
        <f t="shared" si="179"/>
        <v>8</v>
      </c>
      <c r="D5739" s="242">
        <v>63.3</v>
      </c>
      <c r="E5739" s="845">
        <f t="shared" si="180"/>
        <v>17.388888888888886</v>
      </c>
    </row>
    <row r="5740" spans="2:5">
      <c r="B5740" s="1115">
        <v>45161</v>
      </c>
      <c r="C5740" s="242">
        <f t="shared" si="179"/>
        <v>8</v>
      </c>
      <c r="D5740" s="242">
        <v>61.3</v>
      </c>
      <c r="E5740" s="845">
        <f t="shared" si="180"/>
        <v>16.277777777777775</v>
      </c>
    </row>
    <row r="5741" spans="2:5">
      <c r="B5741" s="1115">
        <v>45161</v>
      </c>
      <c r="C5741" s="242">
        <f t="shared" si="179"/>
        <v>8</v>
      </c>
      <c r="D5741" s="242">
        <v>60.6</v>
      </c>
      <c r="E5741" s="845">
        <f t="shared" si="180"/>
        <v>15.888888888888889</v>
      </c>
    </row>
    <row r="5742" spans="2:5">
      <c r="B5742" s="1115">
        <v>45161</v>
      </c>
      <c r="C5742" s="242">
        <f t="shared" si="179"/>
        <v>8</v>
      </c>
      <c r="D5742" s="242">
        <v>60.8</v>
      </c>
      <c r="E5742" s="845">
        <f t="shared" si="180"/>
        <v>15.999999999999998</v>
      </c>
    </row>
    <row r="5743" spans="2:5">
      <c r="B5743" s="1115">
        <v>45161</v>
      </c>
      <c r="C5743" s="242">
        <f t="shared" si="179"/>
        <v>8</v>
      </c>
      <c r="D5743" s="242" t="s">
        <v>1850</v>
      </c>
      <c r="E5743" s="845">
        <f t="shared" si="180"/>
        <v>16.111111111111111</v>
      </c>
    </row>
    <row r="5744" spans="2:5">
      <c r="B5744" s="1115">
        <v>45161</v>
      </c>
      <c r="C5744" s="242">
        <f t="shared" si="179"/>
        <v>8</v>
      </c>
      <c r="D5744" s="242">
        <v>61.2</v>
      </c>
      <c r="E5744" s="845">
        <f t="shared" si="180"/>
        <v>16.222222222222225</v>
      </c>
    </row>
    <row r="5745" spans="2:5">
      <c r="B5745" s="1115">
        <v>45162</v>
      </c>
      <c r="C5745" s="242">
        <f t="shared" si="179"/>
        <v>8</v>
      </c>
      <c r="D5745" s="242">
        <v>61.3</v>
      </c>
      <c r="E5745" s="845">
        <f t="shared" si="180"/>
        <v>16.277777777777775</v>
      </c>
    </row>
    <row r="5746" spans="2:5">
      <c r="B5746" s="1115">
        <v>45162</v>
      </c>
      <c r="C5746" s="242">
        <f t="shared" si="179"/>
        <v>8</v>
      </c>
      <c r="D5746" s="242">
        <v>61.5</v>
      </c>
      <c r="E5746" s="845">
        <f t="shared" si="180"/>
        <v>16.388888888888889</v>
      </c>
    </row>
    <row r="5747" spans="2:5">
      <c r="B5747" s="1115">
        <v>45162</v>
      </c>
      <c r="C5747" s="242">
        <f t="shared" si="179"/>
        <v>8</v>
      </c>
      <c r="D5747" s="242">
        <v>62.4</v>
      </c>
      <c r="E5747" s="845">
        <f t="shared" si="180"/>
        <v>16.888888888888889</v>
      </c>
    </row>
    <row r="5748" spans="2:5">
      <c r="B5748" s="1115">
        <v>45162</v>
      </c>
      <c r="C5748" s="242">
        <f t="shared" si="179"/>
        <v>8</v>
      </c>
      <c r="D5748" s="242">
        <v>63.9</v>
      </c>
      <c r="E5748" s="845">
        <f t="shared" si="180"/>
        <v>17.722222222222221</v>
      </c>
    </row>
    <row r="5749" spans="2:5">
      <c r="B5749" s="1115">
        <v>45162</v>
      </c>
      <c r="C5749" s="242">
        <f t="shared" si="179"/>
        <v>8</v>
      </c>
      <c r="D5749" s="242">
        <v>64.900000000000006</v>
      </c>
      <c r="E5749" s="845">
        <f t="shared" si="180"/>
        <v>18.277777777777782</v>
      </c>
    </row>
    <row r="5750" spans="2:5">
      <c r="B5750" s="1115">
        <v>45162</v>
      </c>
      <c r="C5750" s="242">
        <f t="shared" si="179"/>
        <v>8</v>
      </c>
      <c r="D5750" s="242">
        <v>65.5</v>
      </c>
      <c r="E5750" s="845">
        <f t="shared" si="180"/>
        <v>18.611111111111111</v>
      </c>
    </row>
    <row r="5751" spans="2:5">
      <c r="B5751" s="1115">
        <v>45162</v>
      </c>
      <c r="C5751" s="242">
        <f t="shared" si="179"/>
        <v>8</v>
      </c>
      <c r="D5751" s="242">
        <v>65.099999999999994</v>
      </c>
      <c r="E5751" s="845">
        <f t="shared" si="180"/>
        <v>18.388888888888886</v>
      </c>
    </row>
    <row r="5752" spans="2:5">
      <c r="B5752" s="1115">
        <v>45162</v>
      </c>
      <c r="C5752" s="242">
        <f t="shared" si="179"/>
        <v>8</v>
      </c>
      <c r="D5752" s="242">
        <v>63.9</v>
      </c>
      <c r="E5752" s="845">
        <f t="shared" si="180"/>
        <v>17.722222222222221</v>
      </c>
    </row>
    <row r="5753" spans="2:5">
      <c r="B5753" s="1115">
        <v>45162</v>
      </c>
      <c r="C5753" s="242">
        <f t="shared" si="179"/>
        <v>8</v>
      </c>
      <c r="D5753" s="242">
        <v>62.8</v>
      </c>
      <c r="E5753" s="845">
        <f t="shared" si="180"/>
        <v>17.111111111111111</v>
      </c>
    </row>
    <row r="5754" spans="2:5">
      <c r="B5754" s="1115">
        <v>45162</v>
      </c>
      <c r="C5754" s="242">
        <f t="shared" si="179"/>
        <v>8</v>
      </c>
      <c r="D5754" s="242">
        <v>62.2</v>
      </c>
      <c r="E5754" s="845">
        <f t="shared" si="180"/>
        <v>16.777777777777779</v>
      </c>
    </row>
    <row r="5755" spans="2:5">
      <c r="B5755" s="1115">
        <v>45162</v>
      </c>
      <c r="C5755" s="242">
        <f t="shared" si="179"/>
        <v>8</v>
      </c>
      <c r="D5755" s="242">
        <v>61.2</v>
      </c>
      <c r="E5755" s="845">
        <f t="shared" si="180"/>
        <v>16.222222222222225</v>
      </c>
    </row>
    <row r="5756" spans="2:5">
      <c r="B5756" s="1115">
        <v>45162</v>
      </c>
      <c r="C5756" s="242">
        <f t="shared" si="179"/>
        <v>8</v>
      </c>
      <c r="D5756" s="242">
        <v>60.6</v>
      </c>
      <c r="E5756" s="845">
        <f t="shared" si="180"/>
        <v>15.888888888888889</v>
      </c>
    </row>
    <row r="5757" spans="2:5">
      <c r="B5757" s="1115">
        <v>45162</v>
      </c>
      <c r="C5757" s="242">
        <f t="shared" si="179"/>
        <v>8</v>
      </c>
      <c r="D5757" s="242">
        <v>60.8</v>
      </c>
      <c r="E5757" s="845">
        <f t="shared" si="180"/>
        <v>15.999999999999998</v>
      </c>
    </row>
    <row r="5758" spans="2:5">
      <c r="B5758" s="1115">
        <v>45162</v>
      </c>
      <c r="C5758" s="242">
        <f t="shared" si="179"/>
        <v>8</v>
      </c>
      <c r="D5758" s="242">
        <v>61.5</v>
      </c>
      <c r="E5758" s="845">
        <f t="shared" si="180"/>
        <v>16.388888888888889</v>
      </c>
    </row>
    <row r="5759" spans="2:5">
      <c r="B5759" s="1115">
        <v>45162</v>
      </c>
      <c r="C5759" s="242">
        <f t="shared" si="179"/>
        <v>8</v>
      </c>
      <c r="D5759" s="242">
        <v>62.4</v>
      </c>
      <c r="E5759" s="845">
        <f t="shared" si="180"/>
        <v>16.888888888888889</v>
      </c>
    </row>
    <row r="5760" spans="2:5">
      <c r="B5760" s="1115">
        <v>45162</v>
      </c>
      <c r="C5760" s="242">
        <f t="shared" si="179"/>
        <v>8</v>
      </c>
      <c r="D5760" s="242">
        <v>63.9</v>
      </c>
      <c r="E5760" s="845">
        <f t="shared" si="180"/>
        <v>17.722222222222221</v>
      </c>
    </row>
    <row r="5761" spans="2:5">
      <c r="B5761" s="1115">
        <v>45162</v>
      </c>
      <c r="C5761" s="242">
        <f t="shared" si="179"/>
        <v>8</v>
      </c>
      <c r="D5761" s="242">
        <v>64.900000000000006</v>
      </c>
      <c r="E5761" s="845">
        <f t="shared" si="180"/>
        <v>18.277777777777782</v>
      </c>
    </row>
    <row r="5762" spans="2:5">
      <c r="B5762" s="1115">
        <v>45162</v>
      </c>
      <c r="C5762" s="242">
        <f t="shared" si="179"/>
        <v>8</v>
      </c>
      <c r="D5762" s="242">
        <v>65.8</v>
      </c>
      <c r="E5762" s="845">
        <f t="shared" si="180"/>
        <v>18.777777777777775</v>
      </c>
    </row>
    <row r="5763" spans="2:5">
      <c r="B5763" s="1115">
        <v>45162</v>
      </c>
      <c r="C5763" s="242">
        <f t="shared" si="179"/>
        <v>8</v>
      </c>
      <c r="D5763" s="242">
        <v>65.099999999999994</v>
      </c>
      <c r="E5763" s="845">
        <f t="shared" si="180"/>
        <v>18.388888888888886</v>
      </c>
    </row>
    <row r="5764" spans="2:5">
      <c r="B5764" s="1115">
        <v>45162</v>
      </c>
      <c r="C5764" s="242">
        <f t="shared" si="179"/>
        <v>8</v>
      </c>
      <c r="D5764" s="242">
        <v>63.5</v>
      </c>
      <c r="E5764" s="845">
        <f t="shared" si="180"/>
        <v>17.5</v>
      </c>
    </row>
    <row r="5765" spans="2:5">
      <c r="B5765" s="1115">
        <v>45162</v>
      </c>
      <c r="C5765" s="242">
        <f t="shared" si="179"/>
        <v>8</v>
      </c>
      <c r="D5765" s="242">
        <v>62.6</v>
      </c>
      <c r="E5765" s="845">
        <f t="shared" si="180"/>
        <v>17</v>
      </c>
    </row>
    <row r="5766" spans="2:5">
      <c r="B5766" s="1115">
        <v>45162</v>
      </c>
      <c r="C5766" s="242">
        <f t="shared" si="179"/>
        <v>8</v>
      </c>
      <c r="D5766" s="242">
        <v>61.7</v>
      </c>
      <c r="E5766" s="845">
        <f t="shared" si="180"/>
        <v>16.5</v>
      </c>
    </row>
    <row r="5767" spans="2:5">
      <c r="B5767" s="1115">
        <v>45162</v>
      </c>
      <c r="C5767" s="242">
        <f t="shared" si="179"/>
        <v>8</v>
      </c>
      <c r="D5767" s="242">
        <v>61.7</v>
      </c>
      <c r="E5767" s="845">
        <f t="shared" si="180"/>
        <v>16.5</v>
      </c>
    </row>
    <row r="5768" spans="2:5">
      <c r="B5768" s="1115">
        <v>45162</v>
      </c>
      <c r="C5768" s="242">
        <f t="shared" si="179"/>
        <v>8</v>
      </c>
      <c r="D5768" s="242">
        <v>61.3</v>
      </c>
      <c r="E5768" s="845">
        <f t="shared" si="180"/>
        <v>16.277777777777775</v>
      </c>
    </row>
    <row r="5769" spans="2:5">
      <c r="B5769" s="1115">
        <v>45163</v>
      </c>
      <c r="C5769" s="242">
        <f t="shared" si="179"/>
        <v>8</v>
      </c>
      <c r="D5769" s="242">
        <v>61.7</v>
      </c>
      <c r="E5769" s="845">
        <f t="shared" si="180"/>
        <v>16.5</v>
      </c>
    </row>
    <row r="5770" spans="2:5">
      <c r="B5770" s="1115">
        <v>45163</v>
      </c>
      <c r="C5770" s="242">
        <f t="shared" ref="C5770:C5833" si="181">MONTH(B5770)</f>
        <v>8</v>
      </c>
      <c r="D5770" s="242">
        <v>61.5</v>
      </c>
      <c r="E5770" s="845">
        <f t="shared" ref="E5770:E5833" si="182">CONVERT(D5770,"F","C")</f>
        <v>16.388888888888889</v>
      </c>
    </row>
    <row r="5771" spans="2:5">
      <c r="B5771" s="1115">
        <v>45163</v>
      </c>
      <c r="C5771" s="242">
        <f t="shared" si="181"/>
        <v>8</v>
      </c>
      <c r="D5771" s="242">
        <v>62.2</v>
      </c>
      <c r="E5771" s="845">
        <f t="shared" si="182"/>
        <v>16.777777777777779</v>
      </c>
    </row>
    <row r="5772" spans="2:5">
      <c r="B5772" s="1115">
        <v>45163</v>
      </c>
      <c r="C5772" s="242">
        <f t="shared" si="181"/>
        <v>8</v>
      </c>
      <c r="D5772" s="242">
        <v>63.3</v>
      </c>
      <c r="E5772" s="845">
        <f t="shared" si="182"/>
        <v>17.388888888888886</v>
      </c>
    </row>
    <row r="5773" spans="2:5">
      <c r="B5773" s="1115">
        <v>45163</v>
      </c>
      <c r="C5773" s="242">
        <f t="shared" si="181"/>
        <v>8</v>
      </c>
      <c r="D5773" s="242">
        <v>64.8</v>
      </c>
      <c r="E5773" s="845">
        <f t="shared" si="182"/>
        <v>18.222222222222221</v>
      </c>
    </row>
    <row r="5774" spans="2:5">
      <c r="B5774" s="1115">
        <v>45163</v>
      </c>
      <c r="C5774" s="242">
        <f t="shared" si="181"/>
        <v>8</v>
      </c>
      <c r="D5774" s="242">
        <v>65.7</v>
      </c>
      <c r="E5774" s="845">
        <f t="shared" si="182"/>
        <v>18.722222222222225</v>
      </c>
    </row>
    <row r="5775" spans="2:5">
      <c r="B5775" s="1115">
        <v>45163</v>
      </c>
      <c r="C5775" s="242">
        <f t="shared" si="181"/>
        <v>8</v>
      </c>
      <c r="D5775" s="242" t="s">
        <v>1853</v>
      </c>
      <c r="E5775" s="845">
        <f t="shared" si="182"/>
        <v>18.888888888888889</v>
      </c>
    </row>
    <row r="5776" spans="2:5">
      <c r="B5776" s="1115">
        <v>45163</v>
      </c>
      <c r="C5776" s="242">
        <f t="shared" si="181"/>
        <v>8</v>
      </c>
      <c r="D5776" s="242">
        <v>65.8</v>
      </c>
      <c r="E5776" s="845">
        <f t="shared" si="182"/>
        <v>18.777777777777775</v>
      </c>
    </row>
    <row r="5777" spans="2:5">
      <c r="B5777" s="1115">
        <v>45163</v>
      </c>
      <c r="C5777" s="242">
        <f t="shared" si="181"/>
        <v>8</v>
      </c>
      <c r="D5777" s="242">
        <v>64.599999999999994</v>
      </c>
      <c r="E5777" s="845">
        <f t="shared" si="182"/>
        <v>18.111111111111107</v>
      </c>
    </row>
    <row r="5778" spans="2:5">
      <c r="B5778" s="1115">
        <v>45163</v>
      </c>
      <c r="C5778" s="242">
        <f t="shared" si="181"/>
        <v>8</v>
      </c>
      <c r="D5778" s="242">
        <v>63.7</v>
      </c>
      <c r="E5778" s="845">
        <f t="shared" si="182"/>
        <v>17.611111111111111</v>
      </c>
    </row>
    <row r="5779" spans="2:5">
      <c r="B5779" s="1115">
        <v>45163</v>
      </c>
      <c r="C5779" s="242">
        <f t="shared" si="181"/>
        <v>8</v>
      </c>
      <c r="D5779" s="242">
        <v>62.8</v>
      </c>
      <c r="E5779" s="845">
        <f t="shared" si="182"/>
        <v>17.111111111111111</v>
      </c>
    </row>
    <row r="5780" spans="2:5">
      <c r="B5780" s="1115">
        <v>45163</v>
      </c>
      <c r="C5780" s="242">
        <f t="shared" si="181"/>
        <v>8</v>
      </c>
      <c r="D5780" s="242">
        <v>61.5</v>
      </c>
      <c r="E5780" s="845">
        <f t="shared" si="182"/>
        <v>16.388888888888889</v>
      </c>
    </row>
    <row r="5781" spans="2:5">
      <c r="B5781" s="1115">
        <v>45163</v>
      </c>
      <c r="C5781" s="242">
        <f t="shared" si="181"/>
        <v>8</v>
      </c>
      <c r="D5781" s="242" t="s">
        <v>1850</v>
      </c>
      <c r="E5781" s="845">
        <f t="shared" si="182"/>
        <v>16.111111111111111</v>
      </c>
    </row>
    <row r="5782" spans="2:5">
      <c r="B5782" s="1115">
        <v>45163</v>
      </c>
      <c r="C5782" s="242">
        <f t="shared" si="181"/>
        <v>8</v>
      </c>
      <c r="D5782" s="242">
        <v>61.5</v>
      </c>
      <c r="E5782" s="845">
        <f t="shared" si="182"/>
        <v>16.388888888888889</v>
      </c>
    </row>
    <row r="5783" spans="2:5">
      <c r="B5783" s="1115">
        <v>45163</v>
      </c>
      <c r="C5783" s="242">
        <f t="shared" si="181"/>
        <v>8</v>
      </c>
      <c r="D5783" s="242">
        <v>61.9</v>
      </c>
      <c r="E5783" s="845">
        <f t="shared" si="182"/>
        <v>16.611111111111111</v>
      </c>
    </row>
    <row r="5784" spans="2:5">
      <c r="B5784" s="1115">
        <v>45163</v>
      </c>
      <c r="C5784" s="242">
        <f t="shared" si="181"/>
        <v>8</v>
      </c>
      <c r="D5784" s="242" t="s">
        <v>1851</v>
      </c>
      <c r="E5784" s="845">
        <f t="shared" si="182"/>
        <v>17.222222222222221</v>
      </c>
    </row>
    <row r="5785" spans="2:5">
      <c r="B5785" s="1115">
        <v>45163</v>
      </c>
      <c r="C5785" s="242">
        <f t="shared" si="181"/>
        <v>8</v>
      </c>
      <c r="D5785" s="242">
        <v>64.2</v>
      </c>
      <c r="E5785" s="845">
        <f t="shared" si="182"/>
        <v>17.888888888888889</v>
      </c>
    </row>
    <row r="5786" spans="2:5">
      <c r="B5786" s="1115">
        <v>45163</v>
      </c>
      <c r="C5786" s="242">
        <f t="shared" si="181"/>
        <v>8</v>
      </c>
      <c r="D5786" s="242">
        <v>65.099999999999994</v>
      </c>
      <c r="E5786" s="845">
        <f t="shared" si="182"/>
        <v>18.388888888888886</v>
      </c>
    </row>
    <row r="5787" spans="2:5">
      <c r="B5787" s="1115">
        <v>45163</v>
      </c>
      <c r="C5787" s="242">
        <f t="shared" si="181"/>
        <v>8</v>
      </c>
      <c r="D5787" s="242">
        <v>65.7</v>
      </c>
      <c r="E5787" s="845">
        <f t="shared" si="182"/>
        <v>18.722222222222225</v>
      </c>
    </row>
    <row r="5788" spans="2:5">
      <c r="B5788" s="1115">
        <v>45163</v>
      </c>
      <c r="C5788" s="242">
        <f t="shared" si="181"/>
        <v>8</v>
      </c>
      <c r="D5788" s="242">
        <v>65.3</v>
      </c>
      <c r="E5788" s="845">
        <f t="shared" si="182"/>
        <v>18.499999999999996</v>
      </c>
    </row>
    <row r="5789" spans="2:5">
      <c r="B5789" s="1115">
        <v>45163</v>
      </c>
      <c r="C5789" s="242">
        <f t="shared" si="181"/>
        <v>8</v>
      </c>
      <c r="D5789" s="242">
        <v>63.5</v>
      </c>
      <c r="E5789" s="845">
        <f t="shared" si="182"/>
        <v>17.5</v>
      </c>
    </row>
    <row r="5790" spans="2:5">
      <c r="B5790" s="1115">
        <v>45163</v>
      </c>
      <c r="C5790" s="242">
        <f t="shared" si="181"/>
        <v>8</v>
      </c>
      <c r="D5790" s="242">
        <v>62.8</v>
      </c>
      <c r="E5790" s="845">
        <f t="shared" si="182"/>
        <v>17.111111111111111</v>
      </c>
    </row>
    <row r="5791" spans="2:5">
      <c r="B5791" s="1115">
        <v>45163</v>
      </c>
      <c r="C5791" s="242">
        <f t="shared" si="181"/>
        <v>8</v>
      </c>
      <c r="D5791" s="242">
        <v>60.8</v>
      </c>
      <c r="E5791" s="845">
        <f t="shared" si="182"/>
        <v>15.999999999999998</v>
      </c>
    </row>
    <row r="5792" spans="2:5">
      <c r="B5792" s="1115">
        <v>45163</v>
      </c>
      <c r="C5792" s="242">
        <f t="shared" si="181"/>
        <v>8</v>
      </c>
      <c r="D5792" s="242">
        <v>59.9</v>
      </c>
      <c r="E5792" s="845">
        <f t="shared" si="182"/>
        <v>15.499999999999998</v>
      </c>
    </row>
    <row r="5793" spans="2:5">
      <c r="B5793" s="1115">
        <v>45164</v>
      </c>
      <c r="C5793" s="242">
        <f t="shared" si="181"/>
        <v>8</v>
      </c>
      <c r="D5793" s="242" t="s">
        <v>1849</v>
      </c>
      <c r="E5793" s="845">
        <f t="shared" si="182"/>
        <v>15</v>
      </c>
    </row>
    <row r="5794" spans="2:5">
      <c r="B5794" s="1115">
        <v>45164</v>
      </c>
      <c r="C5794" s="242">
        <f t="shared" si="181"/>
        <v>8</v>
      </c>
      <c r="D5794" s="242">
        <v>59.5</v>
      </c>
      <c r="E5794" s="845">
        <f t="shared" si="182"/>
        <v>15.277777777777777</v>
      </c>
    </row>
    <row r="5795" spans="2:5">
      <c r="B5795" s="1115">
        <v>45164</v>
      </c>
      <c r="C5795" s="242">
        <f t="shared" si="181"/>
        <v>8</v>
      </c>
      <c r="D5795" s="242">
        <v>59.5</v>
      </c>
      <c r="E5795" s="845">
        <f t="shared" si="182"/>
        <v>15.277777777777777</v>
      </c>
    </row>
    <row r="5796" spans="2:5">
      <c r="B5796" s="1115">
        <v>45164</v>
      </c>
      <c r="C5796" s="242">
        <f t="shared" si="181"/>
        <v>8</v>
      </c>
      <c r="D5796" s="242" t="s">
        <v>1850</v>
      </c>
      <c r="E5796" s="845">
        <f t="shared" si="182"/>
        <v>16.111111111111111</v>
      </c>
    </row>
    <row r="5797" spans="2:5">
      <c r="B5797" s="1115">
        <v>45164</v>
      </c>
      <c r="C5797" s="242">
        <f t="shared" si="181"/>
        <v>8</v>
      </c>
      <c r="D5797" s="242" t="s">
        <v>1851</v>
      </c>
      <c r="E5797" s="845">
        <f t="shared" si="182"/>
        <v>17.222222222222221</v>
      </c>
    </row>
    <row r="5798" spans="2:5">
      <c r="B5798" s="1115">
        <v>45164</v>
      </c>
      <c r="C5798" s="242">
        <f t="shared" si="181"/>
        <v>8</v>
      </c>
      <c r="D5798" s="242">
        <v>64.400000000000006</v>
      </c>
      <c r="E5798" s="845">
        <f t="shared" si="182"/>
        <v>18.000000000000004</v>
      </c>
    </row>
    <row r="5799" spans="2:5">
      <c r="B5799" s="1115">
        <v>45164</v>
      </c>
      <c r="C5799" s="242">
        <f t="shared" si="181"/>
        <v>8</v>
      </c>
      <c r="D5799" s="242">
        <v>65.5</v>
      </c>
      <c r="E5799" s="845">
        <f t="shared" si="182"/>
        <v>18.611111111111111</v>
      </c>
    </row>
    <row r="5800" spans="2:5">
      <c r="B5800" s="1115">
        <v>45164</v>
      </c>
      <c r="C5800" s="242">
        <f t="shared" si="181"/>
        <v>8</v>
      </c>
      <c r="D5800" s="242">
        <v>65.8</v>
      </c>
      <c r="E5800" s="845">
        <f t="shared" si="182"/>
        <v>18.777777777777775</v>
      </c>
    </row>
    <row r="5801" spans="2:5">
      <c r="B5801" s="1115">
        <v>45164</v>
      </c>
      <c r="C5801" s="242">
        <f t="shared" si="181"/>
        <v>8</v>
      </c>
      <c r="D5801" s="242">
        <v>65.7</v>
      </c>
      <c r="E5801" s="845">
        <f t="shared" si="182"/>
        <v>18.722222222222225</v>
      </c>
    </row>
    <row r="5802" spans="2:5">
      <c r="B5802" s="1115">
        <v>45164</v>
      </c>
      <c r="C5802" s="242">
        <f t="shared" si="181"/>
        <v>8</v>
      </c>
      <c r="D5802" s="242">
        <v>63.9</v>
      </c>
      <c r="E5802" s="845">
        <f t="shared" si="182"/>
        <v>17.722222222222221</v>
      </c>
    </row>
    <row r="5803" spans="2:5">
      <c r="B5803" s="1115">
        <v>45164</v>
      </c>
      <c r="C5803" s="242">
        <f t="shared" si="181"/>
        <v>8</v>
      </c>
      <c r="D5803" s="242">
        <v>60.4</v>
      </c>
      <c r="E5803" s="845">
        <f t="shared" si="182"/>
        <v>15.777777777777777</v>
      </c>
    </row>
    <row r="5804" spans="2:5">
      <c r="B5804" s="1115">
        <v>45164</v>
      </c>
      <c r="C5804" s="242">
        <f t="shared" si="181"/>
        <v>8</v>
      </c>
      <c r="D5804" s="242">
        <v>58.5</v>
      </c>
      <c r="E5804" s="845">
        <f t="shared" si="182"/>
        <v>14.722222222222221</v>
      </c>
    </row>
    <row r="5805" spans="2:5">
      <c r="B5805" s="1115">
        <v>45164</v>
      </c>
      <c r="C5805" s="242">
        <f t="shared" si="181"/>
        <v>8</v>
      </c>
      <c r="D5805" s="242">
        <v>56.5</v>
      </c>
      <c r="E5805" s="845">
        <f t="shared" si="182"/>
        <v>13.611111111111111</v>
      </c>
    </row>
    <row r="5806" spans="2:5">
      <c r="B5806" s="1115">
        <v>45164</v>
      </c>
      <c r="C5806" s="242">
        <f t="shared" si="181"/>
        <v>8</v>
      </c>
      <c r="D5806" s="242" t="s">
        <v>1847</v>
      </c>
      <c r="E5806" s="845">
        <f t="shared" si="182"/>
        <v>12.777777777777777</v>
      </c>
    </row>
    <row r="5807" spans="2:5">
      <c r="B5807" s="1115">
        <v>45164</v>
      </c>
      <c r="C5807" s="242">
        <f t="shared" si="181"/>
        <v>8</v>
      </c>
      <c r="D5807" s="242" t="s">
        <v>1848</v>
      </c>
      <c r="E5807" s="845">
        <f t="shared" si="182"/>
        <v>13.888888888888889</v>
      </c>
    </row>
    <row r="5808" spans="2:5">
      <c r="B5808" s="1115">
        <v>45164</v>
      </c>
      <c r="C5808" s="242">
        <f t="shared" si="181"/>
        <v>8</v>
      </c>
      <c r="D5808" s="242">
        <v>58.1</v>
      </c>
      <c r="E5808" s="845">
        <f t="shared" si="182"/>
        <v>14.5</v>
      </c>
    </row>
    <row r="5809" spans="2:5">
      <c r="B5809" s="1115">
        <v>45164</v>
      </c>
      <c r="C5809" s="242">
        <f t="shared" si="181"/>
        <v>8</v>
      </c>
      <c r="D5809" s="242">
        <v>60.4</v>
      </c>
      <c r="E5809" s="845">
        <f t="shared" si="182"/>
        <v>15.777777777777777</v>
      </c>
    </row>
    <row r="5810" spans="2:5">
      <c r="B5810" s="1115">
        <v>45164</v>
      </c>
      <c r="C5810" s="242">
        <f t="shared" si="181"/>
        <v>8</v>
      </c>
      <c r="D5810" s="242">
        <v>63.3</v>
      </c>
      <c r="E5810" s="845">
        <f t="shared" si="182"/>
        <v>17.388888888888886</v>
      </c>
    </row>
    <row r="5811" spans="2:5">
      <c r="B5811" s="1115">
        <v>45164</v>
      </c>
      <c r="C5811" s="242">
        <f t="shared" si="181"/>
        <v>8</v>
      </c>
      <c r="D5811" s="242">
        <v>65.099999999999994</v>
      </c>
      <c r="E5811" s="845">
        <f t="shared" si="182"/>
        <v>18.388888888888886</v>
      </c>
    </row>
    <row r="5812" spans="2:5">
      <c r="B5812" s="1115">
        <v>45164</v>
      </c>
      <c r="C5812" s="242">
        <f t="shared" si="181"/>
        <v>8</v>
      </c>
      <c r="D5812" s="242">
        <v>65.8</v>
      </c>
      <c r="E5812" s="845">
        <f t="shared" si="182"/>
        <v>18.777777777777775</v>
      </c>
    </row>
    <row r="5813" spans="2:5">
      <c r="B5813" s="1115">
        <v>45164</v>
      </c>
      <c r="C5813" s="242">
        <f t="shared" si="181"/>
        <v>8</v>
      </c>
      <c r="D5813" s="242">
        <v>64.8</v>
      </c>
      <c r="E5813" s="845">
        <f t="shared" si="182"/>
        <v>18.222222222222221</v>
      </c>
    </row>
    <row r="5814" spans="2:5">
      <c r="B5814" s="1115">
        <v>45164</v>
      </c>
      <c r="C5814" s="242">
        <f t="shared" si="181"/>
        <v>8</v>
      </c>
      <c r="D5814" s="242">
        <v>62.1</v>
      </c>
      <c r="E5814" s="845">
        <f t="shared" si="182"/>
        <v>16.722222222222221</v>
      </c>
    </row>
    <row r="5815" spans="2:5">
      <c r="B5815" s="1115">
        <v>45164</v>
      </c>
      <c r="C5815" s="242">
        <f t="shared" si="181"/>
        <v>8</v>
      </c>
      <c r="D5815" s="242">
        <v>59.4</v>
      </c>
      <c r="E5815" s="845">
        <f t="shared" si="182"/>
        <v>15.222222222222221</v>
      </c>
    </row>
    <row r="5816" spans="2:5">
      <c r="B5816" s="1115">
        <v>45164</v>
      </c>
      <c r="C5816" s="242">
        <f t="shared" si="181"/>
        <v>8</v>
      </c>
      <c r="D5816" s="242">
        <v>58.1</v>
      </c>
      <c r="E5816" s="845">
        <f t="shared" si="182"/>
        <v>14.5</v>
      </c>
    </row>
    <row r="5817" spans="2:5">
      <c r="B5817" s="1115">
        <v>45165</v>
      </c>
      <c r="C5817" s="242">
        <f t="shared" si="181"/>
        <v>8</v>
      </c>
      <c r="D5817" s="242">
        <v>56.3</v>
      </c>
      <c r="E5817" s="845">
        <f t="shared" si="182"/>
        <v>13.499999999999998</v>
      </c>
    </row>
    <row r="5818" spans="2:5">
      <c r="B5818" s="1115">
        <v>45165</v>
      </c>
      <c r="C5818" s="242">
        <f t="shared" si="181"/>
        <v>8</v>
      </c>
      <c r="D5818" s="242">
        <v>56.1</v>
      </c>
      <c r="E5818" s="845">
        <f t="shared" si="182"/>
        <v>13.388888888888889</v>
      </c>
    </row>
    <row r="5819" spans="2:5">
      <c r="B5819" s="1115">
        <v>45165</v>
      </c>
      <c r="C5819" s="242">
        <f t="shared" si="181"/>
        <v>8</v>
      </c>
      <c r="D5819" s="242">
        <v>56.1</v>
      </c>
      <c r="E5819" s="845">
        <f t="shared" si="182"/>
        <v>13.388888888888889</v>
      </c>
    </row>
    <row r="5820" spans="2:5">
      <c r="B5820" s="1115">
        <v>45165</v>
      </c>
      <c r="C5820" s="242">
        <f t="shared" si="181"/>
        <v>8</v>
      </c>
      <c r="D5820" s="242">
        <v>56.5</v>
      </c>
      <c r="E5820" s="845">
        <f t="shared" si="182"/>
        <v>13.611111111111111</v>
      </c>
    </row>
    <row r="5821" spans="2:5">
      <c r="B5821" s="1115">
        <v>45165</v>
      </c>
      <c r="C5821" s="242">
        <f t="shared" si="181"/>
        <v>8</v>
      </c>
      <c r="D5821" s="242">
        <v>58.5</v>
      </c>
      <c r="E5821" s="845">
        <f t="shared" si="182"/>
        <v>14.722222222222221</v>
      </c>
    </row>
    <row r="5822" spans="2:5">
      <c r="B5822" s="1115">
        <v>45165</v>
      </c>
      <c r="C5822" s="242">
        <f t="shared" si="181"/>
        <v>8</v>
      </c>
      <c r="D5822" s="242">
        <v>61.3</v>
      </c>
      <c r="E5822" s="845">
        <f t="shared" si="182"/>
        <v>16.277777777777775</v>
      </c>
    </row>
    <row r="5823" spans="2:5">
      <c r="B5823" s="1115">
        <v>45165</v>
      </c>
      <c r="C5823" s="242">
        <f t="shared" si="181"/>
        <v>8</v>
      </c>
      <c r="D5823" s="242">
        <v>63.5</v>
      </c>
      <c r="E5823" s="845">
        <f t="shared" si="182"/>
        <v>17.5</v>
      </c>
    </row>
    <row r="5824" spans="2:5">
      <c r="B5824" s="1115">
        <v>45165</v>
      </c>
      <c r="C5824" s="242">
        <f t="shared" si="181"/>
        <v>8</v>
      </c>
      <c r="D5824" s="242">
        <v>64.900000000000006</v>
      </c>
      <c r="E5824" s="845">
        <f t="shared" si="182"/>
        <v>18.277777777777782</v>
      </c>
    </row>
    <row r="5825" spans="2:5">
      <c r="B5825" s="1115">
        <v>45165</v>
      </c>
      <c r="C5825" s="242">
        <f t="shared" si="181"/>
        <v>8</v>
      </c>
      <c r="D5825" s="242">
        <v>65.7</v>
      </c>
      <c r="E5825" s="845">
        <f t="shared" si="182"/>
        <v>18.722222222222225</v>
      </c>
    </row>
    <row r="5826" spans="2:5">
      <c r="B5826" s="1115">
        <v>45165</v>
      </c>
      <c r="C5826" s="242">
        <f t="shared" si="181"/>
        <v>8</v>
      </c>
      <c r="D5826" s="242">
        <v>65.3</v>
      </c>
      <c r="E5826" s="845">
        <f t="shared" si="182"/>
        <v>18.499999999999996</v>
      </c>
    </row>
    <row r="5827" spans="2:5">
      <c r="B5827" s="1115">
        <v>45165</v>
      </c>
      <c r="C5827" s="242">
        <f t="shared" si="181"/>
        <v>8</v>
      </c>
      <c r="D5827" s="242">
        <v>63.1</v>
      </c>
      <c r="E5827" s="845">
        <f t="shared" si="182"/>
        <v>17.277777777777779</v>
      </c>
    </row>
    <row r="5828" spans="2:5">
      <c r="B5828" s="1115">
        <v>45165</v>
      </c>
      <c r="C5828" s="242">
        <f t="shared" si="181"/>
        <v>8</v>
      </c>
      <c r="D5828" s="242">
        <v>60.3</v>
      </c>
      <c r="E5828" s="845">
        <f t="shared" si="182"/>
        <v>15.72222222222222</v>
      </c>
    </row>
    <row r="5829" spans="2:5">
      <c r="B5829" s="1115">
        <v>45165</v>
      </c>
      <c r="C5829" s="242">
        <f t="shared" si="181"/>
        <v>8</v>
      </c>
      <c r="D5829" s="242">
        <v>58.6</v>
      </c>
      <c r="E5829" s="845">
        <f t="shared" si="182"/>
        <v>14.777777777777779</v>
      </c>
    </row>
    <row r="5830" spans="2:5">
      <c r="B5830" s="1115">
        <v>45165</v>
      </c>
      <c r="C5830" s="242">
        <f t="shared" si="181"/>
        <v>8</v>
      </c>
      <c r="D5830" s="242">
        <v>57.6</v>
      </c>
      <c r="E5830" s="845">
        <f t="shared" si="182"/>
        <v>14.222222222222223</v>
      </c>
    </row>
    <row r="5831" spans="2:5">
      <c r="B5831" s="1115">
        <v>45165</v>
      </c>
      <c r="C5831" s="242">
        <f t="shared" si="181"/>
        <v>8</v>
      </c>
      <c r="D5831" s="242">
        <v>56.3</v>
      </c>
      <c r="E5831" s="845">
        <f t="shared" si="182"/>
        <v>13.499999999999998</v>
      </c>
    </row>
    <row r="5832" spans="2:5">
      <c r="B5832" s="1115">
        <v>45165</v>
      </c>
      <c r="C5832" s="242">
        <f t="shared" si="181"/>
        <v>8</v>
      </c>
      <c r="D5832" s="242" t="s">
        <v>1848</v>
      </c>
      <c r="E5832" s="845">
        <f t="shared" si="182"/>
        <v>13.888888888888889</v>
      </c>
    </row>
    <row r="5833" spans="2:5">
      <c r="B5833" s="1115">
        <v>45165</v>
      </c>
      <c r="C5833" s="242">
        <f t="shared" si="181"/>
        <v>8</v>
      </c>
      <c r="D5833" s="242">
        <v>57.9</v>
      </c>
      <c r="E5833" s="845">
        <f t="shared" si="182"/>
        <v>14.388888888888888</v>
      </c>
    </row>
    <row r="5834" spans="2:5">
      <c r="B5834" s="1115">
        <v>45165</v>
      </c>
      <c r="C5834" s="242">
        <f t="shared" ref="C5834:C5897" si="183">MONTH(B5834)</f>
        <v>8</v>
      </c>
      <c r="D5834" s="242">
        <v>59.9</v>
      </c>
      <c r="E5834" s="845">
        <f t="shared" ref="E5834:E5897" si="184">CONVERT(D5834,"F","C")</f>
        <v>15.499999999999998</v>
      </c>
    </row>
    <row r="5835" spans="2:5">
      <c r="B5835" s="1115">
        <v>45165</v>
      </c>
      <c r="C5835" s="242">
        <f t="shared" si="183"/>
        <v>8</v>
      </c>
      <c r="D5835" s="242">
        <v>62.6</v>
      </c>
      <c r="E5835" s="845">
        <f t="shared" si="184"/>
        <v>17</v>
      </c>
    </row>
    <row r="5836" spans="2:5">
      <c r="B5836" s="1115">
        <v>45165</v>
      </c>
      <c r="C5836" s="242">
        <f t="shared" si="183"/>
        <v>8</v>
      </c>
      <c r="D5836" s="242">
        <v>64.8</v>
      </c>
      <c r="E5836" s="845">
        <f t="shared" si="184"/>
        <v>18.222222222222221</v>
      </c>
    </row>
    <row r="5837" spans="2:5">
      <c r="B5837" s="1115">
        <v>45165</v>
      </c>
      <c r="C5837" s="242">
        <f t="shared" si="183"/>
        <v>8</v>
      </c>
      <c r="D5837" s="242">
        <v>65.5</v>
      </c>
      <c r="E5837" s="845">
        <f t="shared" si="184"/>
        <v>18.611111111111111</v>
      </c>
    </row>
    <row r="5838" spans="2:5">
      <c r="B5838" s="1115">
        <v>45165</v>
      </c>
      <c r="C5838" s="242">
        <f t="shared" si="183"/>
        <v>8</v>
      </c>
      <c r="D5838" s="242">
        <v>64.8</v>
      </c>
      <c r="E5838" s="845">
        <f t="shared" si="184"/>
        <v>18.222222222222221</v>
      </c>
    </row>
    <row r="5839" spans="2:5">
      <c r="B5839" s="1115">
        <v>45165</v>
      </c>
      <c r="C5839" s="242">
        <f t="shared" si="183"/>
        <v>8</v>
      </c>
      <c r="D5839" s="242">
        <v>62.2</v>
      </c>
      <c r="E5839" s="845">
        <f t="shared" si="184"/>
        <v>16.777777777777779</v>
      </c>
    </row>
    <row r="5840" spans="2:5">
      <c r="B5840" s="1115">
        <v>45165</v>
      </c>
      <c r="C5840" s="242">
        <f t="shared" si="183"/>
        <v>8</v>
      </c>
      <c r="D5840" s="242">
        <v>60.3</v>
      </c>
      <c r="E5840" s="845">
        <f t="shared" si="184"/>
        <v>15.72222222222222</v>
      </c>
    </row>
    <row r="5841" spans="2:5">
      <c r="B5841" s="1115">
        <v>45166</v>
      </c>
      <c r="C5841" s="242">
        <f t="shared" si="183"/>
        <v>8</v>
      </c>
      <c r="D5841" s="242">
        <v>59.4</v>
      </c>
      <c r="E5841" s="845">
        <f t="shared" si="184"/>
        <v>15.222222222222221</v>
      </c>
    </row>
    <row r="5842" spans="2:5">
      <c r="B5842" s="1115">
        <v>45166</v>
      </c>
      <c r="C5842" s="242">
        <f t="shared" si="183"/>
        <v>8</v>
      </c>
      <c r="D5842" s="242" t="s">
        <v>1849</v>
      </c>
      <c r="E5842" s="845">
        <f t="shared" si="184"/>
        <v>15</v>
      </c>
    </row>
    <row r="5843" spans="2:5">
      <c r="B5843" s="1115">
        <v>45166</v>
      </c>
      <c r="C5843" s="242">
        <f t="shared" si="183"/>
        <v>8</v>
      </c>
      <c r="D5843" s="242">
        <v>58.8</v>
      </c>
      <c r="E5843" s="845">
        <f t="shared" si="184"/>
        <v>14.888888888888888</v>
      </c>
    </row>
    <row r="5844" spans="2:5">
      <c r="B5844" s="1115">
        <v>45166</v>
      </c>
      <c r="C5844" s="242">
        <f t="shared" si="183"/>
        <v>8</v>
      </c>
      <c r="D5844" s="242">
        <v>58.8</v>
      </c>
      <c r="E5844" s="845">
        <f t="shared" si="184"/>
        <v>14.888888888888888</v>
      </c>
    </row>
    <row r="5845" spans="2:5">
      <c r="B5845" s="1115">
        <v>45166</v>
      </c>
      <c r="C5845" s="242">
        <f t="shared" si="183"/>
        <v>8</v>
      </c>
      <c r="D5845" s="242">
        <v>58.8</v>
      </c>
      <c r="E5845" s="845">
        <f t="shared" si="184"/>
        <v>14.888888888888888</v>
      </c>
    </row>
    <row r="5846" spans="2:5">
      <c r="B5846" s="1115">
        <v>45166</v>
      </c>
      <c r="C5846" s="242">
        <f t="shared" si="183"/>
        <v>8</v>
      </c>
      <c r="D5846" s="242">
        <v>59.9</v>
      </c>
      <c r="E5846" s="845">
        <f t="shared" si="184"/>
        <v>15.499999999999998</v>
      </c>
    </row>
    <row r="5847" spans="2:5">
      <c r="B5847" s="1115">
        <v>45166</v>
      </c>
      <c r="C5847" s="242">
        <f t="shared" si="183"/>
        <v>8</v>
      </c>
      <c r="D5847" s="242">
        <v>61.7</v>
      </c>
      <c r="E5847" s="845">
        <f t="shared" si="184"/>
        <v>16.5</v>
      </c>
    </row>
    <row r="5848" spans="2:5">
      <c r="B5848" s="1115">
        <v>45166</v>
      </c>
      <c r="C5848" s="242">
        <f t="shared" si="183"/>
        <v>8</v>
      </c>
      <c r="D5848" s="242">
        <v>63.1</v>
      </c>
      <c r="E5848" s="845">
        <f t="shared" si="184"/>
        <v>17.277777777777779</v>
      </c>
    </row>
    <row r="5849" spans="2:5">
      <c r="B5849" s="1115">
        <v>45166</v>
      </c>
      <c r="C5849" s="242">
        <f t="shared" si="183"/>
        <v>8</v>
      </c>
      <c r="D5849" s="242">
        <v>64.599999999999994</v>
      </c>
      <c r="E5849" s="845">
        <f t="shared" si="184"/>
        <v>18.111111111111107</v>
      </c>
    </row>
    <row r="5850" spans="2:5">
      <c r="B5850" s="1115">
        <v>45166</v>
      </c>
      <c r="C5850" s="242">
        <f t="shared" si="183"/>
        <v>8</v>
      </c>
      <c r="D5850" s="242">
        <v>65.3</v>
      </c>
      <c r="E5850" s="845">
        <f t="shared" si="184"/>
        <v>18.499999999999996</v>
      </c>
    </row>
    <row r="5851" spans="2:5">
      <c r="B5851" s="1115">
        <v>45166</v>
      </c>
      <c r="C5851" s="242">
        <f t="shared" si="183"/>
        <v>8</v>
      </c>
      <c r="D5851" s="242">
        <v>65.3</v>
      </c>
      <c r="E5851" s="845">
        <f t="shared" si="184"/>
        <v>18.499999999999996</v>
      </c>
    </row>
    <row r="5852" spans="2:5">
      <c r="B5852" s="1115">
        <v>45166</v>
      </c>
      <c r="C5852" s="242">
        <f t="shared" si="183"/>
        <v>8</v>
      </c>
      <c r="D5852" s="242" t="s">
        <v>1851</v>
      </c>
      <c r="E5852" s="845">
        <f t="shared" si="184"/>
        <v>17.222222222222221</v>
      </c>
    </row>
    <row r="5853" spans="2:5">
      <c r="B5853" s="1115">
        <v>45166</v>
      </c>
      <c r="C5853" s="242">
        <f t="shared" si="183"/>
        <v>8</v>
      </c>
      <c r="D5853" s="242">
        <v>61.3</v>
      </c>
      <c r="E5853" s="845">
        <f t="shared" si="184"/>
        <v>16.277777777777775</v>
      </c>
    </row>
    <row r="5854" spans="2:5">
      <c r="B5854" s="1115">
        <v>45166</v>
      </c>
      <c r="C5854" s="242">
        <f t="shared" si="183"/>
        <v>8</v>
      </c>
      <c r="D5854" s="242">
        <v>59.5</v>
      </c>
      <c r="E5854" s="845">
        <f t="shared" si="184"/>
        <v>15.277777777777777</v>
      </c>
    </row>
    <row r="5855" spans="2:5">
      <c r="B5855" s="1115">
        <v>45166</v>
      </c>
      <c r="C5855" s="242">
        <f t="shared" si="183"/>
        <v>8</v>
      </c>
      <c r="D5855" s="242">
        <v>58.1</v>
      </c>
      <c r="E5855" s="845">
        <f t="shared" si="184"/>
        <v>14.5</v>
      </c>
    </row>
    <row r="5856" spans="2:5">
      <c r="B5856" s="1115">
        <v>45166</v>
      </c>
      <c r="C5856" s="242">
        <f t="shared" si="183"/>
        <v>8</v>
      </c>
      <c r="D5856" s="242">
        <v>57.7</v>
      </c>
      <c r="E5856" s="845">
        <f t="shared" si="184"/>
        <v>14.277777777777779</v>
      </c>
    </row>
    <row r="5857" spans="2:5">
      <c r="B5857" s="1115">
        <v>45166</v>
      </c>
      <c r="C5857" s="242">
        <f t="shared" si="183"/>
        <v>8</v>
      </c>
      <c r="D5857" s="242">
        <v>57.6</v>
      </c>
      <c r="E5857" s="845">
        <f t="shared" si="184"/>
        <v>14.222222222222223</v>
      </c>
    </row>
    <row r="5858" spans="2:5">
      <c r="B5858" s="1115">
        <v>45166</v>
      </c>
      <c r="C5858" s="242">
        <f t="shared" si="183"/>
        <v>8</v>
      </c>
      <c r="D5858" s="242">
        <v>58.6</v>
      </c>
      <c r="E5858" s="845">
        <f t="shared" si="184"/>
        <v>14.777777777777779</v>
      </c>
    </row>
    <row r="5859" spans="2:5">
      <c r="B5859" s="1115">
        <v>45166</v>
      </c>
      <c r="C5859" s="242">
        <f t="shared" si="183"/>
        <v>8</v>
      </c>
      <c r="D5859" s="242">
        <v>60.4</v>
      </c>
      <c r="E5859" s="845">
        <f t="shared" si="184"/>
        <v>15.777777777777777</v>
      </c>
    </row>
    <row r="5860" spans="2:5">
      <c r="B5860" s="1115">
        <v>45166</v>
      </c>
      <c r="C5860" s="242">
        <f t="shared" si="183"/>
        <v>8</v>
      </c>
      <c r="D5860" s="242" t="s">
        <v>1851</v>
      </c>
      <c r="E5860" s="845">
        <f t="shared" si="184"/>
        <v>17.222222222222221</v>
      </c>
    </row>
    <row r="5861" spans="2:5">
      <c r="B5861" s="1115">
        <v>45166</v>
      </c>
      <c r="C5861" s="242">
        <f t="shared" si="183"/>
        <v>8</v>
      </c>
      <c r="D5861" s="242">
        <v>64.8</v>
      </c>
      <c r="E5861" s="845">
        <f t="shared" si="184"/>
        <v>18.222222222222221</v>
      </c>
    </row>
    <row r="5862" spans="2:5">
      <c r="B5862" s="1115">
        <v>45166</v>
      </c>
      <c r="C5862" s="242">
        <f t="shared" si="183"/>
        <v>8</v>
      </c>
      <c r="D5862" s="242">
        <v>65.5</v>
      </c>
      <c r="E5862" s="845">
        <f t="shared" si="184"/>
        <v>18.611111111111111</v>
      </c>
    </row>
    <row r="5863" spans="2:5">
      <c r="B5863" s="1115">
        <v>45166</v>
      </c>
      <c r="C5863" s="242">
        <f t="shared" si="183"/>
        <v>8</v>
      </c>
      <c r="D5863" s="242">
        <v>65.3</v>
      </c>
      <c r="E5863" s="845">
        <f t="shared" si="184"/>
        <v>18.499999999999996</v>
      </c>
    </row>
    <row r="5864" spans="2:5">
      <c r="B5864" s="1115">
        <v>45166</v>
      </c>
      <c r="C5864" s="242">
        <f t="shared" si="183"/>
        <v>8</v>
      </c>
      <c r="D5864" s="242">
        <v>62.4</v>
      </c>
      <c r="E5864" s="845">
        <f t="shared" si="184"/>
        <v>16.888888888888889</v>
      </c>
    </row>
    <row r="5865" spans="2:5">
      <c r="B5865" s="1115">
        <v>45167</v>
      </c>
      <c r="C5865" s="242">
        <f t="shared" si="183"/>
        <v>8</v>
      </c>
      <c r="D5865" s="242">
        <v>61.2</v>
      </c>
      <c r="E5865" s="845">
        <f t="shared" si="184"/>
        <v>16.222222222222225</v>
      </c>
    </row>
    <row r="5866" spans="2:5">
      <c r="B5866" s="1115">
        <v>45167</v>
      </c>
      <c r="C5866" s="242">
        <f t="shared" si="183"/>
        <v>8</v>
      </c>
      <c r="D5866" s="242">
        <v>59.5</v>
      </c>
      <c r="E5866" s="845">
        <f t="shared" si="184"/>
        <v>15.277777777777777</v>
      </c>
    </row>
    <row r="5867" spans="2:5">
      <c r="B5867" s="1115">
        <v>45167</v>
      </c>
      <c r="C5867" s="242">
        <f t="shared" si="183"/>
        <v>8</v>
      </c>
      <c r="D5867" s="242">
        <v>58.8</v>
      </c>
      <c r="E5867" s="845">
        <f t="shared" si="184"/>
        <v>14.888888888888888</v>
      </c>
    </row>
    <row r="5868" spans="2:5">
      <c r="B5868" s="1115">
        <v>45167</v>
      </c>
      <c r="C5868" s="242">
        <f t="shared" si="183"/>
        <v>8</v>
      </c>
      <c r="D5868" s="242">
        <v>58.6</v>
      </c>
      <c r="E5868" s="845">
        <f t="shared" si="184"/>
        <v>14.777777777777779</v>
      </c>
    </row>
    <row r="5869" spans="2:5">
      <c r="B5869" s="1115">
        <v>45167</v>
      </c>
      <c r="C5869" s="242">
        <f t="shared" si="183"/>
        <v>8</v>
      </c>
      <c r="D5869" s="242">
        <v>58.6</v>
      </c>
      <c r="E5869" s="845">
        <f t="shared" si="184"/>
        <v>14.777777777777779</v>
      </c>
    </row>
    <row r="5870" spans="2:5">
      <c r="B5870" s="1115">
        <v>45167</v>
      </c>
      <c r="C5870" s="242">
        <f t="shared" si="183"/>
        <v>8</v>
      </c>
      <c r="D5870" s="242" t="s">
        <v>1849</v>
      </c>
      <c r="E5870" s="845">
        <f t="shared" si="184"/>
        <v>15</v>
      </c>
    </row>
    <row r="5871" spans="2:5">
      <c r="B5871" s="1115">
        <v>45167</v>
      </c>
      <c r="C5871" s="242">
        <f t="shared" si="183"/>
        <v>8</v>
      </c>
      <c r="D5871" s="242">
        <v>60.3</v>
      </c>
      <c r="E5871" s="845">
        <f t="shared" si="184"/>
        <v>15.72222222222222</v>
      </c>
    </row>
    <row r="5872" spans="2:5">
      <c r="B5872" s="1115">
        <v>45167</v>
      </c>
      <c r="C5872" s="242">
        <f t="shared" si="183"/>
        <v>8</v>
      </c>
      <c r="D5872" s="242">
        <v>61.9</v>
      </c>
      <c r="E5872" s="845">
        <f t="shared" si="184"/>
        <v>16.611111111111111</v>
      </c>
    </row>
    <row r="5873" spans="2:5">
      <c r="B5873" s="1115">
        <v>45167</v>
      </c>
      <c r="C5873" s="242">
        <f t="shared" si="183"/>
        <v>8</v>
      </c>
      <c r="D5873" s="242">
        <v>63.7</v>
      </c>
      <c r="E5873" s="845">
        <f t="shared" si="184"/>
        <v>17.611111111111111</v>
      </c>
    </row>
    <row r="5874" spans="2:5">
      <c r="B5874" s="1115">
        <v>45167</v>
      </c>
      <c r="C5874" s="242">
        <f t="shared" si="183"/>
        <v>8</v>
      </c>
      <c r="D5874" s="242">
        <v>64.900000000000006</v>
      </c>
      <c r="E5874" s="845">
        <f t="shared" si="184"/>
        <v>18.277777777777782</v>
      </c>
    </row>
    <row r="5875" spans="2:5">
      <c r="B5875" s="1115">
        <v>45167</v>
      </c>
      <c r="C5875" s="242">
        <f t="shared" si="183"/>
        <v>8</v>
      </c>
      <c r="D5875" s="242">
        <v>65.7</v>
      </c>
      <c r="E5875" s="845">
        <f t="shared" si="184"/>
        <v>18.722222222222225</v>
      </c>
    </row>
    <row r="5876" spans="2:5">
      <c r="B5876" s="1115">
        <v>45167</v>
      </c>
      <c r="C5876" s="242">
        <f t="shared" si="183"/>
        <v>8</v>
      </c>
      <c r="D5876" s="242">
        <v>65.8</v>
      </c>
      <c r="E5876" s="845">
        <f t="shared" si="184"/>
        <v>18.777777777777775</v>
      </c>
    </row>
    <row r="5877" spans="2:5">
      <c r="B5877" s="1115">
        <v>45167</v>
      </c>
      <c r="C5877" s="242">
        <f t="shared" si="183"/>
        <v>8</v>
      </c>
      <c r="D5877" s="242">
        <v>63.3</v>
      </c>
      <c r="E5877" s="845">
        <f t="shared" si="184"/>
        <v>17.388888888888886</v>
      </c>
    </row>
    <row r="5878" spans="2:5">
      <c r="B5878" s="1115">
        <v>45167</v>
      </c>
      <c r="C5878" s="242">
        <f t="shared" si="183"/>
        <v>8</v>
      </c>
      <c r="D5878" s="242">
        <v>62.2</v>
      </c>
      <c r="E5878" s="845">
        <f t="shared" si="184"/>
        <v>16.777777777777779</v>
      </c>
    </row>
    <row r="5879" spans="2:5">
      <c r="B5879" s="1115">
        <v>45167</v>
      </c>
      <c r="C5879" s="242">
        <f t="shared" si="183"/>
        <v>8</v>
      </c>
      <c r="D5879" s="242">
        <v>60.8</v>
      </c>
      <c r="E5879" s="845">
        <f t="shared" si="184"/>
        <v>15.999999999999998</v>
      </c>
    </row>
    <row r="5880" spans="2:5">
      <c r="B5880" s="1115">
        <v>45167</v>
      </c>
      <c r="C5880" s="242">
        <f t="shared" si="183"/>
        <v>8</v>
      </c>
      <c r="D5880" s="242">
        <v>60.1</v>
      </c>
      <c r="E5880" s="845">
        <f t="shared" si="184"/>
        <v>15.611111111111111</v>
      </c>
    </row>
    <row r="5881" spans="2:5">
      <c r="B5881" s="1115">
        <v>45167</v>
      </c>
      <c r="C5881" s="242">
        <f t="shared" si="183"/>
        <v>8</v>
      </c>
      <c r="D5881" s="242">
        <v>59.9</v>
      </c>
      <c r="E5881" s="845">
        <f t="shared" si="184"/>
        <v>15.499999999999998</v>
      </c>
    </row>
    <row r="5882" spans="2:5">
      <c r="B5882" s="1115">
        <v>45167</v>
      </c>
      <c r="C5882" s="242">
        <f t="shared" si="183"/>
        <v>8</v>
      </c>
      <c r="D5882" s="242">
        <v>60.3</v>
      </c>
      <c r="E5882" s="845">
        <f t="shared" si="184"/>
        <v>15.72222222222222</v>
      </c>
    </row>
    <row r="5883" spans="2:5">
      <c r="B5883" s="1115">
        <v>45167</v>
      </c>
      <c r="C5883" s="242">
        <f t="shared" si="183"/>
        <v>8</v>
      </c>
      <c r="D5883" s="242">
        <v>60.8</v>
      </c>
      <c r="E5883" s="845">
        <f t="shared" si="184"/>
        <v>15.999999999999998</v>
      </c>
    </row>
    <row r="5884" spans="2:5">
      <c r="B5884" s="1115">
        <v>45167</v>
      </c>
      <c r="C5884" s="242">
        <f t="shared" si="183"/>
        <v>8</v>
      </c>
      <c r="D5884" s="242">
        <v>61.9</v>
      </c>
      <c r="E5884" s="845">
        <f t="shared" si="184"/>
        <v>16.611111111111111</v>
      </c>
    </row>
    <row r="5885" spans="2:5">
      <c r="B5885" s="1115">
        <v>45167</v>
      </c>
      <c r="C5885" s="242">
        <f t="shared" si="183"/>
        <v>8</v>
      </c>
      <c r="D5885" s="242" t="s">
        <v>1852</v>
      </c>
      <c r="E5885" s="845">
        <f t="shared" si="184"/>
        <v>17.777777777777779</v>
      </c>
    </row>
    <row r="5886" spans="2:5">
      <c r="B5886" s="1115">
        <v>45167</v>
      </c>
      <c r="C5886" s="242">
        <f t="shared" si="183"/>
        <v>8</v>
      </c>
      <c r="D5886" s="242">
        <v>65.3</v>
      </c>
      <c r="E5886" s="845">
        <f t="shared" si="184"/>
        <v>18.499999999999996</v>
      </c>
    </row>
    <row r="5887" spans="2:5">
      <c r="B5887" s="1115">
        <v>45167</v>
      </c>
      <c r="C5887" s="242">
        <f t="shared" si="183"/>
        <v>8</v>
      </c>
      <c r="D5887" s="242" t="s">
        <v>1853</v>
      </c>
      <c r="E5887" s="845">
        <f t="shared" si="184"/>
        <v>18.888888888888889</v>
      </c>
    </row>
    <row r="5888" spans="2:5">
      <c r="B5888" s="1115">
        <v>45167</v>
      </c>
      <c r="C5888" s="242">
        <f t="shared" si="183"/>
        <v>8</v>
      </c>
      <c r="D5888" s="242">
        <v>65.8</v>
      </c>
      <c r="E5888" s="845">
        <f t="shared" si="184"/>
        <v>18.777777777777775</v>
      </c>
    </row>
    <row r="5889" spans="2:5">
      <c r="B5889" s="1115">
        <v>45168</v>
      </c>
      <c r="C5889" s="242">
        <f t="shared" si="183"/>
        <v>8</v>
      </c>
      <c r="D5889" s="242">
        <v>63.5</v>
      </c>
      <c r="E5889" s="845">
        <f t="shared" si="184"/>
        <v>17.5</v>
      </c>
    </row>
    <row r="5890" spans="2:5">
      <c r="B5890" s="1115">
        <v>45168</v>
      </c>
      <c r="C5890" s="242">
        <f t="shared" si="183"/>
        <v>8</v>
      </c>
      <c r="D5890" s="242">
        <v>61.9</v>
      </c>
      <c r="E5890" s="845">
        <f t="shared" si="184"/>
        <v>16.611111111111111</v>
      </c>
    </row>
    <row r="5891" spans="2:5">
      <c r="B5891" s="1115">
        <v>45168</v>
      </c>
      <c r="C5891" s="242">
        <f t="shared" si="183"/>
        <v>8</v>
      </c>
      <c r="D5891" s="242">
        <v>61.3</v>
      </c>
      <c r="E5891" s="845">
        <f t="shared" si="184"/>
        <v>16.277777777777775</v>
      </c>
    </row>
    <row r="5892" spans="2:5">
      <c r="B5892" s="1115">
        <v>45168</v>
      </c>
      <c r="C5892" s="242">
        <f t="shared" si="183"/>
        <v>8</v>
      </c>
      <c r="D5892" s="242">
        <v>60.6</v>
      </c>
      <c r="E5892" s="845">
        <f t="shared" si="184"/>
        <v>15.888888888888889</v>
      </c>
    </row>
    <row r="5893" spans="2:5">
      <c r="B5893" s="1115">
        <v>45168</v>
      </c>
      <c r="C5893" s="242">
        <f t="shared" si="183"/>
        <v>8</v>
      </c>
      <c r="D5893" s="242">
        <v>59.7</v>
      </c>
      <c r="E5893" s="845">
        <f t="shared" si="184"/>
        <v>15.388888888888889</v>
      </c>
    </row>
    <row r="5894" spans="2:5">
      <c r="B5894" s="1115">
        <v>45168</v>
      </c>
      <c r="C5894" s="242">
        <f t="shared" si="183"/>
        <v>8</v>
      </c>
      <c r="D5894" s="242">
        <v>60.8</v>
      </c>
      <c r="E5894" s="845">
        <f t="shared" si="184"/>
        <v>15.999999999999998</v>
      </c>
    </row>
    <row r="5895" spans="2:5">
      <c r="B5895" s="1115">
        <v>45168</v>
      </c>
      <c r="C5895" s="242">
        <f t="shared" si="183"/>
        <v>8</v>
      </c>
      <c r="D5895" s="242">
        <v>60.4</v>
      </c>
      <c r="E5895" s="845">
        <f t="shared" si="184"/>
        <v>15.777777777777777</v>
      </c>
    </row>
    <row r="5896" spans="2:5">
      <c r="B5896" s="1115">
        <v>45168</v>
      </c>
      <c r="C5896" s="242">
        <f t="shared" si="183"/>
        <v>8</v>
      </c>
      <c r="D5896" s="242">
        <v>61.7</v>
      </c>
      <c r="E5896" s="845">
        <f t="shared" si="184"/>
        <v>16.5</v>
      </c>
    </row>
    <row r="5897" spans="2:5">
      <c r="B5897" s="1115">
        <v>45168</v>
      </c>
      <c r="C5897" s="242">
        <f t="shared" si="183"/>
        <v>8</v>
      </c>
      <c r="D5897" s="242">
        <v>63.1</v>
      </c>
      <c r="E5897" s="845">
        <f t="shared" si="184"/>
        <v>17.277777777777779</v>
      </c>
    </row>
    <row r="5898" spans="2:5">
      <c r="B5898" s="1115">
        <v>45168</v>
      </c>
      <c r="C5898" s="242">
        <f t="shared" ref="C5898:C5961" si="185">MONTH(B5898)</f>
        <v>8</v>
      </c>
      <c r="D5898" s="242">
        <v>64.2</v>
      </c>
      <c r="E5898" s="845">
        <f t="shared" ref="E5898:E5961" si="186">CONVERT(D5898,"F","C")</f>
        <v>17.888888888888889</v>
      </c>
    </row>
    <row r="5899" spans="2:5">
      <c r="B5899" s="1115">
        <v>45168</v>
      </c>
      <c r="C5899" s="242">
        <f t="shared" si="185"/>
        <v>8</v>
      </c>
      <c r="D5899" s="242">
        <v>65.5</v>
      </c>
      <c r="E5899" s="845">
        <f t="shared" si="186"/>
        <v>18.611111111111111</v>
      </c>
    </row>
    <row r="5900" spans="2:5">
      <c r="B5900" s="1115">
        <v>45168</v>
      </c>
      <c r="C5900" s="242">
        <f t="shared" si="185"/>
        <v>8</v>
      </c>
      <c r="D5900" s="242">
        <v>66.2</v>
      </c>
      <c r="E5900" s="845">
        <f t="shared" si="186"/>
        <v>19</v>
      </c>
    </row>
    <row r="5901" spans="2:5">
      <c r="B5901" s="1115">
        <v>45168</v>
      </c>
      <c r="C5901" s="242">
        <f t="shared" si="185"/>
        <v>8</v>
      </c>
      <c r="D5901" s="242">
        <v>66.2</v>
      </c>
      <c r="E5901" s="845">
        <f t="shared" si="186"/>
        <v>19</v>
      </c>
    </row>
    <row r="5902" spans="2:5">
      <c r="B5902" s="1115">
        <v>45168</v>
      </c>
      <c r="C5902" s="242">
        <f t="shared" si="185"/>
        <v>8</v>
      </c>
      <c r="D5902" s="242" t="s">
        <v>1852</v>
      </c>
      <c r="E5902" s="845">
        <f t="shared" si="186"/>
        <v>17.777777777777779</v>
      </c>
    </row>
    <row r="5903" spans="2:5">
      <c r="B5903" s="1115">
        <v>45168</v>
      </c>
      <c r="C5903" s="242">
        <f t="shared" si="185"/>
        <v>8</v>
      </c>
      <c r="D5903" s="242" t="s">
        <v>1851</v>
      </c>
      <c r="E5903" s="845">
        <f t="shared" si="186"/>
        <v>17.222222222222221</v>
      </c>
    </row>
    <row r="5904" spans="2:5">
      <c r="B5904" s="1115">
        <v>45168</v>
      </c>
      <c r="C5904" s="242">
        <f t="shared" si="185"/>
        <v>8</v>
      </c>
      <c r="D5904" s="242">
        <v>62.2</v>
      </c>
      <c r="E5904" s="845">
        <f t="shared" si="186"/>
        <v>16.777777777777779</v>
      </c>
    </row>
    <row r="5905" spans="2:5">
      <c r="B5905" s="1115">
        <v>45168</v>
      </c>
      <c r="C5905" s="242">
        <f t="shared" si="185"/>
        <v>8</v>
      </c>
      <c r="D5905" s="242">
        <v>61.3</v>
      </c>
      <c r="E5905" s="845">
        <f t="shared" si="186"/>
        <v>16.277777777777775</v>
      </c>
    </row>
    <row r="5906" spans="2:5">
      <c r="B5906" s="1115">
        <v>45168</v>
      </c>
      <c r="C5906" s="242">
        <f t="shared" si="185"/>
        <v>8</v>
      </c>
      <c r="D5906" s="242">
        <v>61.2</v>
      </c>
      <c r="E5906" s="845">
        <f t="shared" si="186"/>
        <v>16.222222222222225</v>
      </c>
    </row>
    <row r="5907" spans="2:5">
      <c r="B5907" s="1115">
        <v>45168</v>
      </c>
      <c r="C5907" s="242">
        <f t="shared" si="185"/>
        <v>8</v>
      </c>
      <c r="D5907" s="242">
        <v>61.5</v>
      </c>
      <c r="E5907" s="845">
        <f t="shared" si="186"/>
        <v>16.388888888888889</v>
      </c>
    </row>
    <row r="5908" spans="2:5">
      <c r="B5908" s="1115">
        <v>45168</v>
      </c>
      <c r="C5908" s="242">
        <f t="shared" si="185"/>
        <v>8</v>
      </c>
      <c r="D5908" s="242">
        <v>61.9</v>
      </c>
      <c r="E5908" s="845">
        <f t="shared" si="186"/>
        <v>16.611111111111111</v>
      </c>
    </row>
    <row r="5909" spans="2:5">
      <c r="B5909" s="1115">
        <v>45168</v>
      </c>
      <c r="C5909" s="242">
        <f t="shared" si="185"/>
        <v>8</v>
      </c>
      <c r="D5909" s="242">
        <v>63.1</v>
      </c>
      <c r="E5909" s="845">
        <f t="shared" si="186"/>
        <v>17.277777777777779</v>
      </c>
    </row>
    <row r="5910" spans="2:5">
      <c r="B5910" s="1115">
        <v>45168</v>
      </c>
      <c r="C5910" s="242">
        <f t="shared" si="185"/>
        <v>8</v>
      </c>
      <c r="D5910" s="242">
        <v>64.8</v>
      </c>
      <c r="E5910" s="845">
        <f t="shared" si="186"/>
        <v>18.222222222222221</v>
      </c>
    </row>
    <row r="5911" spans="2:5">
      <c r="B5911" s="1115">
        <v>45168</v>
      </c>
      <c r="C5911" s="242">
        <f t="shared" si="185"/>
        <v>8</v>
      </c>
      <c r="D5911" s="242">
        <v>65.8</v>
      </c>
      <c r="E5911" s="845">
        <f t="shared" si="186"/>
        <v>18.777777777777775</v>
      </c>
    </row>
    <row r="5912" spans="2:5">
      <c r="B5912" s="1115">
        <v>45168</v>
      </c>
      <c r="C5912" s="242">
        <f t="shared" si="185"/>
        <v>8</v>
      </c>
      <c r="D5912" s="242">
        <v>66.400000000000006</v>
      </c>
      <c r="E5912" s="845">
        <f t="shared" si="186"/>
        <v>19.111111111111114</v>
      </c>
    </row>
    <row r="5913" spans="2:5">
      <c r="B5913" s="1115">
        <v>45169</v>
      </c>
      <c r="C5913" s="242">
        <f t="shared" si="185"/>
        <v>8</v>
      </c>
      <c r="D5913" s="242">
        <v>66.599999999999994</v>
      </c>
      <c r="E5913" s="845">
        <f t="shared" si="186"/>
        <v>19.222222222222218</v>
      </c>
    </row>
    <row r="5914" spans="2:5">
      <c r="B5914" s="1115">
        <v>45169</v>
      </c>
      <c r="C5914" s="242">
        <f t="shared" si="185"/>
        <v>8</v>
      </c>
      <c r="D5914" s="242">
        <v>64.900000000000006</v>
      </c>
      <c r="E5914" s="845">
        <f t="shared" si="186"/>
        <v>18.277777777777782</v>
      </c>
    </row>
    <row r="5915" spans="2:5">
      <c r="B5915" s="1115">
        <v>45169</v>
      </c>
      <c r="C5915" s="242">
        <f t="shared" si="185"/>
        <v>8</v>
      </c>
      <c r="D5915" s="242">
        <v>63.7</v>
      </c>
      <c r="E5915" s="845">
        <f t="shared" si="186"/>
        <v>17.611111111111111</v>
      </c>
    </row>
    <row r="5916" spans="2:5">
      <c r="B5916" s="1115">
        <v>45169</v>
      </c>
      <c r="C5916" s="242">
        <f t="shared" si="185"/>
        <v>8</v>
      </c>
      <c r="D5916" s="242">
        <v>62.2</v>
      </c>
      <c r="E5916" s="845">
        <f t="shared" si="186"/>
        <v>16.777777777777779</v>
      </c>
    </row>
    <row r="5917" spans="2:5">
      <c r="B5917" s="1115">
        <v>45169</v>
      </c>
      <c r="C5917" s="242">
        <f t="shared" si="185"/>
        <v>8</v>
      </c>
      <c r="D5917" s="242">
        <v>61.3</v>
      </c>
      <c r="E5917" s="845">
        <f t="shared" si="186"/>
        <v>16.277777777777775</v>
      </c>
    </row>
    <row r="5918" spans="2:5">
      <c r="B5918" s="1115">
        <v>45169</v>
      </c>
      <c r="C5918" s="242">
        <f t="shared" si="185"/>
        <v>8</v>
      </c>
      <c r="D5918" s="242">
        <v>60.6</v>
      </c>
      <c r="E5918" s="845">
        <f t="shared" si="186"/>
        <v>15.888888888888889</v>
      </c>
    </row>
    <row r="5919" spans="2:5">
      <c r="B5919" s="1115">
        <v>45169</v>
      </c>
      <c r="C5919" s="242">
        <f t="shared" si="185"/>
        <v>8</v>
      </c>
      <c r="D5919" s="242">
        <v>61.5</v>
      </c>
      <c r="E5919" s="845">
        <f t="shared" si="186"/>
        <v>16.388888888888889</v>
      </c>
    </row>
    <row r="5920" spans="2:5">
      <c r="B5920" s="1115">
        <v>45169</v>
      </c>
      <c r="C5920" s="242">
        <f t="shared" si="185"/>
        <v>8</v>
      </c>
      <c r="D5920" s="242">
        <v>61.5</v>
      </c>
      <c r="E5920" s="845">
        <f t="shared" si="186"/>
        <v>16.388888888888889</v>
      </c>
    </row>
    <row r="5921" spans="2:5">
      <c r="B5921" s="1115">
        <v>45169</v>
      </c>
      <c r="C5921" s="242">
        <f t="shared" si="185"/>
        <v>8</v>
      </c>
      <c r="D5921" s="242">
        <v>62.8</v>
      </c>
      <c r="E5921" s="845">
        <f t="shared" si="186"/>
        <v>17.111111111111111</v>
      </c>
    </row>
    <row r="5922" spans="2:5">
      <c r="B5922" s="1115">
        <v>45169</v>
      </c>
      <c r="C5922" s="242">
        <f t="shared" si="185"/>
        <v>8</v>
      </c>
      <c r="D5922" s="242">
        <v>64.2</v>
      </c>
      <c r="E5922" s="845">
        <f t="shared" si="186"/>
        <v>17.888888888888889</v>
      </c>
    </row>
    <row r="5923" spans="2:5">
      <c r="B5923" s="1115">
        <v>45169</v>
      </c>
      <c r="C5923" s="242">
        <f t="shared" si="185"/>
        <v>8</v>
      </c>
      <c r="D5923" s="242">
        <v>65.3</v>
      </c>
      <c r="E5923" s="845">
        <f t="shared" si="186"/>
        <v>18.499999999999996</v>
      </c>
    </row>
    <row r="5924" spans="2:5">
      <c r="B5924" s="1115">
        <v>45169</v>
      </c>
      <c r="C5924" s="242">
        <f t="shared" si="185"/>
        <v>8</v>
      </c>
      <c r="D5924" s="242" t="s">
        <v>1853</v>
      </c>
      <c r="E5924" s="845">
        <f t="shared" si="186"/>
        <v>18.888888888888889</v>
      </c>
    </row>
    <row r="5925" spans="2:5">
      <c r="B5925" s="1115">
        <v>45169</v>
      </c>
      <c r="C5925" s="242">
        <f t="shared" si="185"/>
        <v>8</v>
      </c>
      <c r="D5925" s="242">
        <v>66.599999999999994</v>
      </c>
      <c r="E5925" s="845">
        <f t="shared" si="186"/>
        <v>19.222222222222218</v>
      </c>
    </row>
    <row r="5926" spans="2:5">
      <c r="B5926" s="1115">
        <v>45169</v>
      </c>
      <c r="C5926" s="242">
        <f t="shared" si="185"/>
        <v>8</v>
      </c>
      <c r="D5926" s="242">
        <v>66.400000000000006</v>
      </c>
      <c r="E5926" s="845">
        <f t="shared" si="186"/>
        <v>19.111111111111114</v>
      </c>
    </row>
    <row r="5927" spans="2:5">
      <c r="B5927" s="1115">
        <v>45169</v>
      </c>
      <c r="C5927" s="242">
        <f t="shared" si="185"/>
        <v>8</v>
      </c>
      <c r="D5927" s="242">
        <v>64.599999999999994</v>
      </c>
      <c r="E5927" s="845">
        <f t="shared" si="186"/>
        <v>18.111111111111107</v>
      </c>
    </row>
    <row r="5928" spans="2:5">
      <c r="B5928" s="1115">
        <v>45169</v>
      </c>
      <c r="C5928" s="242">
        <f t="shared" si="185"/>
        <v>8</v>
      </c>
      <c r="D5928" s="242">
        <v>62.8</v>
      </c>
      <c r="E5928" s="845">
        <f t="shared" si="186"/>
        <v>17.111111111111111</v>
      </c>
    </row>
    <row r="5929" spans="2:5">
      <c r="B5929" s="1115">
        <v>45169</v>
      </c>
      <c r="C5929" s="242">
        <f t="shared" si="185"/>
        <v>8</v>
      </c>
      <c r="D5929" s="242">
        <v>59.9</v>
      </c>
      <c r="E5929" s="845">
        <f t="shared" si="186"/>
        <v>15.499999999999998</v>
      </c>
    </row>
    <row r="5930" spans="2:5">
      <c r="B5930" s="1115">
        <v>45169</v>
      </c>
      <c r="C5930" s="242">
        <f t="shared" si="185"/>
        <v>8</v>
      </c>
      <c r="D5930" s="242">
        <v>58.8</v>
      </c>
      <c r="E5930" s="845">
        <f t="shared" si="186"/>
        <v>14.888888888888888</v>
      </c>
    </row>
    <row r="5931" spans="2:5">
      <c r="B5931" s="1115">
        <v>45169</v>
      </c>
      <c r="C5931" s="242">
        <f t="shared" si="185"/>
        <v>8</v>
      </c>
      <c r="D5931" s="242" t="s">
        <v>1849</v>
      </c>
      <c r="E5931" s="845">
        <f t="shared" si="186"/>
        <v>15</v>
      </c>
    </row>
    <row r="5932" spans="2:5">
      <c r="B5932" s="1115">
        <v>45169</v>
      </c>
      <c r="C5932" s="242">
        <f t="shared" si="185"/>
        <v>8</v>
      </c>
      <c r="D5932" s="242">
        <v>59.5</v>
      </c>
      <c r="E5932" s="845">
        <f t="shared" si="186"/>
        <v>15.277777777777777</v>
      </c>
    </row>
    <row r="5933" spans="2:5">
      <c r="B5933" s="1115">
        <v>45169</v>
      </c>
      <c r="C5933" s="242">
        <f t="shared" si="185"/>
        <v>8</v>
      </c>
      <c r="D5933" s="242">
        <v>60.4</v>
      </c>
      <c r="E5933" s="845">
        <f t="shared" si="186"/>
        <v>15.777777777777777</v>
      </c>
    </row>
    <row r="5934" spans="2:5">
      <c r="B5934" s="1115">
        <v>45169</v>
      </c>
      <c r="C5934" s="242">
        <f t="shared" si="185"/>
        <v>8</v>
      </c>
      <c r="D5934" s="242">
        <v>62.8</v>
      </c>
      <c r="E5934" s="845">
        <f t="shared" si="186"/>
        <v>17.111111111111111</v>
      </c>
    </row>
    <row r="5935" spans="2:5">
      <c r="B5935" s="1115">
        <v>45169</v>
      </c>
      <c r="C5935" s="242">
        <f t="shared" si="185"/>
        <v>8</v>
      </c>
      <c r="D5935" s="242">
        <v>64.8</v>
      </c>
      <c r="E5935" s="845">
        <f t="shared" si="186"/>
        <v>18.222222222222221</v>
      </c>
    </row>
    <row r="5936" spans="2:5">
      <c r="B5936" s="1115">
        <v>45169</v>
      </c>
      <c r="C5936" s="242">
        <f t="shared" si="185"/>
        <v>8</v>
      </c>
      <c r="D5936" s="242" t="s">
        <v>1853</v>
      </c>
      <c r="E5936" s="845">
        <f t="shared" si="186"/>
        <v>18.888888888888889</v>
      </c>
    </row>
    <row r="5937" spans="2:5">
      <c r="B5937" s="1115">
        <v>45170</v>
      </c>
      <c r="C5937" s="242">
        <f t="shared" si="185"/>
        <v>9</v>
      </c>
      <c r="D5937" s="242">
        <v>66.7</v>
      </c>
      <c r="E5937" s="845">
        <f t="shared" si="186"/>
        <v>19.277777777777779</v>
      </c>
    </row>
    <row r="5938" spans="2:5">
      <c r="B5938" s="1115">
        <v>45170</v>
      </c>
      <c r="C5938" s="242">
        <f t="shared" si="185"/>
        <v>9</v>
      </c>
      <c r="D5938" s="242">
        <v>66.599999999999994</v>
      </c>
      <c r="E5938" s="845">
        <f t="shared" si="186"/>
        <v>19.222222222222218</v>
      </c>
    </row>
    <row r="5939" spans="2:5">
      <c r="B5939" s="1115">
        <v>45170</v>
      </c>
      <c r="C5939" s="242">
        <f t="shared" si="185"/>
        <v>9</v>
      </c>
      <c r="D5939" s="242">
        <v>64.2</v>
      </c>
      <c r="E5939" s="845">
        <f t="shared" si="186"/>
        <v>17.888888888888889</v>
      </c>
    </row>
    <row r="5940" spans="2:5">
      <c r="B5940" s="1115">
        <v>45170</v>
      </c>
      <c r="C5940" s="242">
        <f t="shared" si="185"/>
        <v>9</v>
      </c>
      <c r="D5940" s="242">
        <v>63.3</v>
      </c>
      <c r="E5940" s="845">
        <f t="shared" si="186"/>
        <v>17.388888888888886</v>
      </c>
    </row>
    <row r="5941" spans="2:5">
      <c r="B5941" s="1115">
        <v>45170</v>
      </c>
      <c r="C5941" s="242">
        <f t="shared" si="185"/>
        <v>9</v>
      </c>
      <c r="D5941" s="242">
        <v>62.6</v>
      </c>
      <c r="E5941" s="845">
        <f t="shared" si="186"/>
        <v>17</v>
      </c>
    </row>
    <row r="5942" spans="2:5">
      <c r="B5942" s="1115">
        <v>45170</v>
      </c>
      <c r="C5942" s="242">
        <f t="shared" si="185"/>
        <v>9</v>
      </c>
      <c r="D5942" s="242">
        <v>61.9</v>
      </c>
      <c r="E5942" s="845">
        <f t="shared" si="186"/>
        <v>16.611111111111111</v>
      </c>
    </row>
    <row r="5943" spans="2:5">
      <c r="B5943" s="1115">
        <v>45170</v>
      </c>
      <c r="C5943" s="242">
        <f t="shared" si="185"/>
        <v>9</v>
      </c>
      <c r="D5943" s="242">
        <v>61.9</v>
      </c>
      <c r="E5943" s="845">
        <f t="shared" si="186"/>
        <v>16.611111111111111</v>
      </c>
    </row>
    <row r="5944" spans="2:5">
      <c r="B5944" s="1115">
        <v>45170</v>
      </c>
      <c r="C5944" s="242">
        <f t="shared" si="185"/>
        <v>9</v>
      </c>
      <c r="D5944" s="242">
        <v>62.4</v>
      </c>
      <c r="E5944" s="845">
        <f t="shared" si="186"/>
        <v>16.888888888888889</v>
      </c>
    </row>
    <row r="5945" spans="2:5">
      <c r="B5945" s="1115">
        <v>45170</v>
      </c>
      <c r="C5945" s="242">
        <f t="shared" si="185"/>
        <v>9</v>
      </c>
      <c r="D5945" s="242">
        <v>62.4</v>
      </c>
      <c r="E5945" s="845">
        <f t="shared" si="186"/>
        <v>16.888888888888889</v>
      </c>
    </row>
    <row r="5946" spans="2:5">
      <c r="B5946" s="1115">
        <v>45170</v>
      </c>
      <c r="C5946" s="242">
        <f t="shared" si="185"/>
        <v>9</v>
      </c>
      <c r="D5946" s="242" t="s">
        <v>1851</v>
      </c>
      <c r="E5946" s="845">
        <f t="shared" si="186"/>
        <v>17.222222222222221</v>
      </c>
    </row>
    <row r="5947" spans="2:5">
      <c r="B5947" s="1115">
        <v>45170</v>
      </c>
      <c r="C5947" s="242">
        <f t="shared" si="185"/>
        <v>9</v>
      </c>
      <c r="D5947" s="242">
        <v>63.9</v>
      </c>
      <c r="E5947" s="845">
        <f t="shared" si="186"/>
        <v>17.722222222222221</v>
      </c>
    </row>
    <row r="5948" spans="2:5">
      <c r="B5948" s="1115">
        <v>45170</v>
      </c>
      <c r="C5948" s="242">
        <f t="shared" si="185"/>
        <v>9</v>
      </c>
      <c r="D5948" s="242">
        <v>64.8</v>
      </c>
      <c r="E5948" s="845">
        <f t="shared" si="186"/>
        <v>18.222222222222221</v>
      </c>
    </row>
    <row r="5949" spans="2:5">
      <c r="B5949" s="1115">
        <v>45170</v>
      </c>
      <c r="C5949" s="242">
        <f t="shared" si="185"/>
        <v>9</v>
      </c>
      <c r="D5949" s="242">
        <v>65.5</v>
      </c>
      <c r="E5949" s="845">
        <f t="shared" si="186"/>
        <v>18.611111111111111</v>
      </c>
    </row>
    <row r="5950" spans="2:5">
      <c r="B5950" s="1115">
        <v>45170</v>
      </c>
      <c r="C5950" s="242">
        <f t="shared" si="185"/>
        <v>9</v>
      </c>
      <c r="D5950" s="242" t="s">
        <v>1853</v>
      </c>
      <c r="E5950" s="845">
        <f t="shared" si="186"/>
        <v>18.888888888888889</v>
      </c>
    </row>
    <row r="5951" spans="2:5">
      <c r="B5951" s="1115">
        <v>45170</v>
      </c>
      <c r="C5951" s="242">
        <f t="shared" si="185"/>
        <v>9</v>
      </c>
      <c r="D5951" s="242">
        <v>65.7</v>
      </c>
      <c r="E5951" s="845">
        <f t="shared" si="186"/>
        <v>18.722222222222225</v>
      </c>
    </row>
    <row r="5952" spans="2:5">
      <c r="B5952" s="1115">
        <v>45170</v>
      </c>
      <c r="C5952" s="242">
        <f t="shared" si="185"/>
        <v>9</v>
      </c>
      <c r="D5952" s="242">
        <v>64.2</v>
      </c>
      <c r="E5952" s="845">
        <f t="shared" si="186"/>
        <v>17.888888888888889</v>
      </c>
    </row>
    <row r="5953" spans="2:5">
      <c r="B5953" s="1115">
        <v>45170</v>
      </c>
      <c r="C5953" s="242">
        <f t="shared" si="185"/>
        <v>9</v>
      </c>
      <c r="D5953" s="242">
        <v>63.3</v>
      </c>
      <c r="E5953" s="845">
        <f t="shared" si="186"/>
        <v>17.388888888888886</v>
      </c>
    </row>
    <row r="5954" spans="2:5">
      <c r="B5954" s="1115">
        <v>45170</v>
      </c>
      <c r="C5954" s="242">
        <f t="shared" si="185"/>
        <v>9</v>
      </c>
      <c r="D5954" s="242">
        <v>63.3</v>
      </c>
      <c r="E5954" s="845">
        <f t="shared" si="186"/>
        <v>17.388888888888886</v>
      </c>
    </row>
    <row r="5955" spans="2:5">
      <c r="B5955" s="1115">
        <v>45170</v>
      </c>
      <c r="C5955" s="242">
        <f t="shared" si="185"/>
        <v>9</v>
      </c>
      <c r="D5955" s="242">
        <v>63.3</v>
      </c>
      <c r="E5955" s="845">
        <f t="shared" si="186"/>
        <v>17.388888888888886</v>
      </c>
    </row>
    <row r="5956" spans="2:5">
      <c r="B5956" s="1115">
        <v>45170</v>
      </c>
      <c r="C5956" s="242">
        <f t="shared" si="185"/>
        <v>9</v>
      </c>
      <c r="D5956" s="242">
        <v>63.7</v>
      </c>
      <c r="E5956" s="845">
        <f t="shared" si="186"/>
        <v>17.611111111111111</v>
      </c>
    </row>
    <row r="5957" spans="2:5">
      <c r="B5957" s="1115">
        <v>45170</v>
      </c>
      <c r="C5957" s="242">
        <f t="shared" si="185"/>
        <v>9</v>
      </c>
      <c r="D5957" s="242" t="s">
        <v>1852</v>
      </c>
      <c r="E5957" s="845">
        <f t="shared" si="186"/>
        <v>17.777777777777779</v>
      </c>
    </row>
    <row r="5958" spans="2:5">
      <c r="B5958" s="1115">
        <v>45170</v>
      </c>
      <c r="C5958" s="242">
        <f t="shared" si="185"/>
        <v>9</v>
      </c>
      <c r="D5958" s="242" t="s">
        <v>1852</v>
      </c>
      <c r="E5958" s="845">
        <f t="shared" si="186"/>
        <v>17.777777777777779</v>
      </c>
    </row>
    <row r="5959" spans="2:5">
      <c r="B5959" s="1115">
        <v>45170</v>
      </c>
      <c r="C5959" s="242">
        <f t="shared" si="185"/>
        <v>9</v>
      </c>
      <c r="D5959" s="242">
        <v>64.900000000000006</v>
      </c>
      <c r="E5959" s="845">
        <f t="shared" si="186"/>
        <v>18.277777777777782</v>
      </c>
    </row>
    <row r="5960" spans="2:5">
      <c r="B5960" s="1115">
        <v>45170</v>
      </c>
      <c r="C5960" s="242">
        <f t="shared" si="185"/>
        <v>9</v>
      </c>
      <c r="D5960" s="242">
        <v>65.5</v>
      </c>
      <c r="E5960" s="845">
        <f t="shared" si="186"/>
        <v>18.611111111111111</v>
      </c>
    </row>
    <row r="5961" spans="2:5">
      <c r="B5961" s="1115">
        <v>45171</v>
      </c>
      <c r="C5961" s="242">
        <f t="shared" si="185"/>
        <v>9</v>
      </c>
      <c r="D5961" s="242">
        <v>66.2</v>
      </c>
      <c r="E5961" s="845">
        <f t="shared" si="186"/>
        <v>19</v>
      </c>
    </row>
    <row r="5962" spans="2:5">
      <c r="B5962" s="1115">
        <v>45171</v>
      </c>
      <c r="C5962" s="242">
        <f t="shared" ref="C5962:C6025" si="187">MONTH(B5962)</f>
        <v>9</v>
      </c>
      <c r="D5962" s="242">
        <v>66.7</v>
      </c>
      <c r="E5962" s="845">
        <f t="shared" ref="E5962:E6025" si="188">CONVERT(D5962,"F","C")</f>
        <v>19.277777777777779</v>
      </c>
    </row>
    <row r="5963" spans="2:5">
      <c r="B5963" s="1115">
        <v>45171</v>
      </c>
      <c r="C5963" s="242">
        <f t="shared" si="187"/>
        <v>9</v>
      </c>
      <c r="D5963" s="242">
        <v>66.599999999999994</v>
      </c>
      <c r="E5963" s="845">
        <f t="shared" si="188"/>
        <v>19.222222222222218</v>
      </c>
    </row>
    <row r="5964" spans="2:5">
      <c r="B5964" s="1115">
        <v>45171</v>
      </c>
      <c r="C5964" s="242">
        <f t="shared" si="187"/>
        <v>9</v>
      </c>
      <c r="D5964" s="242">
        <v>65.7</v>
      </c>
      <c r="E5964" s="845">
        <f t="shared" si="188"/>
        <v>18.722222222222225</v>
      </c>
    </row>
    <row r="5965" spans="2:5">
      <c r="B5965" s="1115">
        <v>45171</v>
      </c>
      <c r="C5965" s="242">
        <f t="shared" si="187"/>
        <v>9</v>
      </c>
      <c r="D5965" s="242">
        <v>64.599999999999994</v>
      </c>
      <c r="E5965" s="845">
        <f t="shared" si="188"/>
        <v>18.111111111111107</v>
      </c>
    </row>
    <row r="5966" spans="2:5">
      <c r="B5966" s="1115">
        <v>45171</v>
      </c>
      <c r="C5966" s="242">
        <f t="shared" si="187"/>
        <v>9</v>
      </c>
      <c r="D5966" s="242">
        <v>63.5</v>
      </c>
      <c r="E5966" s="845">
        <f t="shared" si="188"/>
        <v>17.5</v>
      </c>
    </row>
    <row r="5967" spans="2:5">
      <c r="B5967" s="1115">
        <v>45171</v>
      </c>
      <c r="C5967" s="242">
        <f t="shared" si="187"/>
        <v>9</v>
      </c>
      <c r="D5967" s="242">
        <v>62.8</v>
      </c>
      <c r="E5967" s="845">
        <f t="shared" si="188"/>
        <v>17.111111111111111</v>
      </c>
    </row>
    <row r="5968" spans="2:5">
      <c r="B5968" s="1115">
        <v>45171</v>
      </c>
      <c r="C5968" s="242">
        <f t="shared" si="187"/>
        <v>9</v>
      </c>
      <c r="D5968" s="242">
        <v>62.8</v>
      </c>
      <c r="E5968" s="845">
        <f t="shared" si="188"/>
        <v>17.111111111111111</v>
      </c>
    </row>
    <row r="5969" spans="2:5">
      <c r="B5969" s="1115">
        <v>45171</v>
      </c>
      <c r="C5969" s="242">
        <f t="shared" si="187"/>
        <v>9</v>
      </c>
      <c r="D5969" s="242">
        <v>63.1</v>
      </c>
      <c r="E5969" s="845">
        <f t="shared" si="188"/>
        <v>17.277777777777779</v>
      </c>
    </row>
    <row r="5970" spans="2:5">
      <c r="B5970" s="1115">
        <v>45171</v>
      </c>
      <c r="C5970" s="242">
        <f t="shared" si="187"/>
        <v>9</v>
      </c>
      <c r="D5970" s="242">
        <v>63.3</v>
      </c>
      <c r="E5970" s="845">
        <f t="shared" si="188"/>
        <v>17.388888888888886</v>
      </c>
    </row>
    <row r="5971" spans="2:5">
      <c r="B5971" s="1115">
        <v>45171</v>
      </c>
      <c r="C5971" s="242">
        <f t="shared" si="187"/>
        <v>9</v>
      </c>
      <c r="D5971" s="242">
        <v>63.9</v>
      </c>
      <c r="E5971" s="845">
        <f t="shared" si="188"/>
        <v>17.722222222222221</v>
      </c>
    </row>
    <row r="5972" spans="2:5">
      <c r="B5972" s="1115">
        <v>45171</v>
      </c>
      <c r="C5972" s="242">
        <f t="shared" si="187"/>
        <v>9</v>
      </c>
      <c r="D5972" s="242">
        <v>64.8</v>
      </c>
      <c r="E5972" s="845">
        <f t="shared" si="188"/>
        <v>18.222222222222221</v>
      </c>
    </row>
    <row r="5973" spans="2:5">
      <c r="B5973" s="1115">
        <v>45171</v>
      </c>
      <c r="C5973" s="242">
        <f t="shared" si="187"/>
        <v>9</v>
      </c>
      <c r="D5973" s="242">
        <v>65.5</v>
      </c>
      <c r="E5973" s="845">
        <f t="shared" si="188"/>
        <v>18.611111111111111</v>
      </c>
    </row>
    <row r="5974" spans="2:5">
      <c r="B5974" s="1115">
        <v>45171</v>
      </c>
      <c r="C5974" s="242">
        <f t="shared" si="187"/>
        <v>9</v>
      </c>
      <c r="D5974" s="242" t="s">
        <v>1853</v>
      </c>
      <c r="E5974" s="845">
        <f t="shared" si="188"/>
        <v>18.888888888888889</v>
      </c>
    </row>
    <row r="5975" spans="2:5">
      <c r="B5975" s="1115">
        <v>45171</v>
      </c>
      <c r="C5975" s="242">
        <f t="shared" si="187"/>
        <v>9</v>
      </c>
      <c r="D5975" s="242">
        <v>66.599999999999994</v>
      </c>
      <c r="E5975" s="845">
        <f t="shared" si="188"/>
        <v>19.222222222222218</v>
      </c>
    </row>
    <row r="5976" spans="2:5">
      <c r="B5976" s="1115">
        <v>45171</v>
      </c>
      <c r="C5976" s="242">
        <f t="shared" si="187"/>
        <v>9</v>
      </c>
      <c r="D5976" s="242">
        <v>65.8</v>
      </c>
      <c r="E5976" s="845">
        <f t="shared" si="188"/>
        <v>18.777777777777775</v>
      </c>
    </row>
    <row r="5977" spans="2:5">
      <c r="B5977" s="1115">
        <v>45171</v>
      </c>
      <c r="C5977" s="242">
        <f t="shared" si="187"/>
        <v>9</v>
      </c>
      <c r="D5977" s="242">
        <v>64.599999999999994</v>
      </c>
      <c r="E5977" s="845">
        <f t="shared" si="188"/>
        <v>18.111111111111107</v>
      </c>
    </row>
    <row r="5978" spans="2:5">
      <c r="B5978" s="1115">
        <v>45171</v>
      </c>
      <c r="C5978" s="242">
        <f t="shared" si="187"/>
        <v>9</v>
      </c>
      <c r="D5978" s="242">
        <v>62.6</v>
      </c>
      <c r="E5978" s="845">
        <f t="shared" si="188"/>
        <v>17</v>
      </c>
    </row>
    <row r="5979" spans="2:5">
      <c r="B5979" s="1115">
        <v>45171</v>
      </c>
      <c r="C5979" s="242">
        <f t="shared" si="187"/>
        <v>9</v>
      </c>
      <c r="D5979" s="242">
        <v>61.3</v>
      </c>
      <c r="E5979" s="845">
        <f t="shared" si="188"/>
        <v>16.277777777777775</v>
      </c>
    </row>
    <row r="5980" spans="2:5">
      <c r="B5980" s="1115">
        <v>45171</v>
      </c>
      <c r="C5980" s="242">
        <f t="shared" si="187"/>
        <v>9</v>
      </c>
      <c r="D5980" s="242">
        <v>61.2</v>
      </c>
      <c r="E5980" s="845">
        <f t="shared" si="188"/>
        <v>16.222222222222225</v>
      </c>
    </row>
    <row r="5981" spans="2:5">
      <c r="B5981" s="1115">
        <v>45171</v>
      </c>
      <c r="C5981" s="242">
        <f t="shared" si="187"/>
        <v>9</v>
      </c>
      <c r="D5981" s="242">
        <v>61.5</v>
      </c>
      <c r="E5981" s="845">
        <f t="shared" si="188"/>
        <v>16.388888888888889</v>
      </c>
    </row>
    <row r="5982" spans="2:5">
      <c r="B5982" s="1115">
        <v>45171</v>
      </c>
      <c r="C5982" s="242">
        <f t="shared" si="187"/>
        <v>9</v>
      </c>
      <c r="D5982" s="242">
        <v>61.9</v>
      </c>
      <c r="E5982" s="845">
        <f t="shared" si="188"/>
        <v>16.611111111111111</v>
      </c>
    </row>
    <row r="5983" spans="2:5">
      <c r="B5983" s="1115">
        <v>45171</v>
      </c>
      <c r="C5983" s="242">
        <f t="shared" si="187"/>
        <v>9</v>
      </c>
      <c r="D5983" s="242">
        <v>62.6</v>
      </c>
      <c r="E5983" s="845">
        <f t="shared" si="188"/>
        <v>17</v>
      </c>
    </row>
    <row r="5984" spans="2:5">
      <c r="B5984" s="1115">
        <v>45171</v>
      </c>
      <c r="C5984" s="242">
        <f t="shared" si="187"/>
        <v>9</v>
      </c>
      <c r="D5984" s="242">
        <v>64.2</v>
      </c>
      <c r="E5984" s="845">
        <f t="shared" si="188"/>
        <v>17.888888888888889</v>
      </c>
    </row>
    <row r="5985" spans="2:5">
      <c r="B5985" s="1115">
        <v>45172</v>
      </c>
      <c r="C5985" s="242">
        <f t="shared" si="187"/>
        <v>9</v>
      </c>
      <c r="D5985" s="242">
        <v>65.3</v>
      </c>
      <c r="E5985" s="845">
        <f t="shared" si="188"/>
        <v>18.499999999999996</v>
      </c>
    </row>
    <row r="5986" spans="2:5">
      <c r="B5986" s="1115">
        <v>45172</v>
      </c>
      <c r="C5986" s="242">
        <f t="shared" si="187"/>
        <v>9</v>
      </c>
      <c r="D5986" s="242">
        <v>66.2</v>
      </c>
      <c r="E5986" s="845">
        <f t="shared" si="188"/>
        <v>19</v>
      </c>
    </row>
    <row r="5987" spans="2:5">
      <c r="B5987" s="1115">
        <v>45172</v>
      </c>
      <c r="C5987" s="242">
        <f t="shared" si="187"/>
        <v>9</v>
      </c>
      <c r="D5987" s="242">
        <v>66.7</v>
      </c>
      <c r="E5987" s="845">
        <f t="shared" si="188"/>
        <v>19.277777777777779</v>
      </c>
    </row>
    <row r="5988" spans="2:5">
      <c r="B5988" s="1115">
        <v>45172</v>
      </c>
      <c r="C5988" s="242">
        <f t="shared" si="187"/>
        <v>9</v>
      </c>
      <c r="D5988" s="242">
        <v>66.599999999999994</v>
      </c>
      <c r="E5988" s="845">
        <f t="shared" si="188"/>
        <v>19.222222222222218</v>
      </c>
    </row>
    <row r="5989" spans="2:5">
      <c r="B5989" s="1115">
        <v>45172</v>
      </c>
      <c r="C5989" s="242">
        <f t="shared" si="187"/>
        <v>9</v>
      </c>
      <c r="D5989" s="242">
        <v>64.900000000000006</v>
      </c>
      <c r="E5989" s="845">
        <f t="shared" si="188"/>
        <v>18.277777777777782</v>
      </c>
    </row>
    <row r="5990" spans="2:5">
      <c r="B5990" s="1115">
        <v>45172</v>
      </c>
      <c r="C5990" s="242">
        <f t="shared" si="187"/>
        <v>9</v>
      </c>
      <c r="D5990" s="242">
        <v>63.9</v>
      </c>
      <c r="E5990" s="845">
        <f t="shared" si="188"/>
        <v>17.722222222222221</v>
      </c>
    </row>
    <row r="5991" spans="2:5">
      <c r="B5991" s="1115">
        <v>45172</v>
      </c>
      <c r="C5991" s="242">
        <f t="shared" si="187"/>
        <v>9</v>
      </c>
      <c r="D5991" s="242">
        <v>61.7</v>
      </c>
      <c r="E5991" s="845">
        <f t="shared" si="188"/>
        <v>16.5</v>
      </c>
    </row>
    <row r="5992" spans="2:5">
      <c r="B5992" s="1115">
        <v>45172</v>
      </c>
      <c r="C5992" s="242">
        <f t="shared" si="187"/>
        <v>9</v>
      </c>
      <c r="D5992" s="242">
        <v>60.8</v>
      </c>
      <c r="E5992" s="845">
        <f t="shared" si="188"/>
        <v>15.999999999999998</v>
      </c>
    </row>
    <row r="5993" spans="2:5">
      <c r="B5993" s="1115">
        <v>45172</v>
      </c>
      <c r="C5993" s="242">
        <f t="shared" si="187"/>
        <v>9</v>
      </c>
      <c r="D5993" s="242">
        <v>60.6</v>
      </c>
      <c r="E5993" s="845">
        <f t="shared" si="188"/>
        <v>15.888888888888889</v>
      </c>
    </row>
    <row r="5994" spans="2:5">
      <c r="B5994" s="1115">
        <v>45172</v>
      </c>
      <c r="C5994" s="242">
        <f t="shared" si="187"/>
        <v>9</v>
      </c>
      <c r="D5994" s="242" t="s">
        <v>1850</v>
      </c>
      <c r="E5994" s="845">
        <f t="shared" si="188"/>
        <v>16.111111111111111</v>
      </c>
    </row>
    <row r="5995" spans="2:5">
      <c r="B5995" s="1115">
        <v>45172</v>
      </c>
      <c r="C5995" s="242">
        <f t="shared" si="187"/>
        <v>9</v>
      </c>
      <c r="D5995" s="242">
        <v>61.5</v>
      </c>
      <c r="E5995" s="845">
        <f t="shared" si="188"/>
        <v>16.388888888888889</v>
      </c>
    </row>
    <row r="5996" spans="2:5">
      <c r="B5996" s="1115">
        <v>45172</v>
      </c>
      <c r="C5996" s="242">
        <f t="shared" si="187"/>
        <v>9</v>
      </c>
      <c r="D5996" s="242">
        <v>62.8</v>
      </c>
      <c r="E5996" s="845">
        <f t="shared" si="188"/>
        <v>17.111111111111111</v>
      </c>
    </row>
    <row r="5997" spans="2:5">
      <c r="B5997" s="1115">
        <v>45172</v>
      </c>
      <c r="C5997" s="242">
        <f t="shared" si="187"/>
        <v>9</v>
      </c>
      <c r="D5997" s="242">
        <v>64.400000000000006</v>
      </c>
      <c r="E5997" s="845">
        <f t="shared" si="188"/>
        <v>18.000000000000004</v>
      </c>
    </row>
    <row r="5998" spans="2:5">
      <c r="B5998" s="1115">
        <v>45172</v>
      </c>
      <c r="C5998" s="242">
        <f t="shared" si="187"/>
        <v>9</v>
      </c>
      <c r="D5998" s="242">
        <v>65.3</v>
      </c>
      <c r="E5998" s="845">
        <f t="shared" si="188"/>
        <v>18.499999999999996</v>
      </c>
    </row>
    <row r="5999" spans="2:5">
      <c r="B5999" s="1115">
        <v>45172</v>
      </c>
      <c r="C5999" s="242">
        <f t="shared" si="187"/>
        <v>9</v>
      </c>
      <c r="D5999" s="242" t="s">
        <v>1853</v>
      </c>
      <c r="E5999" s="845">
        <f t="shared" si="188"/>
        <v>18.888888888888889</v>
      </c>
    </row>
    <row r="6000" spans="2:5">
      <c r="B6000" s="1115">
        <v>45172</v>
      </c>
      <c r="C6000" s="242">
        <f t="shared" si="187"/>
        <v>9</v>
      </c>
      <c r="D6000" s="242">
        <v>66.400000000000006</v>
      </c>
      <c r="E6000" s="845">
        <f t="shared" si="188"/>
        <v>19.111111111111114</v>
      </c>
    </row>
    <row r="6001" spans="2:5">
      <c r="B6001" s="1115">
        <v>45172</v>
      </c>
      <c r="C6001" s="242">
        <f t="shared" si="187"/>
        <v>9</v>
      </c>
      <c r="D6001" s="242">
        <v>64.8</v>
      </c>
      <c r="E6001" s="845">
        <f t="shared" si="188"/>
        <v>18.222222222222221</v>
      </c>
    </row>
    <row r="6002" spans="2:5">
      <c r="B6002" s="1115">
        <v>45172</v>
      </c>
      <c r="C6002" s="242">
        <f t="shared" si="187"/>
        <v>9</v>
      </c>
      <c r="D6002" s="242">
        <v>62.8</v>
      </c>
      <c r="E6002" s="845">
        <f t="shared" si="188"/>
        <v>17.111111111111111</v>
      </c>
    </row>
    <row r="6003" spans="2:5">
      <c r="B6003" s="1115">
        <v>45172</v>
      </c>
      <c r="C6003" s="242">
        <f t="shared" si="187"/>
        <v>9</v>
      </c>
      <c r="D6003" s="242">
        <v>60.1</v>
      </c>
      <c r="E6003" s="845">
        <f t="shared" si="188"/>
        <v>15.611111111111111</v>
      </c>
    </row>
    <row r="6004" spans="2:5">
      <c r="B6004" s="1115">
        <v>45172</v>
      </c>
      <c r="C6004" s="242">
        <f t="shared" si="187"/>
        <v>9</v>
      </c>
      <c r="D6004" s="242" t="s">
        <v>1849</v>
      </c>
      <c r="E6004" s="845">
        <f t="shared" si="188"/>
        <v>15</v>
      </c>
    </row>
    <row r="6005" spans="2:5">
      <c r="B6005" s="1115">
        <v>45172</v>
      </c>
      <c r="C6005" s="242">
        <f t="shared" si="187"/>
        <v>9</v>
      </c>
      <c r="D6005" s="242">
        <v>58.8</v>
      </c>
      <c r="E6005" s="845">
        <f t="shared" si="188"/>
        <v>14.888888888888888</v>
      </c>
    </row>
    <row r="6006" spans="2:5">
      <c r="B6006" s="1115">
        <v>45172</v>
      </c>
      <c r="C6006" s="242">
        <f t="shared" si="187"/>
        <v>9</v>
      </c>
      <c r="D6006" s="242">
        <v>60.3</v>
      </c>
      <c r="E6006" s="845">
        <f t="shared" si="188"/>
        <v>15.72222222222222</v>
      </c>
    </row>
    <row r="6007" spans="2:5">
      <c r="B6007" s="1115">
        <v>45172</v>
      </c>
      <c r="C6007" s="242">
        <f t="shared" si="187"/>
        <v>9</v>
      </c>
      <c r="D6007" s="242">
        <v>59.7</v>
      </c>
      <c r="E6007" s="845">
        <f t="shared" si="188"/>
        <v>15.388888888888889</v>
      </c>
    </row>
    <row r="6008" spans="2:5">
      <c r="B6008" s="1115">
        <v>45172</v>
      </c>
      <c r="C6008" s="242">
        <f t="shared" si="187"/>
        <v>9</v>
      </c>
      <c r="D6008" s="242">
        <v>61.2</v>
      </c>
      <c r="E6008" s="845">
        <f t="shared" si="188"/>
        <v>16.222222222222225</v>
      </c>
    </row>
    <row r="6009" spans="2:5">
      <c r="B6009" s="1115">
        <v>45173</v>
      </c>
      <c r="C6009" s="242">
        <f t="shared" si="187"/>
        <v>9</v>
      </c>
      <c r="D6009" s="242">
        <v>63.3</v>
      </c>
      <c r="E6009" s="845">
        <f t="shared" si="188"/>
        <v>17.388888888888886</v>
      </c>
    </row>
    <row r="6010" spans="2:5">
      <c r="B6010" s="1115">
        <v>45173</v>
      </c>
      <c r="C6010" s="242">
        <f t="shared" si="187"/>
        <v>9</v>
      </c>
      <c r="D6010" s="242">
        <v>64.8</v>
      </c>
      <c r="E6010" s="845">
        <f t="shared" si="188"/>
        <v>18.222222222222221</v>
      </c>
    </row>
    <row r="6011" spans="2:5">
      <c r="B6011" s="1115">
        <v>45173</v>
      </c>
      <c r="C6011" s="242">
        <f t="shared" si="187"/>
        <v>9</v>
      </c>
      <c r="D6011" s="242" t="s">
        <v>1853</v>
      </c>
      <c r="E6011" s="845">
        <f t="shared" si="188"/>
        <v>18.888888888888889</v>
      </c>
    </row>
    <row r="6012" spans="2:5">
      <c r="B6012" s="1115">
        <v>45173</v>
      </c>
      <c r="C6012" s="242">
        <f t="shared" si="187"/>
        <v>9</v>
      </c>
      <c r="D6012" s="242">
        <v>66.599999999999994</v>
      </c>
      <c r="E6012" s="845">
        <f t="shared" si="188"/>
        <v>19.222222222222218</v>
      </c>
    </row>
    <row r="6013" spans="2:5">
      <c r="B6013" s="1115">
        <v>45173</v>
      </c>
      <c r="C6013" s="242">
        <f t="shared" si="187"/>
        <v>9</v>
      </c>
      <c r="D6013" s="242">
        <v>66.2</v>
      </c>
      <c r="E6013" s="845">
        <f t="shared" si="188"/>
        <v>19</v>
      </c>
    </row>
    <row r="6014" spans="2:5">
      <c r="B6014" s="1115">
        <v>45173</v>
      </c>
      <c r="C6014" s="242">
        <f t="shared" si="187"/>
        <v>9</v>
      </c>
      <c r="D6014" s="242" t="s">
        <v>1852</v>
      </c>
      <c r="E6014" s="845">
        <f t="shared" si="188"/>
        <v>17.777777777777779</v>
      </c>
    </row>
    <row r="6015" spans="2:5">
      <c r="B6015" s="1115">
        <v>45173</v>
      </c>
      <c r="C6015" s="242">
        <f t="shared" si="187"/>
        <v>9</v>
      </c>
      <c r="D6015" s="242">
        <v>62.4</v>
      </c>
      <c r="E6015" s="845">
        <f t="shared" si="188"/>
        <v>16.888888888888889</v>
      </c>
    </row>
    <row r="6016" spans="2:5">
      <c r="B6016" s="1115">
        <v>45173</v>
      </c>
      <c r="C6016" s="242">
        <f t="shared" si="187"/>
        <v>9</v>
      </c>
      <c r="D6016" s="242">
        <v>60.4</v>
      </c>
      <c r="E6016" s="845">
        <f t="shared" si="188"/>
        <v>15.777777777777777</v>
      </c>
    </row>
    <row r="6017" spans="2:5">
      <c r="B6017" s="1115">
        <v>45173</v>
      </c>
      <c r="C6017" s="242">
        <f t="shared" si="187"/>
        <v>9</v>
      </c>
      <c r="D6017" s="242">
        <v>59.5</v>
      </c>
      <c r="E6017" s="845">
        <f t="shared" si="188"/>
        <v>15.277777777777777</v>
      </c>
    </row>
    <row r="6018" spans="2:5">
      <c r="B6018" s="1115">
        <v>45173</v>
      </c>
      <c r="C6018" s="242">
        <f t="shared" si="187"/>
        <v>9</v>
      </c>
      <c r="D6018" s="242">
        <v>59.4</v>
      </c>
      <c r="E6018" s="845">
        <f t="shared" si="188"/>
        <v>15.222222222222221</v>
      </c>
    </row>
    <row r="6019" spans="2:5">
      <c r="B6019" s="1115">
        <v>45173</v>
      </c>
      <c r="C6019" s="242">
        <f t="shared" si="187"/>
        <v>9</v>
      </c>
      <c r="D6019" s="242">
        <v>59.4</v>
      </c>
      <c r="E6019" s="845">
        <f t="shared" si="188"/>
        <v>15.222222222222221</v>
      </c>
    </row>
    <row r="6020" spans="2:5">
      <c r="B6020" s="1115">
        <v>45173</v>
      </c>
      <c r="C6020" s="242">
        <f t="shared" si="187"/>
        <v>9</v>
      </c>
      <c r="D6020" s="242">
        <v>60.6</v>
      </c>
      <c r="E6020" s="845">
        <f t="shared" si="188"/>
        <v>15.888888888888889</v>
      </c>
    </row>
    <row r="6021" spans="2:5">
      <c r="B6021" s="1115">
        <v>45173</v>
      </c>
      <c r="C6021" s="242">
        <f t="shared" si="187"/>
        <v>9</v>
      </c>
      <c r="D6021" s="242">
        <v>62.2</v>
      </c>
      <c r="E6021" s="845">
        <f t="shared" si="188"/>
        <v>16.777777777777779</v>
      </c>
    </row>
    <row r="6022" spans="2:5">
      <c r="B6022" s="1115">
        <v>45173</v>
      </c>
      <c r="C6022" s="242">
        <f t="shared" si="187"/>
        <v>9</v>
      </c>
      <c r="D6022" s="242">
        <v>63.9</v>
      </c>
      <c r="E6022" s="845">
        <f t="shared" si="188"/>
        <v>17.722222222222221</v>
      </c>
    </row>
    <row r="6023" spans="2:5">
      <c r="B6023" s="1115">
        <v>45173</v>
      </c>
      <c r="C6023" s="242">
        <f t="shared" si="187"/>
        <v>9</v>
      </c>
      <c r="D6023" s="242">
        <v>65.099999999999994</v>
      </c>
      <c r="E6023" s="845">
        <f t="shared" si="188"/>
        <v>18.388888888888886</v>
      </c>
    </row>
    <row r="6024" spans="2:5">
      <c r="B6024" s="1115">
        <v>45173</v>
      </c>
      <c r="C6024" s="242">
        <f t="shared" si="187"/>
        <v>9</v>
      </c>
      <c r="D6024" s="242">
        <v>65.8</v>
      </c>
      <c r="E6024" s="845">
        <f t="shared" si="188"/>
        <v>18.777777777777775</v>
      </c>
    </row>
    <row r="6025" spans="2:5">
      <c r="B6025" s="1115">
        <v>45173</v>
      </c>
      <c r="C6025" s="242">
        <f t="shared" si="187"/>
        <v>9</v>
      </c>
      <c r="D6025" s="242">
        <v>65.8</v>
      </c>
      <c r="E6025" s="845">
        <f t="shared" si="188"/>
        <v>18.777777777777775</v>
      </c>
    </row>
    <row r="6026" spans="2:5">
      <c r="B6026" s="1115">
        <v>45173</v>
      </c>
      <c r="C6026" s="242">
        <f t="shared" ref="C6026:C6089" si="189">MONTH(B6026)</f>
        <v>9</v>
      </c>
      <c r="D6026" s="242">
        <v>63.5</v>
      </c>
      <c r="E6026" s="845">
        <f t="shared" ref="E6026:E6089" si="190">CONVERT(D6026,"F","C")</f>
        <v>17.5</v>
      </c>
    </row>
    <row r="6027" spans="2:5">
      <c r="B6027" s="1115">
        <v>45173</v>
      </c>
      <c r="C6027" s="242">
        <f t="shared" si="189"/>
        <v>9</v>
      </c>
      <c r="D6027" s="242">
        <v>61.7</v>
      </c>
      <c r="E6027" s="845">
        <f t="shared" si="190"/>
        <v>16.5</v>
      </c>
    </row>
    <row r="6028" spans="2:5">
      <c r="B6028" s="1115">
        <v>45173</v>
      </c>
      <c r="C6028" s="242">
        <f t="shared" si="189"/>
        <v>9</v>
      </c>
      <c r="D6028" s="242">
        <v>60.3</v>
      </c>
      <c r="E6028" s="845">
        <f t="shared" si="190"/>
        <v>15.72222222222222</v>
      </c>
    </row>
    <row r="6029" spans="2:5">
      <c r="B6029" s="1115">
        <v>45173</v>
      </c>
      <c r="C6029" s="242">
        <f t="shared" si="189"/>
        <v>9</v>
      </c>
      <c r="D6029" s="242">
        <v>59.4</v>
      </c>
      <c r="E6029" s="845">
        <f t="shared" si="190"/>
        <v>15.222222222222221</v>
      </c>
    </row>
    <row r="6030" spans="2:5">
      <c r="B6030" s="1115">
        <v>45173</v>
      </c>
      <c r="C6030" s="242">
        <f t="shared" si="189"/>
        <v>9</v>
      </c>
      <c r="D6030" s="242">
        <v>59.4</v>
      </c>
      <c r="E6030" s="845">
        <f t="shared" si="190"/>
        <v>15.222222222222221</v>
      </c>
    </row>
    <row r="6031" spans="2:5">
      <c r="B6031" s="1115">
        <v>45173</v>
      </c>
      <c r="C6031" s="242">
        <f t="shared" si="189"/>
        <v>9</v>
      </c>
      <c r="D6031" s="242">
        <v>60.4</v>
      </c>
      <c r="E6031" s="845">
        <f t="shared" si="190"/>
        <v>15.777777777777777</v>
      </c>
    </row>
    <row r="6032" spans="2:5">
      <c r="B6032" s="1115">
        <v>45173</v>
      </c>
      <c r="C6032" s="242">
        <f t="shared" si="189"/>
        <v>9</v>
      </c>
      <c r="D6032" s="242">
        <v>60.3</v>
      </c>
      <c r="E6032" s="845">
        <f t="shared" si="190"/>
        <v>15.72222222222222</v>
      </c>
    </row>
    <row r="6033" spans="2:5">
      <c r="B6033" s="1115">
        <v>45170</v>
      </c>
      <c r="C6033" s="242">
        <f t="shared" si="189"/>
        <v>9</v>
      </c>
      <c r="D6033" s="242">
        <v>66.7</v>
      </c>
      <c r="E6033" s="845">
        <f t="shared" si="190"/>
        <v>19.277777777777779</v>
      </c>
    </row>
    <row r="6034" spans="2:5">
      <c r="B6034" s="1115">
        <v>45170</v>
      </c>
      <c r="C6034" s="242">
        <f t="shared" si="189"/>
        <v>9</v>
      </c>
      <c r="D6034" s="242">
        <v>66.599999999999994</v>
      </c>
      <c r="E6034" s="845">
        <f t="shared" si="190"/>
        <v>19.222222222222218</v>
      </c>
    </row>
    <row r="6035" spans="2:5">
      <c r="B6035" s="1115">
        <v>45170</v>
      </c>
      <c r="C6035" s="242">
        <f t="shared" si="189"/>
        <v>9</v>
      </c>
      <c r="D6035" s="242">
        <v>64.2</v>
      </c>
      <c r="E6035" s="845">
        <f t="shared" si="190"/>
        <v>17.888888888888889</v>
      </c>
    </row>
    <row r="6036" spans="2:5">
      <c r="B6036" s="1115">
        <v>45170</v>
      </c>
      <c r="C6036" s="242">
        <f t="shared" si="189"/>
        <v>9</v>
      </c>
      <c r="D6036" s="242">
        <v>63.3</v>
      </c>
      <c r="E6036" s="845">
        <f t="shared" si="190"/>
        <v>17.388888888888886</v>
      </c>
    </row>
    <row r="6037" spans="2:5">
      <c r="B6037" s="1115">
        <v>45170</v>
      </c>
      <c r="C6037" s="242">
        <f t="shared" si="189"/>
        <v>9</v>
      </c>
      <c r="D6037" s="242">
        <v>62.6</v>
      </c>
      <c r="E6037" s="845">
        <f t="shared" si="190"/>
        <v>17</v>
      </c>
    </row>
    <row r="6038" spans="2:5">
      <c r="B6038" s="1115">
        <v>45170</v>
      </c>
      <c r="C6038" s="242">
        <f t="shared" si="189"/>
        <v>9</v>
      </c>
      <c r="D6038" s="242">
        <v>61.9</v>
      </c>
      <c r="E6038" s="845">
        <f t="shared" si="190"/>
        <v>16.611111111111111</v>
      </c>
    </row>
    <row r="6039" spans="2:5">
      <c r="B6039" s="1115">
        <v>45170</v>
      </c>
      <c r="C6039" s="242">
        <f t="shared" si="189"/>
        <v>9</v>
      </c>
      <c r="D6039" s="242">
        <v>61.9</v>
      </c>
      <c r="E6039" s="845">
        <f t="shared" si="190"/>
        <v>16.611111111111111</v>
      </c>
    </row>
    <row r="6040" spans="2:5">
      <c r="B6040" s="1115">
        <v>45170</v>
      </c>
      <c r="C6040" s="242">
        <f t="shared" si="189"/>
        <v>9</v>
      </c>
      <c r="D6040" s="242">
        <v>62.4</v>
      </c>
      <c r="E6040" s="845">
        <f t="shared" si="190"/>
        <v>16.888888888888889</v>
      </c>
    </row>
    <row r="6041" spans="2:5">
      <c r="B6041" s="1115">
        <v>45170</v>
      </c>
      <c r="C6041" s="242">
        <f t="shared" si="189"/>
        <v>9</v>
      </c>
      <c r="D6041" s="242">
        <v>62.4</v>
      </c>
      <c r="E6041" s="845">
        <f t="shared" si="190"/>
        <v>16.888888888888889</v>
      </c>
    </row>
    <row r="6042" spans="2:5">
      <c r="B6042" s="1115">
        <v>45170</v>
      </c>
      <c r="C6042" s="242">
        <f t="shared" si="189"/>
        <v>9</v>
      </c>
      <c r="D6042" s="242" t="s">
        <v>1851</v>
      </c>
      <c r="E6042" s="845">
        <f t="shared" si="190"/>
        <v>17.222222222222221</v>
      </c>
    </row>
    <row r="6043" spans="2:5">
      <c r="B6043" s="1115">
        <v>45170</v>
      </c>
      <c r="C6043" s="242">
        <f t="shared" si="189"/>
        <v>9</v>
      </c>
      <c r="D6043" s="242">
        <v>63.9</v>
      </c>
      <c r="E6043" s="845">
        <f t="shared" si="190"/>
        <v>17.722222222222221</v>
      </c>
    </row>
    <row r="6044" spans="2:5">
      <c r="B6044" s="1115">
        <v>45170</v>
      </c>
      <c r="C6044" s="242">
        <f t="shared" si="189"/>
        <v>9</v>
      </c>
      <c r="D6044" s="242">
        <v>64.8</v>
      </c>
      <c r="E6044" s="845">
        <f t="shared" si="190"/>
        <v>18.222222222222221</v>
      </c>
    </row>
    <row r="6045" spans="2:5">
      <c r="B6045" s="1115">
        <v>45170</v>
      </c>
      <c r="C6045" s="242">
        <f t="shared" si="189"/>
        <v>9</v>
      </c>
      <c r="D6045" s="242">
        <v>65.5</v>
      </c>
      <c r="E6045" s="845">
        <f t="shared" si="190"/>
        <v>18.611111111111111</v>
      </c>
    </row>
    <row r="6046" spans="2:5">
      <c r="B6046" s="1115">
        <v>45170</v>
      </c>
      <c r="C6046" s="242">
        <f t="shared" si="189"/>
        <v>9</v>
      </c>
      <c r="D6046" s="242" t="s">
        <v>1853</v>
      </c>
      <c r="E6046" s="845">
        <f t="shared" si="190"/>
        <v>18.888888888888889</v>
      </c>
    </row>
    <row r="6047" spans="2:5">
      <c r="B6047" s="1115">
        <v>45170</v>
      </c>
      <c r="C6047" s="242">
        <f t="shared" si="189"/>
        <v>9</v>
      </c>
      <c r="D6047" s="242">
        <v>65.7</v>
      </c>
      <c r="E6047" s="845">
        <f t="shared" si="190"/>
        <v>18.722222222222225</v>
      </c>
    </row>
    <row r="6048" spans="2:5">
      <c r="B6048" s="1115">
        <v>45170</v>
      </c>
      <c r="C6048" s="242">
        <f t="shared" si="189"/>
        <v>9</v>
      </c>
      <c r="D6048" s="242">
        <v>64.2</v>
      </c>
      <c r="E6048" s="845">
        <f t="shared" si="190"/>
        <v>17.888888888888889</v>
      </c>
    </row>
    <row r="6049" spans="2:5">
      <c r="B6049" s="1115">
        <v>45170</v>
      </c>
      <c r="C6049" s="242">
        <f t="shared" si="189"/>
        <v>9</v>
      </c>
      <c r="D6049" s="242">
        <v>63.3</v>
      </c>
      <c r="E6049" s="845">
        <f t="shared" si="190"/>
        <v>17.388888888888886</v>
      </c>
    </row>
    <row r="6050" spans="2:5">
      <c r="B6050" s="1115">
        <v>45170</v>
      </c>
      <c r="C6050" s="242">
        <f t="shared" si="189"/>
        <v>9</v>
      </c>
      <c r="D6050" s="242">
        <v>63.3</v>
      </c>
      <c r="E6050" s="845">
        <f t="shared" si="190"/>
        <v>17.388888888888886</v>
      </c>
    </row>
    <row r="6051" spans="2:5">
      <c r="B6051" s="1115">
        <v>45170</v>
      </c>
      <c r="C6051" s="242">
        <f t="shared" si="189"/>
        <v>9</v>
      </c>
      <c r="D6051" s="242">
        <v>63.3</v>
      </c>
      <c r="E6051" s="845">
        <f t="shared" si="190"/>
        <v>17.388888888888886</v>
      </c>
    </row>
    <row r="6052" spans="2:5">
      <c r="B6052" s="1115">
        <v>45170</v>
      </c>
      <c r="C6052" s="242">
        <f t="shared" si="189"/>
        <v>9</v>
      </c>
      <c r="D6052" s="242">
        <v>63.7</v>
      </c>
      <c r="E6052" s="845">
        <f t="shared" si="190"/>
        <v>17.611111111111111</v>
      </c>
    </row>
    <row r="6053" spans="2:5">
      <c r="B6053" s="1115">
        <v>45170</v>
      </c>
      <c r="C6053" s="242">
        <f t="shared" si="189"/>
        <v>9</v>
      </c>
      <c r="D6053" s="242" t="s">
        <v>1852</v>
      </c>
      <c r="E6053" s="845">
        <f t="shared" si="190"/>
        <v>17.777777777777779</v>
      </c>
    </row>
    <row r="6054" spans="2:5">
      <c r="B6054" s="1115">
        <v>45170</v>
      </c>
      <c r="C6054" s="242">
        <f t="shared" si="189"/>
        <v>9</v>
      </c>
      <c r="D6054" s="242" t="s">
        <v>1852</v>
      </c>
      <c r="E6054" s="845">
        <f t="shared" si="190"/>
        <v>17.777777777777779</v>
      </c>
    </row>
    <row r="6055" spans="2:5">
      <c r="B6055" s="1115">
        <v>45170</v>
      </c>
      <c r="C6055" s="242">
        <f t="shared" si="189"/>
        <v>9</v>
      </c>
      <c r="D6055" s="242">
        <v>64.900000000000006</v>
      </c>
      <c r="E6055" s="845">
        <f t="shared" si="190"/>
        <v>18.277777777777782</v>
      </c>
    </row>
    <row r="6056" spans="2:5">
      <c r="B6056" s="1115">
        <v>45170</v>
      </c>
      <c r="C6056" s="242">
        <f t="shared" si="189"/>
        <v>9</v>
      </c>
      <c r="D6056" s="242">
        <v>65.5</v>
      </c>
      <c r="E6056" s="845">
        <f t="shared" si="190"/>
        <v>18.611111111111111</v>
      </c>
    </row>
    <row r="6057" spans="2:5">
      <c r="B6057" s="1115">
        <v>45171</v>
      </c>
      <c r="C6057" s="242">
        <f t="shared" si="189"/>
        <v>9</v>
      </c>
      <c r="D6057" s="242">
        <v>66.2</v>
      </c>
      <c r="E6057" s="845">
        <f t="shared" si="190"/>
        <v>19</v>
      </c>
    </row>
    <row r="6058" spans="2:5">
      <c r="B6058" s="1115">
        <v>45171</v>
      </c>
      <c r="C6058" s="242">
        <f t="shared" si="189"/>
        <v>9</v>
      </c>
      <c r="D6058" s="242">
        <v>66.7</v>
      </c>
      <c r="E6058" s="845">
        <f t="shared" si="190"/>
        <v>19.277777777777779</v>
      </c>
    </row>
    <row r="6059" spans="2:5">
      <c r="B6059" s="1115">
        <v>45171</v>
      </c>
      <c r="C6059" s="242">
        <f t="shared" si="189"/>
        <v>9</v>
      </c>
      <c r="D6059" s="242">
        <v>66.599999999999994</v>
      </c>
      <c r="E6059" s="845">
        <f t="shared" si="190"/>
        <v>19.222222222222218</v>
      </c>
    </row>
    <row r="6060" spans="2:5">
      <c r="B6060" s="1115">
        <v>45171</v>
      </c>
      <c r="C6060" s="242">
        <f t="shared" si="189"/>
        <v>9</v>
      </c>
      <c r="D6060" s="242">
        <v>65.7</v>
      </c>
      <c r="E6060" s="845">
        <f t="shared" si="190"/>
        <v>18.722222222222225</v>
      </c>
    </row>
    <row r="6061" spans="2:5">
      <c r="B6061" s="1115">
        <v>45171</v>
      </c>
      <c r="C6061" s="242">
        <f t="shared" si="189"/>
        <v>9</v>
      </c>
      <c r="D6061" s="242">
        <v>64.599999999999994</v>
      </c>
      <c r="E6061" s="845">
        <f t="shared" si="190"/>
        <v>18.111111111111107</v>
      </c>
    </row>
    <row r="6062" spans="2:5">
      <c r="B6062" s="1115">
        <v>45171</v>
      </c>
      <c r="C6062" s="242">
        <f t="shared" si="189"/>
        <v>9</v>
      </c>
      <c r="D6062" s="242">
        <v>63.5</v>
      </c>
      <c r="E6062" s="845">
        <f t="shared" si="190"/>
        <v>17.5</v>
      </c>
    </row>
    <row r="6063" spans="2:5">
      <c r="B6063" s="1115">
        <v>45171</v>
      </c>
      <c r="C6063" s="242">
        <f t="shared" si="189"/>
        <v>9</v>
      </c>
      <c r="D6063" s="242">
        <v>62.8</v>
      </c>
      <c r="E6063" s="845">
        <f t="shared" si="190"/>
        <v>17.111111111111111</v>
      </c>
    </row>
    <row r="6064" spans="2:5">
      <c r="B6064" s="1115">
        <v>45171</v>
      </c>
      <c r="C6064" s="242">
        <f t="shared" si="189"/>
        <v>9</v>
      </c>
      <c r="D6064" s="242">
        <v>62.8</v>
      </c>
      <c r="E6064" s="845">
        <f t="shared" si="190"/>
        <v>17.111111111111111</v>
      </c>
    </row>
    <row r="6065" spans="2:5">
      <c r="B6065" s="1115">
        <v>45171</v>
      </c>
      <c r="C6065" s="242">
        <f t="shared" si="189"/>
        <v>9</v>
      </c>
      <c r="D6065" s="242">
        <v>63.1</v>
      </c>
      <c r="E6065" s="845">
        <f t="shared" si="190"/>
        <v>17.277777777777779</v>
      </c>
    </row>
    <row r="6066" spans="2:5">
      <c r="B6066" s="1115">
        <v>45171</v>
      </c>
      <c r="C6066" s="242">
        <f t="shared" si="189"/>
        <v>9</v>
      </c>
      <c r="D6066" s="242">
        <v>63.3</v>
      </c>
      <c r="E6066" s="845">
        <f t="shared" si="190"/>
        <v>17.388888888888886</v>
      </c>
    </row>
    <row r="6067" spans="2:5">
      <c r="B6067" s="1115">
        <v>45171</v>
      </c>
      <c r="C6067" s="242">
        <f t="shared" si="189"/>
        <v>9</v>
      </c>
      <c r="D6067" s="242">
        <v>63.9</v>
      </c>
      <c r="E6067" s="845">
        <f t="shared" si="190"/>
        <v>17.722222222222221</v>
      </c>
    </row>
    <row r="6068" spans="2:5">
      <c r="B6068" s="1115">
        <v>45171</v>
      </c>
      <c r="C6068" s="242">
        <f t="shared" si="189"/>
        <v>9</v>
      </c>
      <c r="D6068" s="242">
        <v>64.8</v>
      </c>
      <c r="E6068" s="845">
        <f t="shared" si="190"/>
        <v>18.222222222222221</v>
      </c>
    </row>
    <row r="6069" spans="2:5">
      <c r="B6069" s="1115">
        <v>45171</v>
      </c>
      <c r="C6069" s="242">
        <f t="shared" si="189"/>
        <v>9</v>
      </c>
      <c r="D6069" s="242">
        <v>65.5</v>
      </c>
      <c r="E6069" s="845">
        <f t="shared" si="190"/>
        <v>18.611111111111111</v>
      </c>
    </row>
    <row r="6070" spans="2:5">
      <c r="B6070" s="1115">
        <v>45171</v>
      </c>
      <c r="C6070" s="242">
        <f t="shared" si="189"/>
        <v>9</v>
      </c>
      <c r="D6070" s="242" t="s">
        <v>1853</v>
      </c>
      <c r="E6070" s="845">
        <f t="shared" si="190"/>
        <v>18.888888888888889</v>
      </c>
    </row>
    <row r="6071" spans="2:5">
      <c r="B6071" s="1115">
        <v>45171</v>
      </c>
      <c r="C6071" s="242">
        <f t="shared" si="189"/>
        <v>9</v>
      </c>
      <c r="D6071" s="242">
        <v>66.599999999999994</v>
      </c>
      <c r="E6071" s="845">
        <f t="shared" si="190"/>
        <v>19.222222222222218</v>
      </c>
    </row>
    <row r="6072" spans="2:5">
      <c r="B6072" s="1115">
        <v>45171</v>
      </c>
      <c r="C6072" s="242">
        <f t="shared" si="189"/>
        <v>9</v>
      </c>
      <c r="D6072" s="242">
        <v>65.8</v>
      </c>
      <c r="E6072" s="845">
        <f t="shared" si="190"/>
        <v>18.777777777777775</v>
      </c>
    </row>
    <row r="6073" spans="2:5">
      <c r="B6073" s="1115">
        <v>45171</v>
      </c>
      <c r="C6073" s="242">
        <f t="shared" si="189"/>
        <v>9</v>
      </c>
      <c r="D6073" s="242">
        <v>64.599999999999994</v>
      </c>
      <c r="E6073" s="845">
        <f t="shared" si="190"/>
        <v>18.111111111111107</v>
      </c>
    </row>
    <row r="6074" spans="2:5">
      <c r="B6074" s="1115">
        <v>45171</v>
      </c>
      <c r="C6074" s="242">
        <f t="shared" si="189"/>
        <v>9</v>
      </c>
      <c r="D6074" s="242">
        <v>62.6</v>
      </c>
      <c r="E6074" s="845">
        <f t="shared" si="190"/>
        <v>17</v>
      </c>
    </row>
    <row r="6075" spans="2:5">
      <c r="B6075" s="1115">
        <v>45171</v>
      </c>
      <c r="C6075" s="242">
        <f t="shared" si="189"/>
        <v>9</v>
      </c>
      <c r="D6075" s="242">
        <v>61.3</v>
      </c>
      <c r="E6075" s="845">
        <f t="shared" si="190"/>
        <v>16.277777777777775</v>
      </c>
    </row>
    <row r="6076" spans="2:5">
      <c r="B6076" s="1115">
        <v>45171</v>
      </c>
      <c r="C6076" s="242">
        <f t="shared" si="189"/>
        <v>9</v>
      </c>
      <c r="D6076" s="242">
        <v>61.2</v>
      </c>
      <c r="E6076" s="845">
        <f t="shared" si="190"/>
        <v>16.222222222222225</v>
      </c>
    </row>
    <row r="6077" spans="2:5">
      <c r="B6077" s="1115">
        <v>45171</v>
      </c>
      <c r="C6077" s="242">
        <f t="shared" si="189"/>
        <v>9</v>
      </c>
      <c r="D6077" s="242">
        <v>61.5</v>
      </c>
      <c r="E6077" s="845">
        <f t="shared" si="190"/>
        <v>16.388888888888889</v>
      </c>
    </row>
    <row r="6078" spans="2:5">
      <c r="B6078" s="1115">
        <v>45171</v>
      </c>
      <c r="C6078" s="242">
        <f t="shared" si="189"/>
        <v>9</v>
      </c>
      <c r="D6078" s="242">
        <v>61.9</v>
      </c>
      <c r="E6078" s="845">
        <f t="shared" si="190"/>
        <v>16.611111111111111</v>
      </c>
    </row>
    <row r="6079" spans="2:5">
      <c r="B6079" s="1115">
        <v>45171</v>
      </c>
      <c r="C6079" s="242">
        <f t="shared" si="189"/>
        <v>9</v>
      </c>
      <c r="D6079" s="242">
        <v>62.6</v>
      </c>
      <c r="E6079" s="845">
        <f t="shared" si="190"/>
        <v>17</v>
      </c>
    </row>
    <row r="6080" spans="2:5">
      <c r="B6080" s="1115">
        <v>45171</v>
      </c>
      <c r="C6080" s="242">
        <f t="shared" si="189"/>
        <v>9</v>
      </c>
      <c r="D6080" s="242">
        <v>64.2</v>
      </c>
      <c r="E6080" s="845">
        <f t="shared" si="190"/>
        <v>17.888888888888889</v>
      </c>
    </row>
    <row r="6081" spans="2:5">
      <c r="B6081" s="1115">
        <v>45172</v>
      </c>
      <c r="C6081" s="242">
        <f t="shared" si="189"/>
        <v>9</v>
      </c>
      <c r="D6081" s="242">
        <v>65.3</v>
      </c>
      <c r="E6081" s="845">
        <f t="shared" si="190"/>
        <v>18.499999999999996</v>
      </c>
    </row>
    <row r="6082" spans="2:5">
      <c r="B6082" s="1115">
        <v>45172</v>
      </c>
      <c r="C6082" s="242">
        <f t="shared" si="189"/>
        <v>9</v>
      </c>
      <c r="D6082" s="242">
        <v>66.2</v>
      </c>
      <c r="E6082" s="845">
        <f t="shared" si="190"/>
        <v>19</v>
      </c>
    </row>
    <row r="6083" spans="2:5">
      <c r="B6083" s="1115">
        <v>45172</v>
      </c>
      <c r="C6083" s="242">
        <f t="shared" si="189"/>
        <v>9</v>
      </c>
      <c r="D6083" s="242">
        <v>66.7</v>
      </c>
      <c r="E6083" s="845">
        <f t="shared" si="190"/>
        <v>19.277777777777779</v>
      </c>
    </row>
    <row r="6084" spans="2:5">
      <c r="B6084" s="1115">
        <v>45172</v>
      </c>
      <c r="C6084" s="242">
        <f t="shared" si="189"/>
        <v>9</v>
      </c>
      <c r="D6084" s="242">
        <v>66.599999999999994</v>
      </c>
      <c r="E6084" s="845">
        <f t="shared" si="190"/>
        <v>19.222222222222218</v>
      </c>
    </row>
    <row r="6085" spans="2:5">
      <c r="B6085" s="1115">
        <v>45172</v>
      </c>
      <c r="C6085" s="242">
        <f t="shared" si="189"/>
        <v>9</v>
      </c>
      <c r="D6085" s="242">
        <v>64.900000000000006</v>
      </c>
      <c r="E6085" s="845">
        <f t="shared" si="190"/>
        <v>18.277777777777782</v>
      </c>
    </row>
    <row r="6086" spans="2:5">
      <c r="B6086" s="1115">
        <v>45172</v>
      </c>
      <c r="C6086" s="242">
        <f t="shared" si="189"/>
        <v>9</v>
      </c>
      <c r="D6086" s="242">
        <v>63.9</v>
      </c>
      <c r="E6086" s="845">
        <f t="shared" si="190"/>
        <v>17.722222222222221</v>
      </c>
    </row>
    <row r="6087" spans="2:5">
      <c r="B6087" s="1115">
        <v>45172</v>
      </c>
      <c r="C6087" s="242">
        <f t="shared" si="189"/>
        <v>9</v>
      </c>
      <c r="D6087" s="242">
        <v>61.7</v>
      </c>
      <c r="E6087" s="845">
        <f t="shared" si="190"/>
        <v>16.5</v>
      </c>
    </row>
    <row r="6088" spans="2:5">
      <c r="B6088" s="1115">
        <v>45172</v>
      </c>
      <c r="C6088" s="242">
        <f t="shared" si="189"/>
        <v>9</v>
      </c>
      <c r="D6088" s="242">
        <v>60.8</v>
      </c>
      <c r="E6088" s="845">
        <f t="shared" si="190"/>
        <v>15.999999999999998</v>
      </c>
    </row>
    <row r="6089" spans="2:5">
      <c r="B6089" s="1115">
        <v>45172</v>
      </c>
      <c r="C6089" s="242">
        <f t="shared" si="189"/>
        <v>9</v>
      </c>
      <c r="D6089" s="242">
        <v>60.6</v>
      </c>
      <c r="E6089" s="845">
        <f t="shared" si="190"/>
        <v>15.888888888888889</v>
      </c>
    </row>
    <row r="6090" spans="2:5">
      <c r="B6090" s="1115">
        <v>45172</v>
      </c>
      <c r="C6090" s="242">
        <f t="shared" ref="C6090:C6153" si="191">MONTH(B6090)</f>
        <v>9</v>
      </c>
      <c r="D6090" s="242" t="s">
        <v>1850</v>
      </c>
      <c r="E6090" s="845">
        <f t="shared" ref="E6090:E6153" si="192">CONVERT(D6090,"F","C")</f>
        <v>16.111111111111111</v>
      </c>
    </row>
    <row r="6091" spans="2:5">
      <c r="B6091" s="1115">
        <v>45172</v>
      </c>
      <c r="C6091" s="242">
        <f t="shared" si="191"/>
        <v>9</v>
      </c>
      <c r="D6091" s="242">
        <v>61.5</v>
      </c>
      <c r="E6091" s="845">
        <f t="shared" si="192"/>
        <v>16.388888888888889</v>
      </c>
    </row>
    <row r="6092" spans="2:5">
      <c r="B6092" s="1115">
        <v>45172</v>
      </c>
      <c r="C6092" s="242">
        <f t="shared" si="191"/>
        <v>9</v>
      </c>
      <c r="D6092" s="242">
        <v>62.8</v>
      </c>
      <c r="E6092" s="845">
        <f t="shared" si="192"/>
        <v>17.111111111111111</v>
      </c>
    </row>
    <row r="6093" spans="2:5">
      <c r="B6093" s="1115">
        <v>45172</v>
      </c>
      <c r="C6093" s="242">
        <f t="shared" si="191"/>
        <v>9</v>
      </c>
      <c r="D6093" s="242">
        <v>64.400000000000006</v>
      </c>
      <c r="E6093" s="845">
        <f t="shared" si="192"/>
        <v>18.000000000000004</v>
      </c>
    </row>
    <row r="6094" spans="2:5">
      <c r="B6094" s="1115">
        <v>45172</v>
      </c>
      <c r="C6094" s="242">
        <f t="shared" si="191"/>
        <v>9</v>
      </c>
      <c r="D6094" s="242">
        <v>65.3</v>
      </c>
      <c r="E6094" s="845">
        <f t="shared" si="192"/>
        <v>18.499999999999996</v>
      </c>
    </row>
    <row r="6095" spans="2:5">
      <c r="B6095" s="1115">
        <v>45172</v>
      </c>
      <c r="C6095" s="242">
        <f t="shared" si="191"/>
        <v>9</v>
      </c>
      <c r="D6095" s="242" t="s">
        <v>1853</v>
      </c>
      <c r="E6095" s="845">
        <f t="shared" si="192"/>
        <v>18.888888888888889</v>
      </c>
    </row>
    <row r="6096" spans="2:5">
      <c r="B6096" s="1115">
        <v>45172</v>
      </c>
      <c r="C6096" s="242">
        <f t="shared" si="191"/>
        <v>9</v>
      </c>
      <c r="D6096" s="242">
        <v>66.400000000000006</v>
      </c>
      <c r="E6096" s="845">
        <f t="shared" si="192"/>
        <v>19.111111111111114</v>
      </c>
    </row>
    <row r="6097" spans="2:5">
      <c r="B6097" s="1115">
        <v>45172</v>
      </c>
      <c r="C6097" s="242">
        <f t="shared" si="191"/>
        <v>9</v>
      </c>
      <c r="D6097" s="242">
        <v>64.8</v>
      </c>
      <c r="E6097" s="845">
        <f t="shared" si="192"/>
        <v>18.222222222222221</v>
      </c>
    </row>
    <row r="6098" spans="2:5">
      <c r="B6098" s="1115">
        <v>45172</v>
      </c>
      <c r="C6098" s="242">
        <f t="shared" si="191"/>
        <v>9</v>
      </c>
      <c r="D6098" s="242">
        <v>62.8</v>
      </c>
      <c r="E6098" s="845">
        <f t="shared" si="192"/>
        <v>17.111111111111111</v>
      </c>
    </row>
    <row r="6099" spans="2:5">
      <c r="B6099" s="1115">
        <v>45172</v>
      </c>
      <c r="C6099" s="242">
        <f t="shared" si="191"/>
        <v>9</v>
      </c>
      <c r="D6099" s="242">
        <v>60.1</v>
      </c>
      <c r="E6099" s="845">
        <f t="shared" si="192"/>
        <v>15.611111111111111</v>
      </c>
    </row>
    <row r="6100" spans="2:5">
      <c r="B6100" s="1115">
        <v>45172</v>
      </c>
      <c r="C6100" s="242">
        <f t="shared" si="191"/>
        <v>9</v>
      </c>
      <c r="D6100" s="242" t="s">
        <v>1849</v>
      </c>
      <c r="E6100" s="845">
        <f t="shared" si="192"/>
        <v>15</v>
      </c>
    </row>
    <row r="6101" spans="2:5">
      <c r="B6101" s="1115">
        <v>45172</v>
      </c>
      <c r="C6101" s="242">
        <f t="shared" si="191"/>
        <v>9</v>
      </c>
      <c r="D6101" s="242">
        <v>58.8</v>
      </c>
      <c r="E6101" s="845">
        <f t="shared" si="192"/>
        <v>14.888888888888888</v>
      </c>
    </row>
    <row r="6102" spans="2:5">
      <c r="B6102" s="1115">
        <v>45172</v>
      </c>
      <c r="C6102" s="242">
        <f t="shared" si="191"/>
        <v>9</v>
      </c>
      <c r="D6102" s="242">
        <v>60.3</v>
      </c>
      <c r="E6102" s="845">
        <f t="shared" si="192"/>
        <v>15.72222222222222</v>
      </c>
    </row>
    <row r="6103" spans="2:5">
      <c r="B6103" s="1115">
        <v>45172</v>
      </c>
      <c r="C6103" s="242">
        <f t="shared" si="191"/>
        <v>9</v>
      </c>
      <c r="D6103" s="242">
        <v>59.7</v>
      </c>
      <c r="E6103" s="845">
        <f t="shared" si="192"/>
        <v>15.388888888888889</v>
      </c>
    </row>
    <row r="6104" spans="2:5">
      <c r="B6104" s="1115">
        <v>45172</v>
      </c>
      <c r="C6104" s="242">
        <f t="shared" si="191"/>
        <v>9</v>
      </c>
      <c r="D6104" s="242">
        <v>61.2</v>
      </c>
      <c r="E6104" s="845">
        <f t="shared" si="192"/>
        <v>16.222222222222225</v>
      </c>
    </row>
    <row r="6105" spans="2:5">
      <c r="B6105" s="1115">
        <v>45173</v>
      </c>
      <c r="C6105" s="242">
        <f t="shared" si="191"/>
        <v>9</v>
      </c>
      <c r="D6105" s="242">
        <v>63.3</v>
      </c>
      <c r="E6105" s="845">
        <f t="shared" si="192"/>
        <v>17.388888888888886</v>
      </c>
    </row>
    <row r="6106" spans="2:5">
      <c r="B6106" s="1115">
        <v>45173</v>
      </c>
      <c r="C6106" s="242">
        <f t="shared" si="191"/>
        <v>9</v>
      </c>
      <c r="D6106" s="242">
        <v>64.8</v>
      </c>
      <c r="E6106" s="845">
        <f t="shared" si="192"/>
        <v>18.222222222222221</v>
      </c>
    </row>
    <row r="6107" spans="2:5">
      <c r="B6107" s="1115">
        <v>45173</v>
      </c>
      <c r="C6107" s="242">
        <f t="shared" si="191"/>
        <v>9</v>
      </c>
      <c r="D6107" s="242" t="s">
        <v>1853</v>
      </c>
      <c r="E6107" s="845">
        <f t="shared" si="192"/>
        <v>18.888888888888889</v>
      </c>
    </row>
    <row r="6108" spans="2:5">
      <c r="B6108" s="1115">
        <v>45173</v>
      </c>
      <c r="C6108" s="242">
        <f t="shared" si="191"/>
        <v>9</v>
      </c>
      <c r="D6108" s="242">
        <v>66.599999999999994</v>
      </c>
      <c r="E6108" s="845">
        <f t="shared" si="192"/>
        <v>19.222222222222218</v>
      </c>
    </row>
    <row r="6109" spans="2:5">
      <c r="B6109" s="1115">
        <v>45173</v>
      </c>
      <c r="C6109" s="242">
        <f t="shared" si="191"/>
        <v>9</v>
      </c>
      <c r="D6109" s="242">
        <v>66.2</v>
      </c>
      <c r="E6109" s="845">
        <f t="shared" si="192"/>
        <v>19</v>
      </c>
    </row>
    <row r="6110" spans="2:5">
      <c r="B6110" s="1115">
        <v>45173</v>
      </c>
      <c r="C6110" s="242">
        <f t="shared" si="191"/>
        <v>9</v>
      </c>
      <c r="D6110" s="242" t="s">
        <v>1852</v>
      </c>
      <c r="E6110" s="845">
        <f t="shared" si="192"/>
        <v>17.777777777777779</v>
      </c>
    </row>
    <row r="6111" spans="2:5">
      <c r="B6111" s="1115">
        <v>45173</v>
      </c>
      <c r="C6111" s="242">
        <f t="shared" si="191"/>
        <v>9</v>
      </c>
      <c r="D6111" s="242">
        <v>62.4</v>
      </c>
      <c r="E6111" s="845">
        <f t="shared" si="192"/>
        <v>16.888888888888889</v>
      </c>
    </row>
    <row r="6112" spans="2:5">
      <c r="B6112" s="1115">
        <v>45173</v>
      </c>
      <c r="C6112" s="242">
        <f t="shared" si="191"/>
        <v>9</v>
      </c>
      <c r="D6112" s="242">
        <v>60.4</v>
      </c>
      <c r="E6112" s="845">
        <f t="shared" si="192"/>
        <v>15.777777777777777</v>
      </c>
    </row>
    <row r="6113" spans="2:5">
      <c r="B6113" s="1115">
        <v>45173</v>
      </c>
      <c r="C6113" s="242">
        <f t="shared" si="191"/>
        <v>9</v>
      </c>
      <c r="D6113" s="242">
        <v>59.5</v>
      </c>
      <c r="E6113" s="845">
        <f t="shared" si="192"/>
        <v>15.277777777777777</v>
      </c>
    </row>
    <row r="6114" spans="2:5">
      <c r="B6114" s="1115">
        <v>45173</v>
      </c>
      <c r="C6114" s="242">
        <f t="shared" si="191"/>
        <v>9</v>
      </c>
      <c r="D6114" s="242">
        <v>59.4</v>
      </c>
      <c r="E6114" s="845">
        <f t="shared" si="192"/>
        <v>15.222222222222221</v>
      </c>
    </row>
    <row r="6115" spans="2:5">
      <c r="B6115" s="1115">
        <v>45173</v>
      </c>
      <c r="C6115" s="242">
        <f t="shared" si="191"/>
        <v>9</v>
      </c>
      <c r="D6115" s="242">
        <v>59.4</v>
      </c>
      <c r="E6115" s="845">
        <f t="shared" si="192"/>
        <v>15.222222222222221</v>
      </c>
    </row>
    <row r="6116" spans="2:5">
      <c r="B6116" s="1115">
        <v>45173</v>
      </c>
      <c r="C6116" s="242">
        <f t="shared" si="191"/>
        <v>9</v>
      </c>
      <c r="D6116" s="242">
        <v>60.6</v>
      </c>
      <c r="E6116" s="845">
        <f t="shared" si="192"/>
        <v>15.888888888888889</v>
      </c>
    </row>
    <row r="6117" spans="2:5">
      <c r="B6117" s="1115">
        <v>45173</v>
      </c>
      <c r="C6117" s="242">
        <f t="shared" si="191"/>
        <v>9</v>
      </c>
      <c r="D6117" s="242">
        <v>62.2</v>
      </c>
      <c r="E6117" s="845">
        <f t="shared" si="192"/>
        <v>16.777777777777779</v>
      </c>
    </row>
    <row r="6118" spans="2:5">
      <c r="B6118" s="1115">
        <v>45173</v>
      </c>
      <c r="C6118" s="242">
        <f t="shared" si="191"/>
        <v>9</v>
      </c>
      <c r="D6118" s="242">
        <v>63.9</v>
      </c>
      <c r="E6118" s="845">
        <f t="shared" si="192"/>
        <v>17.722222222222221</v>
      </c>
    </row>
    <row r="6119" spans="2:5">
      <c r="B6119" s="1115">
        <v>45173</v>
      </c>
      <c r="C6119" s="242">
        <f t="shared" si="191"/>
        <v>9</v>
      </c>
      <c r="D6119" s="242">
        <v>65.099999999999994</v>
      </c>
      <c r="E6119" s="845">
        <f t="shared" si="192"/>
        <v>18.388888888888886</v>
      </c>
    </row>
    <row r="6120" spans="2:5">
      <c r="B6120" s="1115">
        <v>45173</v>
      </c>
      <c r="C6120" s="242">
        <f t="shared" si="191"/>
        <v>9</v>
      </c>
      <c r="D6120" s="242">
        <v>65.8</v>
      </c>
      <c r="E6120" s="845">
        <f t="shared" si="192"/>
        <v>18.777777777777775</v>
      </c>
    </row>
    <row r="6121" spans="2:5">
      <c r="B6121" s="1115">
        <v>45173</v>
      </c>
      <c r="C6121" s="242">
        <f t="shared" si="191"/>
        <v>9</v>
      </c>
      <c r="D6121" s="242">
        <v>65.8</v>
      </c>
      <c r="E6121" s="845">
        <f t="shared" si="192"/>
        <v>18.777777777777775</v>
      </c>
    </row>
    <row r="6122" spans="2:5">
      <c r="B6122" s="1115">
        <v>45173</v>
      </c>
      <c r="C6122" s="242">
        <f t="shared" si="191"/>
        <v>9</v>
      </c>
      <c r="D6122" s="242">
        <v>63.5</v>
      </c>
      <c r="E6122" s="845">
        <f t="shared" si="192"/>
        <v>17.5</v>
      </c>
    </row>
    <row r="6123" spans="2:5">
      <c r="B6123" s="1115">
        <v>45173</v>
      </c>
      <c r="C6123" s="242">
        <f t="shared" si="191"/>
        <v>9</v>
      </c>
      <c r="D6123" s="242">
        <v>61.7</v>
      </c>
      <c r="E6123" s="845">
        <f t="shared" si="192"/>
        <v>16.5</v>
      </c>
    </row>
    <row r="6124" spans="2:5">
      <c r="B6124" s="1115">
        <v>45173</v>
      </c>
      <c r="C6124" s="242">
        <f t="shared" si="191"/>
        <v>9</v>
      </c>
      <c r="D6124" s="242">
        <v>60.3</v>
      </c>
      <c r="E6124" s="845">
        <f t="shared" si="192"/>
        <v>15.72222222222222</v>
      </c>
    </row>
    <row r="6125" spans="2:5">
      <c r="B6125" s="1115">
        <v>45173</v>
      </c>
      <c r="C6125" s="242">
        <f t="shared" si="191"/>
        <v>9</v>
      </c>
      <c r="D6125" s="242">
        <v>59.4</v>
      </c>
      <c r="E6125" s="845">
        <f t="shared" si="192"/>
        <v>15.222222222222221</v>
      </c>
    </row>
    <row r="6126" spans="2:5">
      <c r="B6126" s="1115">
        <v>45173</v>
      </c>
      <c r="C6126" s="242">
        <f t="shared" si="191"/>
        <v>9</v>
      </c>
      <c r="D6126" s="242">
        <v>59.4</v>
      </c>
      <c r="E6126" s="845">
        <f t="shared" si="192"/>
        <v>15.222222222222221</v>
      </c>
    </row>
    <row r="6127" spans="2:5">
      <c r="B6127" s="1115">
        <v>45173</v>
      </c>
      <c r="C6127" s="242">
        <f t="shared" si="191"/>
        <v>9</v>
      </c>
      <c r="D6127" s="242">
        <v>60.4</v>
      </c>
      <c r="E6127" s="845">
        <f t="shared" si="192"/>
        <v>15.777777777777777</v>
      </c>
    </row>
    <row r="6128" spans="2:5">
      <c r="B6128" s="1115">
        <v>45173</v>
      </c>
      <c r="C6128" s="242">
        <f t="shared" si="191"/>
        <v>9</v>
      </c>
      <c r="D6128" s="242">
        <v>60.3</v>
      </c>
      <c r="E6128" s="845">
        <f t="shared" si="192"/>
        <v>15.72222222222222</v>
      </c>
    </row>
    <row r="6129" spans="2:5">
      <c r="B6129" s="1115">
        <v>45174</v>
      </c>
      <c r="C6129" s="242">
        <f t="shared" si="191"/>
        <v>9</v>
      </c>
      <c r="D6129" s="242">
        <v>61.5</v>
      </c>
      <c r="E6129" s="845">
        <f t="shared" si="192"/>
        <v>16.388888888888889</v>
      </c>
    </row>
    <row r="6130" spans="2:5">
      <c r="B6130" s="1115">
        <v>45174</v>
      </c>
      <c r="C6130" s="242">
        <f t="shared" si="191"/>
        <v>9</v>
      </c>
      <c r="D6130" s="242">
        <v>63.5</v>
      </c>
      <c r="E6130" s="845">
        <f t="shared" si="192"/>
        <v>17.5</v>
      </c>
    </row>
    <row r="6131" spans="2:5">
      <c r="B6131" s="1115">
        <v>45174</v>
      </c>
      <c r="C6131" s="242">
        <f t="shared" si="191"/>
        <v>9</v>
      </c>
      <c r="D6131" s="242">
        <v>64.900000000000006</v>
      </c>
      <c r="E6131" s="845">
        <f t="shared" si="192"/>
        <v>18.277777777777782</v>
      </c>
    </row>
    <row r="6132" spans="2:5">
      <c r="B6132" s="1115">
        <v>45174</v>
      </c>
      <c r="C6132" s="242">
        <f t="shared" si="191"/>
        <v>9</v>
      </c>
      <c r="D6132" s="242" t="s">
        <v>1853</v>
      </c>
      <c r="E6132" s="845">
        <f t="shared" si="192"/>
        <v>18.888888888888889</v>
      </c>
    </row>
    <row r="6133" spans="2:5">
      <c r="B6133" s="1115">
        <v>45174</v>
      </c>
      <c r="C6133" s="242">
        <f t="shared" si="191"/>
        <v>9</v>
      </c>
      <c r="D6133" s="242">
        <v>66.599999999999994</v>
      </c>
      <c r="E6133" s="845">
        <f t="shared" si="192"/>
        <v>19.222222222222218</v>
      </c>
    </row>
    <row r="6134" spans="2:5">
      <c r="B6134" s="1115">
        <v>45174</v>
      </c>
      <c r="C6134" s="242">
        <f t="shared" si="191"/>
        <v>9</v>
      </c>
      <c r="D6134" s="242" t="s">
        <v>1853</v>
      </c>
      <c r="E6134" s="845">
        <f t="shared" si="192"/>
        <v>18.888888888888889</v>
      </c>
    </row>
    <row r="6135" spans="2:5">
      <c r="B6135" s="1115">
        <v>45174</v>
      </c>
      <c r="C6135" s="242">
        <f t="shared" si="191"/>
        <v>9</v>
      </c>
      <c r="D6135" s="242">
        <v>63.7</v>
      </c>
      <c r="E6135" s="845">
        <f t="shared" si="192"/>
        <v>17.611111111111111</v>
      </c>
    </row>
    <row r="6136" spans="2:5">
      <c r="B6136" s="1115">
        <v>45174</v>
      </c>
      <c r="C6136" s="242">
        <f t="shared" si="191"/>
        <v>9</v>
      </c>
      <c r="D6136" s="242">
        <v>61.9</v>
      </c>
      <c r="E6136" s="845">
        <f t="shared" si="192"/>
        <v>16.611111111111111</v>
      </c>
    </row>
    <row r="6137" spans="2:5">
      <c r="B6137" s="1115">
        <v>45174</v>
      </c>
      <c r="C6137" s="242">
        <f t="shared" si="191"/>
        <v>9</v>
      </c>
      <c r="D6137" s="242">
        <v>59.9</v>
      </c>
      <c r="E6137" s="845">
        <f t="shared" si="192"/>
        <v>15.499999999999998</v>
      </c>
    </row>
    <row r="6138" spans="2:5">
      <c r="B6138" s="1115">
        <v>45174</v>
      </c>
      <c r="C6138" s="242">
        <f t="shared" si="191"/>
        <v>9</v>
      </c>
      <c r="D6138" s="242">
        <v>59.5</v>
      </c>
      <c r="E6138" s="845">
        <f t="shared" si="192"/>
        <v>15.277777777777777</v>
      </c>
    </row>
    <row r="6139" spans="2:5">
      <c r="B6139" s="1115">
        <v>45174</v>
      </c>
      <c r="C6139" s="242">
        <f t="shared" si="191"/>
        <v>9</v>
      </c>
      <c r="D6139" s="242">
        <v>59.4</v>
      </c>
      <c r="E6139" s="845">
        <f t="shared" si="192"/>
        <v>15.222222222222221</v>
      </c>
    </row>
    <row r="6140" spans="2:5">
      <c r="B6140" s="1115">
        <v>45174</v>
      </c>
      <c r="C6140" s="242">
        <f t="shared" si="191"/>
        <v>9</v>
      </c>
      <c r="D6140" s="242">
        <v>59.7</v>
      </c>
      <c r="E6140" s="845">
        <f t="shared" si="192"/>
        <v>15.388888888888889</v>
      </c>
    </row>
    <row r="6141" spans="2:5">
      <c r="B6141" s="1115">
        <v>45174</v>
      </c>
      <c r="C6141" s="242">
        <f t="shared" si="191"/>
        <v>9</v>
      </c>
      <c r="D6141" s="242">
        <v>60.6</v>
      </c>
      <c r="E6141" s="845">
        <f t="shared" si="192"/>
        <v>15.888888888888889</v>
      </c>
    </row>
    <row r="6142" spans="2:5">
      <c r="B6142" s="1115">
        <v>45174</v>
      </c>
      <c r="C6142" s="242">
        <f t="shared" si="191"/>
        <v>9</v>
      </c>
      <c r="D6142" s="242">
        <v>62.4</v>
      </c>
      <c r="E6142" s="845">
        <f t="shared" si="192"/>
        <v>16.888888888888889</v>
      </c>
    </row>
    <row r="6143" spans="2:5">
      <c r="B6143" s="1115">
        <v>45174</v>
      </c>
      <c r="C6143" s="242">
        <f t="shared" si="191"/>
        <v>9</v>
      </c>
      <c r="D6143" s="242">
        <v>64.2</v>
      </c>
      <c r="E6143" s="845">
        <f t="shared" si="192"/>
        <v>17.888888888888889</v>
      </c>
    </row>
    <row r="6144" spans="2:5">
      <c r="B6144" s="1115">
        <v>45174</v>
      </c>
      <c r="C6144" s="242">
        <f t="shared" si="191"/>
        <v>9</v>
      </c>
      <c r="D6144" s="242">
        <v>65.3</v>
      </c>
      <c r="E6144" s="845">
        <f t="shared" si="192"/>
        <v>18.499999999999996</v>
      </c>
    </row>
    <row r="6145" spans="2:5">
      <c r="B6145" s="1115">
        <v>45174</v>
      </c>
      <c r="C6145" s="242">
        <f t="shared" si="191"/>
        <v>9</v>
      </c>
      <c r="D6145" s="242">
        <v>66.2</v>
      </c>
      <c r="E6145" s="845">
        <f t="shared" si="192"/>
        <v>19</v>
      </c>
    </row>
    <row r="6146" spans="2:5">
      <c r="B6146" s="1115">
        <v>45174</v>
      </c>
      <c r="C6146" s="242">
        <f t="shared" si="191"/>
        <v>9</v>
      </c>
      <c r="D6146" s="242">
        <v>65.5</v>
      </c>
      <c r="E6146" s="845">
        <f t="shared" si="192"/>
        <v>18.611111111111111</v>
      </c>
    </row>
    <row r="6147" spans="2:5">
      <c r="B6147" s="1115">
        <v>45174</v>
      </c>
      <c r="C6147" s="242">
        <f t="shared" si="191"/>
        <v>9</v>
      </c>
      <c r="D6147" s="242" t="s">
        <v>1851</v>
      </c>
      <c r="E6147" s="845">
        <f t="shared" si="192"/>
        <v>17.222222222222221</v>
      </c>
    </row>
    <row r="6148" spans="2:5">
      <c r="B6148" s="1115">
        <v>45174</v>
      </c>
      <c r="C6148" s="242">
        <f t="shared" si="191"/>
        <v>9</v>
      </c>
      <c r="D6148" s="242">
        <v>62.1</v>
      </c>
      <c r="E6148" s="845">
        <f t="shared" si="192"/>
        <v>16.722222222222221</v>
      </c>
    </row>
    <row r="6149" spans="2:5">
      <c r="B6149" s="1115">
        <v>45174</v>
      </c>
      <c r="C6149" s="242">
        <f t="shared" si="191"/>
        <v>9</v>
      </c>
      <c r="D6149" s="242">
        <v>61.5</v>
      </c>
      <c r="E6149" s="845">
        <f t="shared" si="192"/>
        <v>16.388888888888889</v>
      </c>
    </row>
    <row r="6150" spans="2:5">
      <c r="B6150" s="1115">
        <v>45174</v>
      </c>
      <c r="C6150" s="242">
        <f t="shared" si="191"/>
        <v>9</v>
      </c>
      <c r="D6150" s="242">
        <v>60.6</v>
      </c>
      <c r="E6150" s="845">
        <f t="shared" si="192"/>
        <v>15.888888888888889</v>
      </c>
    </row>
    <row r="6151" spans="2:5">
      <c r="B6151" s="1115">
        <v>45174</v>
      </c>
      <c r="C6151" s="242">
        <f t="shared" si="191"/>
        <v>9</v>
      </c>
      <c r="D6151" s="242">
        <v>60.8</v>
      </c>
      <c r="E6151" s="845">
        <f t="shared" si="192"/>
        <v>15.999999999999998</v>
      </c>
    </row>
    <row r="6152" spans="2:5">
      <c r="B6152" s="1115">
        <v>45174</v>
      </c>
      <c r="C6152" s="242">
        <f t="shared" si="191"/>
        <v>9</v>
      </c>
      <c r="D6152" s="242" t="s">
        <v>1850</v>
      </c>
      <c r="E6152" s="845">
        <f t="shared" si="192"/>
        <v>16.111111111111111</v>
      </c>
    </row>
    <row r="6153" spans="2:5">
      <c r="B6153" s="1115">
        <v>45175</v>
      </c>
      <c r="C6153" s="242">
        <f t="shared" si="191"/>
        <v>9</v>
      </c>
      <c r="D6153" s="242">
        <v>61.7</v>
      </c>
      <c r="E6153" s="845">
        <f t="shared" si="192"/>
        <v>16.5</v>
      </c>
    </row>
    <row r="6154" spans="2:5">
      <c r="B6154" s="1115">
        <v>45175</v>
      </c>
      <c r="C6154" s="242">
        <f t="shared" ref="C6154:C6217" si="193">MONTH(B6154)</f>
        <v>9</v>
      </c>
      <c r="D6154" s="242">
        <v>62.8</v>
      </c>
      <c r="E6154" s="845">
        <f t="shared" ref="E6154:E6217" si="194">CONVERT(D6154,"F","C")</f>
        <v>17.111111111111111</v>
      </c>
    </row>
    <row r="6155" spans="2:5">
      <c r="B6155" s="1115">
        <v>45175</v>
      </c>
      <c r="C6155" s="242">
        <f t="shared" si="193"/>
        <v>9</v>
      </c>
      <c r="D6155" s="242">
        <v>64.2</v>
      </c>
      <c r="E6155" s="845">
        <f t="shared" si="194"/>
        <v>17.888888888888889</v>
      </c>
    </row>
    <row r="6156" spans="2:5">
      <c r="B6156" s="1115">
        <v>45175</v>
      </c>
      <c r="C6156" s="242">
        <f t="shared" si="193"/>
        <v>9</v>
      </c>
      <c r="D6156" s="242">
        <v>65.3</v>
      </c>
      <c r="E6156" s="845">
        <f t="shared" si="194"/>
        <v>18.499999999999996</v>
      </c>
    </row>
    <row r="6157" spans="2:5">
      <c r="B6157" s="1115">
        <v>45175</v>
      </c>
      <c r="C6157" s="242">
        <f t="shared" si="193"/>
        <v>9</v>
      </c>
      <c r="D6157" s="242">
        <v>66.400000000000006</v>
      </c>
      <c r="E6157" s="845">
        <f t="shared" si="194"/>
        <v>19.111111111111114</v>
      </c>
    </row>
    <row r="6158" spans="2:5">
      <c r="B6158" s="1115">
        <v>45175</v>
      </c>
      <c r="C6158" s="242">
        <f t="shared" si="193"/>
        <v>9</v>
      </c>
      <c r="D6158" s="242">
        <v>66.900000000000006</v>
      </c>
      <c r="E6158" s="845">
        <f t="shared" si="194"/>
        <v>19.388888888888893</v>
      </c>
    </row>
    <row r="6159" spans="2:5">
      <c r="B6159" s="1115">
        <v>45175</v>
      </c>
      <c r="C6159" s="242">
        <f t="shared" si="193"/>
        <v>9</v>
      </c>
      <c r="D6159" s="242">
        <v>66.400000000000006</v>
      </c>
      <c r="E6159" s="845">
        <f t="shared" si="194"/>
        <v>19.111111111111114</v>
      </c>
    </row>
    <row r="6160" spans="2:5">
      <c r="B6160" s="1115">
        <v>45175</v>
      </c>
      <c r="C6160" s="242">
        <f t="shared" si="193"/>
        <v>9</v>
      </c>
      <c r="D6160" s="242">
        <v>64.400000000000006</v>
      </c>
      <c r="E6160" s="845">
        <f t="shared" si="194"/>
        <v>18.000000000000004</v>
      </c>
    </row>
    <row r="6161" spans="2:5">
      <c r="B6161" s="1115">
        <v>45175</v>
      </c>
      <c r="C6161" s="242">
        <f t="shared" si="193"/>
        <v>9</v>
      </c>
      <c r="D6161" s="242">
        <v>63.5</v>
      </c>
      <c r="E6161" s="845">
        <f t="shared" si="194"/>
        <v>17.5</v>
      </c>
    </row>
    <row r="6162" spans="2:5">
      <c r="B6162" s="1115">
        <v>45175</v>
      </c>
      <c r="C6162" s="242">
        <f t="shared" si="193"/>
        <v>9</v>
      </c>
      <c r="D6162" s="242">
        <v>62.4</v>
      </c>
      <c r="E6162" s="845">
        <f t="shared" si="194"/>
        <v>16.888888888888889</v>
      </c>
    </row>
    <row r="6163" spans="2:5">
      <c r="B6163" s="1115">
        <v>45175</v>
      </c>
      <c r="C6163" s="242">
        <f t="shared" si="193"/>
        <v>9</v>
      </c>
      <c r="D6163" s="242">
        <v>62.1</v>
      </c>
      <c r="E6163" s="845">
        <f t="shared" si="194"/>
        <v>16.722222222222221</v>
      </c>
    </row>
    <row r="6164" spans="2:5">
      <c r="B6164" s="1115">
        <v>45175</v>
      </c>
      <c r="C6164" s="242">
        <f t="shared" si="193"/>
        <v>9</v>
      </c>
      <c r="D6164" s="242">
        <v>61.9</v>
      </c>
      <c r="E6164" s="845">
        <f t="shared" si="194"/>
        <v>16.611111111111111</v>
      </c>
    </row>
    <row r="6165" spans="2:5">
      <c r="B6165" s="1115">
        <v>45175</v>
      </c>
      <c r="C6165" s="242">
        <f t="shared" si="193"/>
        <v>9</v>
      </c>
      <c r="D6165" s="242">
        <v>61.9</v>
      </c>
      <c r="E6165" s="845">
        <f t="shared" si="194"/>
        <v>16.611111111111111</v>
      </c>
    </row>
    <row r="6166" spans="2:5">
      <c r="B6166" s="1115">
        <v>45175</v>
      </c>
      <c r="C6166" s="242">
        <f t="shared" si="193"/>
        <v>9</v>
      </c>
      <c r="D6166" s="242" t="s">
        <v>1851</v>
      </c>
      <c r="E6166" s="845">
        <f t="shared" si="194"/>
        <v>17.222222222222221</v>
      </c>
    </row>
    <row r="6167" spans="2:5">
      <c r="B6167" s="1115">
        <v>45175</v>
      </c>
      <c r="C6167" s="242">
        <f t="shared" si="193"/>
        <v>9</v>
      </c>
      <c r="D6167" s="242">
        <v>64.2</v>
      </c>
      <c r="E6167" s="845">
        <f t="shared" si="194"/>
        <v>17.888888888888889</v>
      </c>
    </row>
    <row r="6168" spans="2:5">
      <c r="B6168" s="1115">
        <v>45175</v>
      </c>
      <c r="C6168" s="242">
        <f t="shared" si="193"/>
        <v>9</v>
      </c>
      <c r="D6168" s="242">
        <v>65.7</v>
      </c>
      <c r="E6168" s="845">
        <f t="shared" si="194"/>
        <v>18.722222222222225</v>
      </c>
    </row>
    <row r="6169" spans="2:5">
      <c r="B6169" s="1115">
        <v>45175</v>
      </c>
      <c r="C6169" s="242">
        <f t="shared" si="193"/>
        <v>9</v>
      </c>
      <c r="D6169" s="242">
        <v>66.400000000000006</v>
      </c>
      <c r="E6169" s="845">
        <f t="shared" si="194"/>
        <v>19.111111111111114</v>
      </c>
    </row>
    <row r="6170" spans="2:5">
      <c r="B6170" s="1115">
        <v>45175</v>
      </c>
      <c r="C6170" s="242">
        <f t="shared" si="193"/>
        <v>9</v>
      </c>
      <c r="D6170" s="242">
        <v>67.099999999999994</v>
      </c>
      <c r="E6170" s="845">
        <f t="shared" si="194"/>
        <v>19.499999999999996</v>
      </c>
    </row>
    <row r="6171" spans="2:5">
      <c r="B6171" s="1115">
        <v>45175</v>
      </c>
      <c r="C6171" s="242">
        <f t="shared" si="193"/>
        <v>9</v>
      </c>
      <c r="D6171" s="242">
        <v>66.400000000000006</v>
      </c>
      <c r="E6171" s="845">
        <f t="shared" si="194"/>
        <v>19.111111111111114</v>
      </c>
    </row>
    <row r="6172" spans="2:5">
      <c r="B6172" s="1115">
        <v>45175</v>
      </c>
      <c r="C6172" s="242">
        <f t="shared" si="193"/>
        <v>9</v>
      </c>
      <c r="D6172" s="242">
        <v>64.2</v>
      </c>
      <c r="E6172" s="845">
        <f t="shared" si="194"/>
        <v>17.888888888888889</v>
      </c>
    </row>
    <row r="6173" spans="2:5">
      <c r="B6173" s="1115">
        <v>45175</v>
      </c>
      <c r="C6173" s="242">
        <f t="shared" si="193"/>
        <v>9</v>
      </c>
      <c r="D6173" s="242" t="s">
        <v>1852</v>
      </c>
      <c r="E6173" s="845">
        <f t="shared" si="194"/>
        <v>17.777777777777779</v>
      </c>
    </row>
    <row r="6174" spans="2:5">
      <c r="B6174" s="1115">
        <v>45175</v>
      </c>
      <c r="C6174" s="242">
        <f t="shared" si="193"/>
        <v>9</v>
      </c>
      <c r="D6174" s="242">
        <v>63.3</v>
      </c>
      <c r="E6174" s="845">
        <f t="shared" si="194"/>
        <v>17.388888888888886</v>
      </c>
    </row>
    <row r="6175" spans="2:5">
      <c r="B6175" s="1115">
        <v>45175</v>
      </c>
      <c r="C6175" s="242">
        <f t="shared" si="193"/>
        <v>9</v>
      </c>
      <c r="D6175" s="242">
        <v>62.6</v>
      </c>
      <c r="E6175" s="845">
        <f t="shared" si="194"/>
        <v>17</v>
      </c>
    </row>
    <row r="6176" spans="2:5">
      <c r="B6176" s="1115">
        <v>45175</v>
      </c>
      <c r="C6176" s="242">
        <f t="shared" si="193"/>
        <v>9</v>
      </c>
      <c r="D6176" s="242" t="s">
        <v>1851</v>
      </c>
      <c r="E6176" s="845">
        <f t="shared" si="194"/>
        <v>17.222222222222221</v>
      </c>
    </row>
    <row r="6177" spans="2:5">
      <c r="B6177" s="1115">
        <v>45176</v>
      </c>
      <c r="C6177" s="242">
        <f t="shared" si="193"/>
        <v>9</v>
      </c>
      <c r="D6177" s="242">
        <v>63.3</v>
      </c>
      <c r="E6177" s="845">
        <f t="shared" si="194"/>
        <v>17.388888888888886</v>
      </c>
    </row>
    <row r="6178" spans="2:5">
      <c r="B6178" s="1115">
        <v>45176</v>
      </c>
      <c r="C6178" s="242">
        <f t="shared" si="193"/>
        <v>9</v>
      </c>
      <c r="D6178" s="242">
        <v>63.7</v>
      </c>
      <c r="E6178" s="845">
        <f t="shared" si="194"/>
        <v>17.611111111111111</v>
      </c>
    </row>
    <row r="6179" spans="2:5">
      <c r="B6179" s="1115">
        <v>45176</v>
      </c>
      <c r="C6179" s="242">
        <f t="shared" si="193"/>
        <v>9</v>
      </c>
      <c r="D6179" s="242">
        <v>64.599999999999994</v>
      </c>
      <c r="E6179" s="845">
        <f t="shared" si="194"/>
        <v>18.111111111111107</v>
      </c>
    </row>
    <row r="6180" spans="2:5">
      <c r="B6180" s="1115">
        <v>45176</v>
      </c>
      <c r="C6180" s="242">
        <f t="shared" si="193"/>
        <v>9</v>
      </c>
      <c r="D6180" s="242">
        <v>65.8</v>
      </c>
      <c r="E6180" s="845">
        <f t="shared" si="194"/>
        <v>18.777777777777775</v>
      </c>
    </row>
    <row r="6181" spans="2:5">
      <c r="B6181" s="1115">
        <v>45176</v>
      </c>
      <c r="C6181" s="242">
        <f t="shared" si="193"/>
        <v>9</v>
      </c>
      <c r="D6181" s="242">
        <v>66.7</v>
      </c>
      <c r="E6181" s="845">
        <f t="shared" si="194"/>
        <v>19.277777777777779</v>
      </c>
    </row>
    <row r="6182" spans="2:5">
      <c r="B6182" s="1115">
        <v>45176</v>
      </c>
      <c r="C6182" s="242">
        <f t="shared" si="193"/>
        <v>9</v>
      </c>
      <c r="D6182" s="242">
        <v>67.5</v>
      </c>
      <c r="E6182" s="845">
        <f t="shared" si="194"/>
        <v>19.722222222222221</v>
      </c>
    </row>
    <row r="6183" spans="2:5">
      <c r="B6183" s="1115">
        <v>45176</v>
      </c>
      <c r="C6183" s="242">
        <f t="shared" si="193"/>
        <v>9</v>
      </c>
      <c r="D6183" s="242">
        <v>67.599999999999994</v>
      </c>
      <c r="E6183" s="845">
        <f t="shared" si="194"/>
        <v>19.777777777777775</v>
      </c>
    </row>
    <row r="6184" spans="2:5">
      <c r="B6184" s="1115">
        <v>45176</v>
      </c>
      <c r="C6184" s="242">
        <f t="shared" si="193"/>
        <v>9</v>
      </c>
      <c r="D6184" s="242">
        <v>67.3</v>
      </c>
      <c r="E6184" s="845">
        <f t="shared" si="194"/>
        <v>19.611111111111111</v>
      </c>
    </row>
    <row r="6185" spans="2:5">
      <c r="B6185" s="1115">
        <v>45176</v>
      </c>
      <c r="C6185" s="242">
        <f t="shared" si="193"/>
        <v>9</v>
      </c>
      <c r="D6185" s="242">
        <v>65.8</v>
      </c>
      <c r="E6185" s="845">
        <f t="shared" si="194"/>
        <v>18.777777777777775</v>
      </c>
    </row>
    <row r="6186" spans="2:5">
      <c r="B6186" s="1115">
        <v>45176</v>
      </c>
      <c r="C6186" s="242">
        <f t="shared" si="193"/>
        <v>9</v>
      </c>
      <c r="D6186" s="242">
        <v>64.8</v>
      </c>
      <c r="E6186" s="845">
        <f t="shared" si="194"/>
        <v>18.222222222222221</v>
      </c>
    </row>
    <row r="6187" spans="2:5">
      <c r="B6187" s="1115">
        <v>45176</v>
      </c>
      <c r="C6187" s="242">
        <f t="shared" si="193"/>
        <v>9</v>
      </c>
      <c r="D6187" s="242">
        <v>63.7</v>
      </c>
      <c r="E6187" s="845">
        <f t="shared" si="194"/>
        <v>17.611111111111111</v>
      </c>
    </row>
    <row r="6188" spans="2:5">
      <c r="B6188" s="1115">
        <v>45176</v>
      </c>
      <c r="C6188" s="242">
        <f t="shared" si="193"/>
        <v>9</v>
      </c>
      <c r="D6188" s="242">
        <v>62.6</v>
      </c>
      <c r="E6188" s="845">
        <f t="shared" si="194"/>
        <v>17</v>
      </c>
    </row>
    <row r="6189" spans="2:5">
      <c r="B6189" s="1115">
        <v>45176</v>
      </c>
      <c r="C6189" s="242">
        <f t="shared" si="193"/>
        <v>9</v>
      </c>
      <c r="D6189" s="242">
        <v>61.9</v>
      </c>
      <c r="E6189" s="845">
        <f t="shared" si="194"/>
        <v>16.611111111111111</v>
      </c>
    </row>
    <row r="6190" spans="2:5">
      <c r="B6190" s="1115">
        <v>45176</v>
      </c>
      <c r="C6190" s="242">
        <f t="shared" si="193"/>
        <v>9</v>
      </c>
      <c r="D6190" s="242">
        <v>62.4</v>
      </c>
      <c r="E6190" s="845">
        <f t="shared" si="194"/>
        <v>16.888888888888889</v>
      </c>
    </row>
    <row r="6191" spans="2:5">
      <c r="B6191" s="1115">
        <v>45176</v>
      </c>
      <c r="C6191" s="242">
        <f t="shared" si="193"/>
        <v>9</v>
      </c>
      <c r="D6191" s="242">
        <v>63.9</v>
      </c>
      <c r="E6191" s="845">
        <f t="shared" si="194"/>
        <v>17.722222222222221</v>
      </c>
    </row>
    <row r="6192" spans="2:5">
      <c r="B6192" s="1115">
        <v>45176</v>
      </c>
      <c r="C6192" s="242">
        <f t="shared" si="193"/>
        <v>9</v>
      </c>
      <c r="D6192" s="242">
        <v>65.3</v>
      </c>
      <c r="E6192" s="845">
        <f t="shared" si="194"/>
        <v>18.499999999999996</v>
      </c>
    </row>
    <row r="6193" spans="2:5">
      <c r="B6193" s="1115">
        <v>45176</v>
      </c>
      <c r="C6193" s="242">
        <f t="shared" si="193"/>
        <v>9</v>
      </c>
      <c r="D6193" s="242">
        <v>66.7</v>
      </c>
      <c r="E6193" s="845">
        <f t="shared" si="194"/>
        <v>19.277777777777779</v>
      </c>
    </row>
    <row r="6194" spans="2:5">
      <c r="B6194" s="1115">
        <v>45176</v>
      </c>
      <c r="C6194" s="242">
        <f t="shared" si="193"/>
        <v>9</v>
      </c>
      <c r="D6194" s="242">
        <v>67.599999999999994</v>
      </c>
      <c r="E6194" s="845">
        <f t="shared" si="194"/>
        <v>19.777777777777775</v>
      </c>
    </row>
    <row r="6195" spans="2:5">
      <c r="B6195" s="1115">
        <v>45176</v>
      </c>
      <c r="C6195" s="242">
        <f t="shared" si="193"/>
        <v>9</v>
      </c>
      <c r="D6195" s="242">
        <v>68.2</v>
      </c>
      <c r="E6195" s="845">
        <f t="shared" si="194"/>
        <v>20.111111111111111</v>
      </c>
    </row>
    <row r="6196" spans="2:5">
      <c r="B6196" s="1115">
        <v>45176</v>
      </c>
      <c r="C6196" s="242">
        <f t="shared" si="193"/>
        <v>9</v>
      </c>
      <c r="D6196" s="242">
        <v>67.5</v>
      </c>
      <c r="E6196" s="845">
        <f t="shared" si="194"/>
        <v>19.722222222222221</v>
      </c>
    </row>
    <row r="6197" spans="2:5">
      <c r="B6197" s="1115">
        <v>45176</v>
      </c>
      <c r="C6197" s="242">
        <f t="shared" si="193"/>
        <v>9</v>
      </c>
      <c r="D6197" s="242">
        <v>65.3</v>
      </c>
      <c r="E6197" s="845">
        <f t="shared" si="194"/>
        <v>18.499999999999996</v>
      </c>
    </row>
    <row r="6198" spans="2:5">
      <c r="B6198" s="1115">
        <v>45176</v>
      </c>
      <c r="C6198" s="242">
        <f t="shared" si="193"/>
        <v>9</v>
      </c>
      <c r="D6198" s="242">
        <v>64.400000000000006</v>
      </c>
      <c r="E6198" s="845">
        <f t="shared" si="194"/>
        <v>18.000000000000004</v>
      </c>
    </row>
    <row r="6199" spans="2:5">
      <c r="B6199" s="1115">
        <v>45176</v>
      </c>
      <c r="C6199" s="242">
        <f t="shared" si="193"/>
        <v>9</v>
      </c>
      <c r="D6199" s="242">
        <v>63.9</v>
      </c>
      <c r="E6199" s="845">
        <f t="shared" si="194"/>
        <v>17.722222222222221</v>
      </c>
    </row>
    <row r="6200" spans="2:5">
      <c r="B6200" s="1115">
        <v>45176</v>
      </c>
      <c r="C6200" s="242">
        <f t="shared" si="193"/>
        <v>9</v>
      </c>
      <c r="D6200" s="242">
        <v>63.5</v>
      </c>
      <c r="E6200" s="845">
        <f t="shared" si="194"/>
        <v>17.5</v>
      </c>
    </row>
    <row r="6201" spans="2:5">
      <c r="B6201" s="1115">
        <v>45177</v>
      </c>
      <c r="C6201" s="242">
        <f t="shared" si="193"/>
        <v>9</v>
      </c>
      <c r="D6201" s="242">
        <v>63.1</v>
      </c>
      <c r="E6201" s="845">
        <f t="shared" si="194"/>
        <v>17.277777777777779</v>
      </c>
    </row>
    <row r="6202" spans="2:5">
      <c r="B6202" s="1115">
        <v>45177</v>
      </c>
      <c r="C6202" s="242">
        <f t="shared" si="193"/>
        <v>9</v>
      </c>
      <c r="D6202" s="242">
        <v>63.5</v>
      </c>
      <c r="E6202" s="845">
        <f t="shared" si="194"/>
        <v>17.5</v>
      </c>
    </row>
    <row r="6203" spans="2:5">
      <c r="B6203" s="1115">
        <v>45177</v>
      </c>
      <c r="C6203" s="242">
        <f t="shared" si="193"/>
        <v>9</v>
      </c>
      <c r="D6203" s="242">
        <v>64.400000000000006</v>
      </c>
      <c r="E6203" s="845">
        <f t="shared" si="194"/>
        <v>18.000000000000004</v>
      </c>
    </row>
    <row r="6204" spans="2:5">
      <c r="B6204" s="1115">
        <v>45177</v>
      </c>
      <c r="C6204" s="242">
        <f t="shared" si="193"/>
        <v>9</v>
      </c>
      <c r="D6204" s="242">
        <v>65.3</v>
      </c>
      <c r="E6204" s="845">
        <f t="shared" si="194"/>
        <v>18.499999999999996</v>
      </c>
    </row>
    <row r="6205" spans="2:5">
      <c r="B6205" s="1115">
        <v>45177</v>
      </c>
      <c r="C6205" s="242">
        <f t="shared" si="193"/>
        <v>9</v>
      </c>
      <c r="D6205" s="242">
        <v>66.7</v>
      </c>
      <c r="E6205" s="845">
        <f t="shared" si="194"/>
        <v>19.277777777777779</v>
      </c>
    </row>
    <row r="6206" spans="2:5">
      <c r="B6206" s="1115">
        <v>45177</v>
      </c>
      <c r="C6206" s="242">
        <f t="shared" si="193"/>
        <v>9</v>
      </c>
      <c r="D6206" s="242">
        <v>67.599999999999994</v>
      </c>
      <c r="E6206" s="845">
        <f t="shared" si="194"/>
        <v>19.777777777777775</v>
      </c>
    </row>
    <row r="6207" spans="2:5">
      <c r="B6207" s="1115">
        <v>45177</v>
      </c>
      <c r="C6207" s="242">
        <f t="shared" si="193"/>
        <v>9</v>
      </c>
      <c r="D6207" s="242">
        <v>68.5</v>
      </c>
      <c r="E6207" s="845">
        <f t="shared" si="194"/>
        <v>20.277777777777779</v>
      </c>
    </row>
    <row r="6208" spans="2:5">
      <c r="B6208" s="1115">
        <v>45177</v>
      </c>
      <c r="C6208" s="242">
        <f t="shared" si="193"/>
        <v>9</v>
      </c>
      <c r="D6208" s="242">
        <v>68.7</v>
      </c>
      <c r="E6208" s="845">
        <f t="shared" si="194"/>
        <v>20.388888888888889</v>
      </c>
    </row>
    <row r="6209" spans="2:5">
      <c r="B6209" s="1115">
        <v>45177</v>
      </c>
      <c r="C6209" s="242">
        <f t="shared" si="193"/>
        <v>9</v>
      </c>
      <c r="D6209" s="242">
        <v>68.400000000000006</v>
      </c>
      <c r="E6209" s="845">
        <f t="shared" si="194"/>
        <v>20.222222222222225</v>
      </c>
    </row>
    <row r="6210" spans="2:5">
      <c r="B6210" s="1115">
        <v>45177</v>
      </c>
      <c r="C6210" s="242">
        <f t="shared" si="193"/>
        <v>9</v>
      </c>
      <c r="D6210" s="242">
        <v>66.900000000000006</v>
      </c>
      <c r="E6210" s="845">
        <f t="shared" si="194"/>
        <v>19.388888888888893</v>
      </c>
    </row>
    <row r="6211" spans="2:5">
      <c r="B6211" s="1115">
        <v>45177</v>
      </c>
      <c r="C6211" s="242">
        <f t="shared" si="193"/>
        <v>9</v>
      </c>
      <c r="D6211" s="242">
        <v>65.5</v>
      </c>
      <c r="E6211" s="845">
        <f t="shared" si="194"/>
        <v>18.611111111111111</v>
      </c>
    </row>
    <row r="6212" spans="2:5">
      <c r="B6212" s="1115">
        <v>45177</v>
      </c>
      <c r="C6212" s="242">
        <f t="shared" si="193"/>
        <v>9</v>
      </c>
      <c r="D6212" s="242">
        <v>64.400000000000006</v>
      </c>
      <c r="E6212" s="845">
        <f t="shared" si="194"/>
        <v>18.000000000000004</v>
      </c>
    </row>
    <row r="6213" spans="2:5">
      <c r="B6213" s="1115">
        <v>45177</v>
      </c>
      <c r="C6213" s="242">
        <f t="shared" si="193"/>
        <v>9</v>
      </c>
      <c r="D6213" s="242">
        <v>63.5</v>
      </c>
      <c r="E6213" s="845">
        <f t="shared" si="194"/>
        <v>17.5</v>
      </c>
    </row>
    <row r="6214" spans="2:5">
      <c r="B6214" s="1115">
        <v>45177</v>
      </c>
      <c r="C6214" s="242">
        <f t="shared" si="193"/>
        <v>9</v>
      </c>
      <c r="D6214" s="242">
        <v>62.8</v>
      </c>
      <c r="E6214" s="845">
        <f t="shared" si="194"/>
        <v>17.111111111111111</v>
      </c>
    </row>
    <row r="6215" spans="2:5">
      <c r="B6215" s="1115">
        <v>45177</v>
      </c>
      <c r="C6215" s="242">
        <f t="shared" si="193"/>
        <v>9</v>
      </c>
      <c r="D6215" s="242">
        <v>63.1</v>
      </c>
      <c r="E6215" s="845">
        <f t="shared" si="194"/>
        <v>17.277777777777779</v>
      </c>
    </row>
    <row r="6216" spans="2:5">
      <c r="B6216" s="1115">
        <v>45177</v>
      </c>
      <c r="C6216" s="242">
        <f t="shared" si="193"/>
        <v>9</v>
      </c>
      <c r="D6216" s="242">
        <v>64.599999999999994</v>
      </c>
      <c r="E6216" s="845">
        <f t="shared" si="194"/>
        <v>18.111111111111107</v>
      </c>
    </row>
    <row r="6217" spans="2:5">
      <c r="B6217" s="1115">
        <v>45177</v>
      </c>
      <c r="C6217" s="242">
        <f t="shared" si="193"/>
        <v>9</v>
      </c>
      <c r="D6217" s="242" t="s">
        <v>1853</v>
      </c>
      <c r="E6217" s="845">
        <f t="shared" si="194"/>
        <v>18.888888888888889</v>
      </c>
    </row>
    <row r="6218" spans="2:5">
      <c r="B6218" s="1115">
        <v>45177</v>
      </c>
      <c r="C6218" s="242">
        <f t="shared" ref="C6218:C6281" si="195">MONTH(B6218)</f>
        <v>9</v>
      </c>
      <c r="D6218" s="242">
        <v>67.599999999999994</v>
      </c>
      <c r="E6218" s="845">
        <f t="shared" ref="E6218:E6281" si="196">CONVERT(D6218,"F","C")</f>
        <v>19.777777777777775</v>
      </c>
    </row>
    <row r="6219" spans="2:5">
      <c r="B6219" s="1115">
        <v>45177</v>
      </c>
      <c r="C6219" s="242">
        <f t="shared" si="195"/>
        <v>9</v>
      </c>
      <c r="D6219" s="242">
        <v>68.5</v>
      </c>
      <c r="E6219" s="845">
        <f t="shared" si="196"/>
        <v>20.277777777777779</v>
      </c>
    </row>
    <row r="6220" spans="2:5">
      <c r="B6220" s="1115">
        <v>45177</v>
      </c>
      <c r="C6220" s="242">
        <f t="shared" si="195"/>
        <v>9</v>
      </c>
      <c r="D6220" s="242">
        <v>68.900000000000006</v>
      </c>
      <c r="E6220" s="845">
        <f t="shared" si="196"/>
        <v>20.500000000000004</v>
      </c>
    </row>
    <row r="6221" spans="2:5">
      <c r="B6221" s="1115">
        <v>45177</v>
      </c>
      <c r="C6221" s="242">
        <f t="shared" si="195"/>
        <v>9</v>
      </c>
      <c r="D6221" s="242" t="s">
        <v>1854</v>
      </c>
      <c r="E6221" s="845">
        <f t="shared" si="196"/>
        <v>20</v>
      </c>
    </row>
    <row r="6222" spans="2:5">
      <c r="B6222" s="1115">
        <v>45177</v>
      </c>
      <c r="C6222" s="242">
        <f t="shared" si="195"/>
        <v>9</v>
      </c>
      <c r="D6222" s="242">
        <v>66.2</v>
      </c>
      <c r="E6222" s="845">
        <f t="shared" si="196"/>
        <v>19</v>
      </c>
    </row>
    <row r="6223" spans="2:5">
      <c r="B6223" s="1115">
        <v>45177</v>
      </c>
      <c r="C6223" s="242">
        <f t="shared" si="195"/>
        <v>9</v>
      </c>
      <c r="D6223" s="242">
        <v>65.5</v>
      </c>
      <c r="E6223" s="845">
        <f t="shared" si="196"/>
        <v>18.611111111111111</v>
      </c>
    </row>
    <row r="6224" spans="2:5">
      <c r="B6224" s="1115">
        <v>45177</v>
      </c>
      <c r="C6224" s="242">
        <f t="shared" si="195"/>
        <v>9</v>
      </c>
      <c r="D6224" s="242">
        <v>64.2</v>
      </c>
      <c r="E6224" s="845">
        <f t="shared" si="196"/>
        <v>17.888888888888889</v>
      </c>
    </row>
    <row r="6225" spans="2:5">
      <c r="B6225" s="1115">
        <v>45178</v>
      </c>
      <c r="C6225" s="242">
        <f t="shared" si="195"/>
        <v>9</v>
      </c>
      <c r="D6225" s="242">
        <v>63.5</v>
      </c>
      <c r="E6225" s="845">
        <f t="shared" si="196"/>
        <v>17.5</v>
      </c>
    </row>
    <row r="6226" spans="2:5">
      <c r="B6226" s="1115">
        <v>45178</v>
      </c>
      <c r="C6226" s="242">
        <f t="shared" si="195"/>
        <v>9</v>
      </c>
      <c r="D6226" s="242">
        <v>62.2</v>
      </c>
      <c r="E6226" s="845">
        <f t="shared" si="196"/>
        <v>16.777777777777779</v>
      </c>
    </row>
    <row r="6227" spans="2:5">
      <c r="B6227" s="1115">
        <v>45178</v>
      </c>
      <c r="C6227" s="242">
        <f t="shared" si="195"/>
        <v>9</v>
      </c>
      <c r="D6227" s="242" t="s">
        <v>1851</v>
      </c>
      <c r="E6227" s="845">
        <f t="shared" si="196"/>
        <v>17.222222222222221</v>
      </c>
    </row>
    <row r="6228" spans="2:5">
      <c r="B6228" s="1115">
        <v>45178</v>
      </c>
      <c r="C6228" s="242">
        <f t="shared" si="195"/>
        <v>9</v>
      </c>
      <c r="D6228" s="242">
        <v>64.2</v>
      </c>
      <c r="E6228" s="845">
        <f t="shared" si="196"/>
        <v>17.888888888888889</v>
      </c>
    </row>
    <row r="6229" spans="2:5">
      <c r="B6229" s="1115">
        <v>45178</v>
      </c>
      <c r="C6229" s="242">
        <f t="shared" si="195"/>
        <v>9</v>
      </c>
      <c r="D6229" s="242">
        <v>65.5</v>
      </c>
      <c r="E6229" s="845">
        <f t="shared" si="196"/>
        <v>18.611111111111111</v>
      </c>
    </row>
    <row r="6230" spans="2:5">
      <c r="B6230" s="1115">
        <v>45178</v>
      </c>
      <c r="C6230" s="242">
        <f t="shared" si="195"/>
        <v>9</v>
      </c>
      <c r="D6230" s="242">
        <v>67.099999999999994</v>
      </c>
      <c r="E6230" s="845">
        <f t="shared" si="196"/>
        <v>19.499999999999996</v>
      </c>
    </row>
    <row r="6231" spans="2:5">
      <c r="B6231" s="1115">
        <v>45178</v>
      </c>
      <c r="C6231" s="242">
        <f t="shared" si="195"/>
        <v>9</v>
      </c>
      <c r="D6231" s="242">
        <v>68.2</v>
      </c>
      <c r="E6231" s="845">
        <f t="shared" si="196"/>
        <v>20.111111111111111</v>
      </c>
    </row>
    <row r="6232" spans="2:5">
      <c r="B6232" s="1115">
        <v>45178</v>
      </c>
      <c r="C6232" s="242">
        <f t="shared" si="195"/>
        <v>9</v>
      </c>
      <c r="D6232" s="242">
        <v>68.900000000000006</v>
      </c>
      <c r="E6232" s="845">
        <f t="shared" si="196"/>
        <v>20.500000000000004</v>
      </c>
    </row>
    <row r="6233" spans="2:5">
      <c r="B6233" s="1115">
        <v>45178</v>
      </c>
      <c r="C6233" s="242">
        <f t="shared" si="195"/>
        <v>9</v>
      </c>
      <c r="D6233" s="242">
        <v>69.3</v>
      </c>
      <c r="E6233" s="845">
        <f t="shared" si="196"/>
        <v>20.722222222222221</v>
      </c>
    </row>
    <row r="6234" spans="2:5">
      <c r="B6234" s="1115">
        <v>45178</v>
      </c>
      <c r="C6234" s="242">
        <f t="shared" si="195"/>
        <v>9</v>
      </c>
      <c r="D6234" s="242">
        <v>68.7</v>
      </c>
      <c r="E6234" s="845">
        <f t="shared" si="196"/>
        <v>20.388888888888889</v>
      </c>
    </row>
    <row r="6235" spans="2:5">
      <c r="B6235" s="1115">
        <v>45178</v>
      </c>
      <c r="C6235" s="242">
        <f t="shared" si="195"/>
        <v>9</v>
      </c>
      <c r="D6235" s="242">
        <v>67.099999999999994</v>
      </c>
      <c r="E6235" s="845">
        <f t="shared" si="196"/>
        <v>19.499999999999996</v>
      </c>
    </row>
    <row r="6236" spans="2:5">
      <c r="B6236" s="1115">
        <v>45178</v>
      </c>
      <c r="C6236" s="242">
        <f t="shared" si="195"/>
        <v>9</v>
      </c>
      <c r="D6236" s="242">
        <v>65.8</v>
      </c>
      <c r="E6236" s="845">
        <f t="shared" si="196"/>
        <v>18.777777777777775</v>
      </c>
    </row>
    <row r="6237" spans="2:5">
      <c r="B6237" s="1115">
        <v>45178</v>
      </c>
      <c r="C6237" s="242">
        <f t="shared" si="195"/>
        <v>9</v>
      </c>
      <c r="D6237" s="242">
        <v>63.5</v>
      </c>
      <c r="E6237" s="845">
        <f t="shared" si="196"/>
        <v>17.5</v>
      </c>
    </row>
    <row r="6238" spans="2:5">
      <c r="B6238" s="1115">
        <v>45178</v>
      </c>
      <c r="C6238" s="242">
        <f t="shared" si="195"/>
        <v>9</v>
      </c>
      <c r="D6238" s="242">
        <v>62.1</v>
      </c>
      <c r="E6238" s="845">
        <f t="shared" si="196"/>
        <v>16.722222222222221</v>
      </c>
    </row>
    <row r="6239" spans="2:5">
      <c r="B6239" s="1115">
        <v>45178</v>
      </c>
      <c r="C6239" s="242">
        <f t="shared" si="195"/>
        <v>9</v>
      </c>
      <c r="D6239" s="242">
        <v>61.7</v>
      </c>
      <c r="E6239" s="845">
        <f t="shared" si="196"/>
        <v>16.5</v>
      </c>
    </row>
    <row r="6240" spans="2:5">
      <c r="B6240" s="1115">
        <v>45178</v>
      </c>
      <c r="C6240" s="242">
        <f t="shared" si="195"/>
        <v>9</v>
      </c>
      <c r="D6240" s="242">
        <v>62.2</v>
      </c>
      <c r="E6240" s="845">
        <f t="shared" si="196"/>
        <v>16.777777777777779</v>
      </c>
    </row>
    <row r="6241" spans="2:5">
      <c r="B6241" s="1115">
        <v>45178</v>
      </c>
      <c r="C6241" s="242">
        <f t="shared" si="195"/>
        <v>9</v>
      </c>
      <c r="D6241" s="242">
        <v>63.9</v>
      </c>
      <c r="E6241" s="845">
        <f t="shared" si="196"/>
        <v>17.722222222222221</v>
      </c>
    </row>
    <row r="6242" spans="2:5">
      <c r="B6242" s="1115">
        <v>45178</v>
      </c>
      <c r="C6242" s="242">
        <f t="shared" si="195"/>
        <v>9</v>
      </c>
      <c r="D6242" s="242">
        <v>65.7</v>
      </c>
      <c r="E6242" s="845">
        <f t="shared" si="196"/>
        <v>18.722222222222225</v>
      </c>
    </row>
    <row r="6243" spans="2:5">
      <c r="B6243" s="1115">
        <v>45178</v>
      </c>
      <c r="C6243" s="242">
        <f t="shared" si="195"/>
        <v>9</v>
      </c>
      <c r="D6243" s="242">
        <v>67.599999999999994</v>
      </c>
      <c r="E6243" s="845">
        <f t="shared" si="196"/>
        <v>19.777777777777775</v>
      </c>
    </row>
    <row r="6244" spans="2:5">
      <c r="B6244" s="1115">
        <v>45178</v>
      </c>
      <c r="C6244" s="242">
        <f t="shared" si="195"/>
        <v>9</v>
      </c>
      <c r="D6244" s="242">
        <v>69.099999999999994</v>
      </c>
      <c r="E6244" s="845">
        <f t="shared" si="196"/>
        <v>20.611111111111107</v>
      </c>
    </row>
    <row r="6245" spans="2:5">
      <c r="B6245" s="1115">
        <v>45178</v>
      </c>
      <c r="C6245" s="242">
        <f t="shared" si="195"/>
        <v>9</v>
      </c>
      <c r="D6245" s="242">
        <v>69.400000000000006</v>
      </c>
      <c r="E6245" s="845">
        <f t="shared" si="196"/>
        <v>20.777777777777782</v>
      </c>
    </row>
    <row r="6246" spans="2:5">
      <c r="B6246" s="1115">
        <v>45178</v>
      </c>
      <c r="C6246" s="242">
        <f t="shared" si="195"/>
        <v>9</v>
      </c>
      <c r="D6246" s="242">
        <v>68.2</v>
      </c>
      <c r="E6246" s="845">
        <f t="shared" si="196"/>
        <v>20.111111111111111</v>
      </c>
    </row>
    <row r="6247" spans="2:5">
      <c r="B6247" s="1115">
        <v>45178</v>
      </c>
      <c r="C6247" s="242">
        <f t="shared" si="195"/>
        <v>9</v>
      </c>
      <c r="D6247" s="242">
        <v>65.7</v>
      </c>
      <c r="E6247" s="845">
        <f t="shared" si="196"/>
        <v>18.722222222222225</v>
      </c>
    </row>
    <row r="6248" spans="2:5">
      <c r="B6248" s="1115">
        <v>45178</v>
      </c>
      <c r="C6248" s="242">
        <f t="shared" si="195"/>
        <v>9</v>
      </c>
      <c r="D6248" s="242">
        <v>64.599999999999994</v>
      </c>
      <c r="E6248" s="845">
        <f t="shared" si="196"/>
        <v>18.111111111111107</v>
      </c>
    </row>
    <row r="6249" spans="2:5">
      <c r="B6249" s="1115">
        <v>45179</v>
      </c>
      <c r="C6249" s="242">
        <f t="shared" si="195"/>
        <v>9</v>
      </c>
      <c r="D6249" s="242">
        <v>62.4</v>
      </c>
      <c r="E6249" s="845">
        <f t="shared" si="196"/>
        <v>16.888888888888889</v>
      </c>
    </row>
    <row r="6250" spans="2:5">
      <c r="B6250" s="1115">
        <v>45179</v>
      </c>
      <c r="C6250" s="242">
        <f t="shared" si="195"/>
        <v>9</v>
      </c>
      <c r="D6250" s="242">
        <v>61.7</v>
      </c>
      <c r="E6250" s="845">
        <f t="shared" si="196"/>
        <v>16.5</v>
      </c>
    </row>
    <row r="6251" spans="2:5">
      <c r="B6251" s="1115">
        <v>45179</v>
      </c>
      <c r="C6251" s="242">
        <f t="shared" si="195"/>
        <v>9</v>
      </c>
      <c r="D6251" s="242">
        <v>60.6</v>
      </c>
      <c r="E6251" s="845">
        <f t="shared" si="196"/>
        <v>15.888888888888889</v>
      </c>
    </row>
    <row r="6252" spans="2:5">
      <c r="B6252" s="1115">
        <v>45179</v>
      </c>
      <c r="C6252" s="242">
        <f t="shared" si="195"/>
        <v>9</v>
      </c>
      <c r="D6252" s="242">
        <v>61.3</v>
      </c>
      <c r="E6252" s="845">
        <f t="shared" si="196"/>
        <v>16.277777777777775</v>
      </c>
    </row>
    <row r="6253" spans="2:5">
      <c r="B6253" s="1115">
        <v>45179</v>
      </c>
      <c r="C6253" s="242">
        <f t="shared" si="195"/>
        <v>9</v>
      </c>
      <c r="D6253" s="242">
        <v>62.2</v>
      </c>
      <c r="E6253" s="845">
        <f t="shared" si="196"/>
        <v>16.777777777777779</v>
      </c>
    </row>
    <row r="6254" spans="2:5">
      <c r="B6254" s="1115">
        <v>45179</v>
      </c>
      <c r="C6254" s="242">
        <f t="shared" si="195"/>
        <v>9</v>
      </c>
      <c r="D6254" s="242" t="s">
        <v>1852</v>
      </c>
      <c r="E6254" s="845">
        <f t="shared" si="196"/>
        <v>17.777777777777779</v>
      </c>
    </row>
    <row r="6255" spans="2:5">
      <c r="B6255" s="1115">
        <v>45179</v>
      </c>
      <c r="C6255" s="242">
        <f t="shared" si="195"/>
        <v>9</v>
      </c>
      <c r="D6255" s="242">
        <v>66.2</v>
      </c>
      <c r="E6255" s="845">
        <f t="shared" si="196"/>
        <v>19</v>
      </c>
    </row>
    <row r="6256" spans="2:5">
      <c r="B6256" s="1115">
        <v>45179</v>
      </c>
      <c r="C6256" s="242">
        <f t="shared" si="195"/>
        <v>9</v>
      </c>
      <c r="D6256" s="242">
        <v>67.8</v>
      </c>
      <c r="E6256" s="845">
        <f t="shared" si="196"/>
        <v>19.888888888888886</v>
      </c>
    </row>
    <row r="6257" spans="2:5">
      <c r="B6257" s="1115">
        <v>45179</v>
      </c>
      <c r="C6257" s="242">
        <f t="shared" si="195"/>
        <v>9</v>
      </c>
      <c r="D6257" s="242">
        <v>68.900000000000006</v>
      </c>
      <c r="E6257" s="845">
        <f t="shared" si="196"/>
        <v>20.500000000000004</v>
      </c>
    </row>
    <row r="6258" spans="2:5">
      <c r="B6258" s="1115">
        <v>45179</v>
      </c>
      <c r="C6258" s="242">
        <f t="shared" si="195"/>
        <v>9</v>
      </c>
      <c r="D6258" s="242">
        <v>69.400000000000006</v>
      </c>
      <c r="E6258" s="845">
        <f t="shared" si="196"/>
        <v>20.777777777777782</v>
      </c>
    </row>
    <row r="6259" spans="2:5">
      <c r="B6259" s="1115">
        <v>45179</v>
      </c>
      <c r="C6259" s="242">
        <f t="shared" si="195"/>
        <v>9</v>
      </c>
      <c r="D6259" s="242">
        <v>68.5</v>
      </c>
      <c r="E6259" s="845">
        <f t="shared" si="196"/>
        <v>20.277777777777779</v>
      </c>
    </row>
    <row r="6260" spans="2:5">
      <c r="B6260" s="1115">
        <v>45179</v>
      </c>
      <c r="C6260" s="242">
        <f t="shared" si="195"/>
        <v>9</v>
      </c>
      <c r="D6260" s="242" t="s">
        <v>1853</v>
      </c>
      <c r="E6260" s="845">
        <f t="shared" si="196"/>
        <v>18.888888888888889</v>
      </c>
    </row>
    <row r="6261" spans="2:5">
      <c r="B6261" s="1115">
        <v>45179</v>
      </c>
      <c r="C6261" s="242">
        <f t="shared" si="195"/>
        <v>9</v>
      </c>
      <c r="D6261" s="242">
        <v>64.900000000000006</v>
      </c>
      <c r="E6261" s="845">
        <f t="shared" si="196"/>
        <v>18.277777777777782</v>
      </c>
    </row>
    <row r="6262" spans="2:5">
      <c r="B6262" s="1115">
        <v>45179</v>
      </c>
      <c r="C6262" s="242">
        <f t="shared" si="195"/>
        <v>9</v>
      </c>
      <c r="D6262" s="242" t="s">
        <v>1851</v>
      </c>
      <c r="E6262" s="845">
        <f t="shared" si="196"/>
        <v>17.222222222222221</v>
      </c>
    </row>
    <row r="6263" spans="2:5">
      <c r="B6263" s="1115">
        <v>45179</v>
      </c>
      <c r="C6263" s="242">
        <f t="shared" si="195"/>
        <v>9</v>
      </c>
      <c r="D6263" s="242" t="s">
        <v>1850</v>
      </c>
      <c r="E6263" s="845">
        <f t="shared" si="196"/>
        <v>16.111111111111111</v>
      </c>
    </row>
    <row r="6264" spans="2:5">
      <c r="B6264" s="1115">
        <v>45179</v>
      </c>
      <c r="C6264" s="242">
        <f t="shared" si="195"/>
        <v>9</v>
      </c>
      <c r="D6264" s="242">
        <v>60.1</v>
      </c>
      <c r="E6264" s="845">
        <f t="shared" si="196"/>
        <v>15.611111111111111</v>
      </c>
    </row>
    <row r="6265" spans="2:5">
      <c r="B6265" s="1115">
        <v>45179</v>
      </c>
      <c r="C6265" s="242">
        <f t="shared" si="195"/>
        <v>9</v>
      </c>
      <c r="D6265" s="242">
        <v>61.2</v>
      </c>
      <c r="E6265" s="845">
        <f t="shared" si="196"/>
        <v>16.222222222222225</v>
      </c>
    </row>
    <row r="6266" spans="2:5">
      <c r="B6266" s="1115">
        <v>45179</v>
      </c>
      <c r="C6266" s="242">
        <f t="shared" si="195"/>
        <v>9</v>
      </c>
      <c r="D6266" s="242">
        <v>62.8</v>
      </c>
      <c r="E6266" s="845">
        <f t="shared" si="196"/>
        <v>17.111111111111111</v>
      </c>
    </row>
    <row r="6267" spans="2:5">
      <c r="B6267" s="1115">
        <v>45179</v>
      </c>
      <c r="C6267" s="242">
        <f t="shared" si="195"/>
        <v>9</v>
      </c>
      <c r="D6267" s="242">
        <v>64.400000000000006</v>
      </c>
      <c r="E6267" s="845">
        <f t="shared" si="196"/>
        <v>18.000000000000004</v>
      </c>
    </row>
    <row r="6268" spans="2:5">
      <c r="B6268" s="1115">
        <v>45179</v>
      </c>
      <c r="C6268" s="242">
        <f t="shared" si="195"/>
        <v>9</v>
      </c>
      <c r="D6268" s="242">
        <v>66.7</v>
      </c>
      <c r="E6268" s="845">
        <f t="shared" si="196"/>
        <v>19.277777777777779</v>
      </c>
    </row>
    <row r="6269" spans="2:5">
      <c r="B6269" s="1115">
        <v>45179</v>
      </c>
      <c r="C6269" s="242">
        <f t="shared" si="195"/>
        <v>9</v>
      </c>
      <c r="D6269" s="242">
        <v>68.2</v>
      </c>
      <c r="E6269" s="845">
        <f t="shared" si="196"/>
        <v>20.111111111111111</v>
      </c>
    </row>
    <row r="6270" spans="2:5">
      <c r="B6270" s="1115">
        <v>45179</v>
      </c>
      <c r="C6270" s="242">
        <f t="shared" si="195"/>
        <v>9</v>
      </c>
      <c r="D6270" s="242">
        <v>68.7</v>
      </c>
      <c r="E6270" s="845">
        <f t="shared" si="196"/>
        <v>20.388888888888889</v>
      </c>
    </row>
    <row r="6271" spans="2:5">
      <c r="B6271" s="1115">
        <v>45179</v>
      </c>
      <c r="C6271" s="242">
        <f t="shared" si="195"/>
        <v>9</v>
      </c>
      <c r="D6271" s="242">
        <v>67.099999999999994</v>
      </c>
      <c r="E6271" s="845">
        <f t="shared" si="196"/>
        <v>19.499999999999996</v>
      </c>
    </row>
    <row r="6272" spans="2:5">
      <c r="B6272" s="1115">
        <v>45179</v>
      </c>
      <c r="C6272" s="242">
        <f t="shared" si="195"/>
        <v>9</v>
      </c>
      <c r="D6272" s="242">
        <v>64.900000000000006</v>
      </c>
      <c r="E6272" s="845">
        <f t="shared" si="196"/>
        <v>18.277777777777782</v>
      </c>
    </row>
    <row r="6273" spans="2:5">
      <c r="B6273" s="1115">
        <v>45180</v>
      </c>
      <c r="C6273" s="242">
        <f t="shared" si="195"/>
        <v>9</v>
      </c>
      <c r="D6273" s="242">
        <v>63.3</v>
      </c>
      <c r="E6273" s="845">
        <f t="shared" si="196"/>
        <v>17.388888888888886</v>
      </c>
    </row>
    <row r="6274" spans="2:5">
      <c r="B6274" s="1115">
        <v>45180</v>
      </c>
      <c r="C6274" s="242">
        <f t="shared" si="195"/>
        <v>9</v>
      </c>
      <c r="D6274" s="242">
        <v>63.1</v>
      </c>
      <c r="E6274" s="845">
        <f t="shared" si="196"/>
        <v>17.277777777777779</v>
      </c>
    </row>
    <row r="6275" spans="2:5">
      <c r="B6275" s="1115">
        <v>45180</v>
      </c>
      <c r="C6275" s="242">
        <f t="shared" si="195"/>
        <v>9</v>
      </c>
      <c r="D6275" s="242">
        <v>63.9</v>
      </c>
      <c r="E6275" s="845">
        <f t="shared" si="196"/>
        <v>17.722222222222221</v>
      </c>
    </row>
    <row r="6276" spans="2:5">
      <c r="B6276" s="1115">
        <v>45180</v>
      </c>
      <c r="C6276" s="242">
        <f t="shared" si="195"/>
        <v>9</v>
      </c>
      <c r="D6276" s="242" t="s">
        <v>1852</v>
      </c>
      <c r="E6276" s="845">
        <f t="shared" si="196"/>
        <v>17.777777777777779</v>
      </c>
    </row>
    <row r="6277" spans="2:5">
      <c r="B6277" s="1115">
        <v>45180</v>
      </c>
      <c r="C6277" s="242">
        <f t="shared" si="195"/>
        <v>9</v>
      </c>
      <c r="D6277" s="242" t="s">
        <v>1852</v>
      </c>
      <c r="E6277" s="845">
        <f t="shared" si="196"/>
        <v>17.777777777777779</v>
      </c>
    </row>
    <row r="6278" spans="2:5">
      <c r="B6278" s="1115">
        <v>45180</v>
      </c>
      <c r="C6278" s="242">
        <f t="shared" si="195"/>
        <v>9</v>
      </c>
      <c r="D6278" s="242" t="s">
        <v>1852</v>
      </c>
      <c r="E6278" s="845">
        <f t="shared" si="196"/>
        <v>17.777777777777779</v>
      </c>
    </row>
    <row r="6279" spans="2:5">
      <c r="B6279" s="1115">
        <v>45180</v>
      </c>
      <c r="C6279" s="242">
        <f t="shared" si="195"/>
        <v>9</v>
      </c>
      <c r="D6279" s="242">
        <v>64.400000000000006</v>
      </c>
      <c r="E6279" s="845">
        <f t="shared" si="196"/>
        <v>18.000000000000004</v>
      </c>
    </row>
    <row r="6280" spans="2:5">
      <c r="B6280" s="1115">
        <v>45180</v>
      </c>
      <c r="C6280" s="242">
        <f t="shared" si="195"/>
        <v>9</v>
      </c>
      <c r="D6280" s="242">
        <v>65.8</v>
      </c>
      <c r="E6280" s="845">
        <f t="shared" si="196"/>
        <v>18.777777777777775</v>
      </c>
    </row>
    <row r="6281" spans="2:5">
      <c r="B6281" s="1115">
        <v>45180</v>
      </c>
      <c r="C6281" s="242">
        <f t="shared" si="195"/>
        <v>9</v>
      </c>
      <c r="D6281" s="242">
        <v>67.099999999999994</v>
      </c>
      <c r="E6281" s="845">
        <f t="shared" si="196"/>
        <v>19.499999999999996</v>
      </c>
    </row>
    <row r="6282" spans="2:5">
      <c r="B6282" s="1115">
        <v>45180</v>
      </c>
      <c r="C6282" s="242">
        <f t="shared" ref="C6282:C6345" si="197">MONTH(B6282)</f>
        <v>9</v>
      </c>
      <c r="D6282" s="242">
        <v>68.2</v>
      </c>
      <c r="E6282" s="845">
        <f t="shared" ref="E6282:E6345" si="198">CONVERT(D6282,"F","C")</f>
        <v>20.111111111111111</v>
      </c>
    </row>
    <row r="6283" spans="2:5">
      <c r="B6283" s="1115">
        <v>45180</v>
      </c>
      <c r="C6283" s="242">
        <f t="shared" si="197"/>
        <v>9</v>
      </c>
      <c r="D6283" s="242">
        <v>68.5</v>
      </c>
      <c r="E6283" s="845">
        <f t="shared" si="198"/>
        <v>20.277777777777779</v>
      </c>
    </row>
    <row r="6284" spans="2:5">
      <c r="B6284" s="1115">
        <v>45180</v>
      </c>
      <c r="C6284" s="242">
        <f t="shared" si="197"/>
        <v>9</v>
      </c>
      <c r="D6284" s="242">
        <v>67.8</v>
      </c>
      <c r="E6284" s="845">
        <f t="shared" si="198"/>
        <v>19.888888888888886</v>
      </c>
    </row>
    <row r="6285" spans="2:5">
      <c r="B6285" s="1115">
        <v>45180</v>
      </c>
      <c r="C6285" s="242">
        <f t="shared" si="197"/>
        <v>9</v>
      </c>
      <c r="D6285" s="242" t="s">
        <v>1853</v>
      </c>
      <c r="E6285" s="845">
        <f t="shared" si="198"/>
        <v>18.888888888888889</v>
      </c>
    </row>
    <row r="6286" spans="2:5">
      <c r="B6286" s="1115">
        <v>45180</v>
      </c>
      <c r="C6286" s="242">
        <f t="shared" si="197"/>
        <v>9</v>
      </c>
      <c r="D6286" s="242">
        <v>65.3</v>
      </c>
      <c r="E6286" s="845">
        <f t="shared" si="198"/>
        <v>18.499999999999996</v>
      </c>
    </row>
    <row r="6287" spans="2:5">
      <c r="B6287" s="1115">
        <v>45180</v>
      </c>
      <c r="C6287" s="242">
        <f t="shared" si="197"/>
        <v>9</v>
      </c>
      <c r="D6287" s="242">
        <v>64.599999999999994</v>
      </c>
      <c r="E6287" s="845">
        <f t="shared" si="198"/>
        <v>18.111111111111107</v>
      </c>
    </row>
    <row r="6288" spans="2:5">
      <c r="B6288" s="1115">
        <v>45180</v>
      </c>
      <c r="C6288" s="242">
        <f t="shared" si="197"/>
        <v>9</v>
      </c>
      <c r="D6288" s="242" t="s">
        <v>1852</v>
      </c>
      <c r="E6288" s="845">
        <f t="shared" si="198"/>
        <v>17.777777777777779</v>
      </c>
    </row>
    <row r="6289" spans="2:5">
      <c r="B6289" s="1115">
        <v>45180</v>
      </c>
      <c r="C6289" s="242">
        <f t="shared" si="197"/>
        <v>9</v>
      </c>
      <c r="D6289" s="242">
        <v>63.9</v>
      </c>
      <c r="E6289" s="845">
        <f t="shared" si="198"/>
        <v>17.722222222222221</v>
      </c>
    </row>
    <row r="6290" spans="2:5">
      <c r="B6290" s="1115">
        <v>45180</v>
      </c>
      <c r="C6290" s="242">
        <f t="shared" si="197"/>
        <v>9</v>
      </c>
      <c r="D6290" s="242" t="s">
        <v>1852</v>
      </c>
      <c r="E6290" s="845">
        <f t="shared" si="198"/>
        <v>17.777777777777779</v>
      </c>
    </row>
    <row r="6291" spans="2:5">
      <c r="B6291" s="1115">
        <v>45180</v>
      </c>
      <c r="C6291" s="242">
        <f t="shared" si="197"/>
        <v>9</v>
      </c>
      <c r="D6291" s="242">
        <v>64.900000000000006</v>
      </c>
      <c r="E6291" s="845">
        <f t="shared" si="198"/>
        <v>18.277777777777782</v>
      </c>
    </row>
    <row r="6292" spans="2:5">
      <c r="B6292" s="1115">
        <v>45180</v>
      </c>
      <c r="C6292" s="242">
        <f t="shared" si="197"/>
        <v>9</v>
      </c>
      <c r="D6292" s="242">
        <v>65.8</v>
      </c>
      <c r="E6292" s="845">
        <f t="shared" si="198"/>
        <v>18.777777777777775</v>
      </c>
    </row>
    <row r="6293" spans="2:5">
      <c r="B6293" s="1115">
        <v>45180</v>
      </c>
      <c r="C6293" s="242">
        <f t="shared" si="197"/>
        <v>9</v>
      </c>
      <c r="D6293" s="242">
        <v>67.3</v>
      </c>
      <c r="E6293" s="845">
        <f t="shared" si="198"/>
        <v>19.611111111111111</v>
      </c>
    </row>
    <row r="6294" spans="2:5">
      <c r="B6294" s="1115">
        <v>45180</v>
      </c>
      <c r="C6294" s="242">
        <f t="shared" si="197"/>
        <v>9</v>
      </c>
      <c r="D6294" s="242">
        <v>68.2</v>
      </c>
      <c r="E6294" s="845">
        <f t="shared" si="198"/>
        <v>20.111111111111111</v>
      </c>
    </row>
    <row r="6295" spans="2:5">
      <c r="B6295" s="1115">
        <v>45180</v>
      </c>
      <c r="C6295" s="242">
        <f t="shared" si="197"/>
        <v>9</v>
      </c>
      <c r="D6295" s="242">
        <v>68.5</v>
      </c>
      <c r="E6295" s="845">
        <f t="shared" si="198"/>
        <v>20.277777777777779</v>
      </c>
    </row>
    <row r="6296" spans="2:5">
      <c r="B6296" s="1115">
        <v>45180</v>
      </c>
      <c r="C6296" s="242">
        <f t="shared" si="197"/>
        <v>9</v>
      </c>
      <c r="D6296" s="242">
        <v>67.8</v>
      </c>
      <c r="E6296" s="845">
        <f t="shared" si="198"/>
        <v>19.888888888888886</v>
      </c>
    </row>
    <row r="6297" spans="2:5">
      <c r="B6297" s="1115">
        <v>45181</v>
      </c>
      <c r="C6297" s="242">
        <f t="shared" si="197"/>
        <v>9</v>
      </c>
      <c r="D6297" s="242" t="s">
        <v>1853</v>
      </c>
      <c r="E6297" s="845">
        <f t="shared" si="198"/>
        <v>18.888888888888889</v>
      </c>
    </row>
    <row r="6298" spans="2:5">
      <c r="B6298" s="1115">
        <v>45181</v>
      </c>
      <c r="C6298" s="242">
        <f t="shared" si="197"/>
        <v>9</v>
      </c>
      <c r="D6298" s="242">
        <v>65.3</v>
      </c>
      <c r="E6298" s="845">
        <f t="shared" si="198"/>
        <v>18.499999999999996</v>
      </c>
    </row>
    <row r="6299" spans="2:5">
      <c r="B6299" s="1115">
        <v>45181</v>
      </c>
      <c r="C6299" s="242">
        <f t="shared" si="197"/>
        <v>9</v>
      </c>
      <c r="D6299" s="242">
        <v>64.599999999999994</v>
      </c>
      <c r="E6299" s="845">
        <f t="shared" si="198"/>
        <v>18.111111111111107</v>
      </c>
    </row>
    <row r="6300" spans="2:5">
      <c r="B6300" s="1115">
        <v>45181</v>
      </c>
      <c r="C6300" s="242">
        <f t="shared" si="197"/>
        <v>9</v>
      </c>
      <c r="D6300" s="242" t="s">
        <v>1852</v>
      </c>
      <c r="E6300" s="845">
        <f t="shared" si="198"/>
        <v>17.777777777777779</v>
      </c>
    </row>
    <row r="6301" spans="2:5">
      <c r="B6301" s="1115">
        <v>45181</v>
      </c>
      <c r="C6301" s="242">
        <f t="shared" si="197"/>
        <v>9</v>
      </c>
      <c r="D6301" s="242" t="s">
        <v>1852</v>
      </c>
      <c r="E6301" s="845">
        <f t="shared" si="198"/>
        <v>17.777777777777779</v>
      </c>
    </row>
    <row r="6302" spans="2:5">
      <c r="B6302" s="1115">
        <v>45181</v>
      </c>
      <c r="C6302" s="242">
        <f t="shared" si="197"/>
        <v>9</v>
      </c>
      <c r="D6302" s="242" t="s">
        <v>1852</v>
      </c>
      <c r="E6302" s="845">
        <f t="shared" si="198"/>
        <v>17.777777777777779</v>
      </c>
    </row>
    <row r="6303" spans="2:5">
      <c r="B6303" s="1115">
        <v>45181</v>
      </c>
      <c r="C6303" s="242">
        <f t="shared" si="197"/>
        <v>9</v>
      </c>
      <c r="D6303" s="242">
        <v>64.8</v>
      </c>
      <c r="E6303" s="845">
        <f t="shared" si="198"/>
        <v>18.222222222222221</v>
      </c>
    </row>
    <row r="6304" spans="2:5">
      <c r="B6304" s="1115">
        <v>45181</v>
      </c>
      <c r="C6304" s="242">
        <f t="shared" si="197"/>
        <v>9</v>
      </c>
      <c r="D6304" s="242">
        <v>65.8</v>
      </c>
      <c r="E6304" s="845">
        <f t="shared" si="198"/>
        <v>18.777777777777775</v>
      </c>
    </row>
    <row r="6305" spans="2:5">
      <c r="B6305" s="1115">
        <v>45181</v>
      </c>
      <c r="C6305" s="242">
        <f t="shared" si="197"/>
        <v>9</v>
      </c>
      <c r="D6305" s="242">
        <v>67.099999999999994</v>
      </c>
      <c r="E6305" s="845">
        <f t="shared" si="198"/>
        <v>19.499999999999996</v>
      </c>
    </row>
    <row r="6306" spans="2:5">
      <c r="B6306" s="1115">
        <v>45181</v>
      </c>
      <c r="C6306" s="242">
        <f t="shared" si="197"/>
        <v>9</v>
      </c>
      <c r="D6306" s="242" t="s">
        <v>1854</v>
      </c>
      <c r="E6306" s="845">
        <f t="shared" si="198"/>
        <v>20</v>
      </c>
    </row>
    <row r="6307" spans="2:5">
      <c r="B6307" s="1115">
        <v>45181</v>
      </c>
      <c r="C6307" s="242">
        <f t="shared" si="197"/>
        <v>9</v>
      </c>
      <c r="D6307" s="242">
        <v>68.5</v>
      </c>
      <c r="E6307" s="845">
        <f t="shared" si="198"/>
        <v>20.277777777777779</v>
      </c>
    </row>
    <row r="6308" spans="2:5">
      <c r="B6308" s="1115">
        <v>45181</v>
      </c>
      <c r="C6308" s="242">
        <f t="shared" si="197"/>
        <v>9</v>
      </c>
      <c r="D6308" s="242">
        <v>68.900000000000006</v>
      </c>
      <c r="E6308" s="845">
        <f t="shared" si="198"/>
        <v>20.500000000000004</v>
      </c>
    </row>
    <row r="6309" spans="2:5">
      <c r="B6309" s="1115">
        <v>45181</v>
      </c>
      <c r="C6309" s="242">
        <f t="shared" si="197"/>
        <v>9</v>
      </c>
      <c r="D6309" s="242">
        <v>68.400000000000006</v>
      </c>
      <c r="E6309" s="845">
        <f t="shared" si="198"/>
        <v>20.222222222222225</v>
      </c>
    </row>
    <row r="6310" spans="2:5">
      <c r="B6310" s="1115">
        <v>45181</v>
      </c>
      <c r="C6310" s="242">
        <f t="shared" si="197"/>
        <v>9</v>
      </c>
      <c r="D6310" s="242">
        <v>66.599999999999994</v>
      </c>
      <c r="E6310" s="845">
        <f t="shared" si="198"/>
        <v>19.222222222222218</v>
      </c>
    </row>
    <row r="6311" spans="2:5">
      <c r="B6311" s="1115">
        <v>45181</v>
      </c>
      <c r="C6311" s="242">
        <f t="shared" si="197"/>
        <v>9</v>
      </c>
      <c r="D6311" s="242" t="s">
        <v>1853</v>
      </c>
      <c r="E6311" s="845">
        <f t="shared" si="198"/>
        <v>18.888888888888889</v>
      </c>
    </row>
    <row r="6312" spans="2:5">
      <c r="B6312" s="1115">
        <v>45181</v>
      </c>
      <c r="C6312" s="242">
        <f t="shared" si="197"/>
        <v>9</v>
      </c>
      <c r="D6312" s="242">
        <v>65.8</v>
      </c>
      <c r="E6312" s="845">
        <f t="shared" si="198"/>
        <v>18.777777777777775</v>
      </c>
    </row>
    <row r="6313" spans="2:5">
      <c r="B6313" s="1115">
        <v>45181</v>
      </c>
      <c r="C6313" s="242">
        <f t="shared" si="197"/>
        <v>9</v>
      </c>
      <c r="D6313" s="242">
        <v>65.5</v>
      </c>
      <c r="E6313" s="845">
        <f t="shared" si="198"/>
        <v>18.611111111111111</v>
      </c>
    </row>
    <row r="6314" spans="2:5">
      <c r="B6314" s="1115">
        <v>45181</v>
      </c>
      <c r="C6314" s="242">
        <f t="shared" si="197"/>
        <v>9</v>
      </c>
      <c r="D6314" s="242">
        <v>65.3</v>
      </c>
      <c r="E6314" s="845">
        <f t="shared" si="198"/>
        <v>18.499999999999996</v>
      </c>
    </row>
    <row r="6315" spans="2:5">
      <c r="B6315" s="1115">
        <v>45181</v>
      </c>
      <c r="C6315" s="242">
        <f t="shared" si="197"/>
        <v>9</v>
      </c>
      <c r="D6315" s="242">
        <v>65.7</v>
      </c>
      <c r="E6315" s="845">
        <f t="shared" si="198"/>
        <v>18.722222222222225</v>
      </c>
    </row>
    <row r="6316" spans="2:5">
      <c r="B6316" s="1115">
        <v>45181</v>
      </c>
      <c r="C6316" s="242">
        <f t="shared" si="197"/>
        <v>9</v>
      </c>
      <c r="D6316" s="242">
        <v>66.400000000000006</v>
      </c>
      <c r="E6316" s="845">
        <f t="shared" si="198"/>
        <v>19.111111111111114</v>
      </c>
    </row>
    <row r="6317" spans="2:5">
      <c r="B6317" s="1115">
        <v>45181</v>
      </c>
      <c r="C6317" s="242">
        <f t="shared" si="197"/>
        <v>9</v>
      </c>
      <c r="D6317" s="242">
        <v>67.3</v>
      </c>
      <c r="E6317" s="845">
        <f t="shared" si="198"/>
        <v>19.611111111111111</v>
      </c>
    </row>
    <row r="6318" spans="2:5">
      <c r="B6318" s="1115">
        <v>45181</v>
      </c>
      <c r="C6318" s="242">
        <f t="shared" si="197"/>
        <v>9</v>
      </c>
      <c r="D6318" s="242">
        <v>68.5</v>
      </c>
      <c r="E6318" s="845">
        <f t="shared" si="198"/>
        <v>20.277777777777779</v>
      </c>
    </row>
    <row r="6319" spans="2:5">
      <c r="B6319" s="1115">
        <v>45181</v>
      </c>
      <c r="C6319" s="242">
        <f t="shared" si="197"/>
        <v>9</v>
      </c>
      <c r="D6319" s="242">
        <v>69.099999999999994</v>
      </c>
      <c r="E6319" s="845">
        <f t="shared" si="198"/>
        <v>20.611111111111107</v>
      </c>
    </row>
    <row r="6320" spans="2:5">
      <c r="B6320" s="1115">
        <v>45181</v>
      </c>
      <c r="C6320" s="242">
        <f t="shared" si="197"/>
        <v>9</v>
      </c>
      <c r="D6320" s="242">
        <v>69.3</v>
      </c>
      <c r="E6320" s="845">
        <f t="shared" si="198"/>
        <v>20.722222222222221</v>
      </c>
    </row>
    <row r="6321" spans="2:5">
      <c r="B6321" s="1115">
        <v>45182</v>
      </c>
      <c r="C6321" s="242">
        <f t="shared" si="197"/>
        <v>9</v>
      </c>
      <c r="D6321" s="242">
        <v>68.7</v>
      </c>
      <c r="E6321" s="845">
        <f t="shared" si="198"/>
        <v>20.388888888888889</v>
      </c>
    </row>
    <row r="6322" spans="2:5">
      <c r="B6322" s="1115">
        <v>45182</v>
      </c>
      <c r="C6322" s="242">
        <f t="shared" si="197"/>
        <v>9</v>
      </c>
      <c r="D6322" s="242">
        <v>67.3</v>
      </c>
      <c r="E6322" s="845">
        <f t="shared" si="198"/>
        <v>19.611111111111111</v>
      </c>
    </row>
    <row r="6323" spans="2:5">
      <c r="B6323" s="1115">
        <v>45182</v>
      </c>
      <c r="C6323" s="242">
        <f t="shared" si="197"/>
        <v>9</v>
      </c>
      <c r="D6323" s="242">
        <v>67.099999999999994</v>
      </c>
      <c r="E6323" s="845">
        <f t="shared" si="198"/>
        <v>19.499999999999996</v>
      </c>
    </row>
    <row r="6324" spans="2:5">
      <c r="B6324" s="1115">
        <v>45182</v>
      </c>
      <c r="C6324" s="242">
        <f t="shared" si="197"/>
        <v>9</v>
      </c>
      <c r="D6324" s="242">
        <v>67.3</v>
      </c>
      <c r="E6324" s="845">
        <f t="shared" si="198"/>
        <v>19.611111111111111</v>
      </c>
    </row>
    <row r="6325" spans="2:5">
      <c r="B6325" s="1115">
        <v>45182</v>
      </c>
      <c r="C6325" s="242">
        <f t="shared" si="197"/>
        <v>9</v>
      </c>
      <c r="D6325" s="242">
        <v>66.900000000000006</v>
      </c>
      <c r="E6325" s="845">
        <f t="shared" si="198"/>
        <v>19.388888888888893</v>
      </c>
    </row>
    <row r="6326" spans="2:5">
      <c r="B6326" s="1115">
        <v>45182</v>
      </c>
      <c r="C6326" s="242">
        <f t="shared" si="197"/>
        <v>9</v>
      </c>
      <c r="D6326" s="242">
        <v>66.7</v>
      </c>
      <c r="E6326" s="845">
        <f t="shared" si="198"/>
        <v>19.277777777777779</v>
      </c>
    </row>
    <row r="6327" spans="2:5">
      <c r="B6327" s="1115">
        <v>45182</v>
      </c>
      <c r="C6327" s="242">
        <f t="shared" si="197"/>
        <v>9</v>
      </c>
      <c r="D6327" s="242">
        <v>66.900000000000006</v>
      </c>
      <c r="E6327" s="845">
        <f t="shared" si="198"/>
        <v>19.388888888888893</v>
      </c>
    </row>
    <row r="6328" spans="2:5">
      <c r="B6328" s="1115">
        <v>45182</v>
      </c>
      <c r="C6328" s="242">
        <f t="shared" si="197"/>
        <v>9</v>
      </c>
      <c r="D6328" s="242">
        <v>67.099999999999994</v>
      </c>
      <c r="E6328" s="845">
        <f t="shared" si="198"/>
        <v>19.499999999999996</v>
      </c>
    </row>
    <row r="6329" spans="2:5">
      <c r="B6329" s="1115">
        <v>45182</v>
      </c>
      <c r="C6329" s="242">
        <f t="shared" si="197"/>
        <v>9</v>
      </c>
      <c r="D6329" s="242">
        <v>67.8</v>
      </c>
      <c r="E6329" s="845">
        <f t="shared" si="198"/>
        <v>19.888888888888886</v>
      </c>
    </row>
    <row r="6330" spans="2:5">
      <c r="B6330" s="1115">
        <v>45182</v>
      </c>
      <c r="C6330" s="242">
        <f t="shared" si="197"/>
        <v>9</v>
      </c>
      <c r="D6330" s="242">
        <v>68.5</v>
      </c>
      <c r="E6330" s="845">
        <f t="shared" si="198"/>
        <v>20.277777777777779</v>
      </c>
    </row>
    <row r="6331" spans="2:5">
      <c r="B6331" s="1115">
        <v>45182</v>
      </c>
      <c r="C6331" s="242">
        <f t="shared" si="197"/>
        <v>9</v>
      </c>
      <c r="D6331" s="242">
        <v>69.099999999999994</v>
      </c>
      <c r="E6331" s="845">
        <f t="shared" si="198"/>
        <v>20.611111111111107</v>
      </c>
    </row>
    <row r="6332" spans="2:5">
      <c r="B6332" s="1115">
        <v>45182</v>
      </c>
      <c r="C6332" s="242">
        <f t="shared" si="197"/>
        <v>9</v>
      </c>
      <c r="D6332" s="242">
        <v>69.400000000000006</v>
      </c>
      <c r="E6332" s="845">
        <f t="shared" si="198"/>
        <v>20.777777777777782</v>
      </c>
    </row>
    <row r="6333" spans="2:5">
      <c r="B6333" s="1115">
        <v>45182</v>
      </c>
      <c r="C6333" s="242">
        <f t="shared" si="197"/>
        <v>9</v>
      </c>
      <c r="D6333" s="242">
        <v>69.599999999999994</v>
      </c>
      <c r="E6333" s="845">
        <f t="shared" si="198"/>
        <v>20.888888888888886</v>
      </c>
    </row>
    <row r="6334" spans="2:5">
      <c r="B6334" s="1115">
        <v>45182</v>
      </c>
      <c r="C6334" s="242">
        <f t="shared" si="197"/>
        <v>9</v>
      </c>
      <c r="D6334" s="242">
        <v>68.5</v>
      </c>
      <c r="E6334" s="845">
        <f t="shared" si="198"/>
        <v>20.277777777777779</v>
      </c>
    </row>
    <row r="6335" spans="2:5">
      <c r="B6335" s="1115">
        <v>45182</v>
      </c>
      <c r="C6335" s="242">
        <f t="shared" si="197"/>
        <v>9</v>
      </c>
      <c r="D6335" s="242" t="s">
        <v>1854</v>
      </c>
      <c r="E6335" s="845">
        <f t="shared" si="198"/>
        <v>20</v>
      </c>
    </row>
    <row r="6336" spans="2:5">
      <c r="B6336" s="1115">
        <v>45182</v>
      </c>
      <c r="C6336" s="242">
        <f t="shared" si="197"/>
        <v>9</v>
      </c>
      <c r="D6336" s="242">
        <v>67.8</v>
      </c>
      <c r="E6336" s="845">
        <f t="shared" si="198"/>
        <v>19.888888888888886</v>
      </c>
    </row>
    <row r="6337" spans="2:5">
      <c r="B6337" s="1115">
        <v>45182</v>
      </c>
      <c r="C6337" s="242">
        <f t="shared" si="197"/>
        <v>9</v>
      </c>
      <c r="D6337" s="242">
        <v>67.5</v>
      </c>
      <c r="E6337" s="845">
        <f t="shared" si="198"/>
        <v>19.722222222222221</v>
      </c>
    </row>
    <row r="6338" spans="2:5">
      <c r="B6338" s="1115">
        <v>45182</v>
      </c>
      <c r="C6338" s="242">
        <f t="shared" si="197"/>
        <v>9</v>
      </c>
      <c r="D6338" s="242">
        <v>67.3</v>
      </c>
      <c r="E6338" s="845">
        <f t="shared" si="198"/>
        <v>19.611111111111111</v>
      </c>
    </row>
    <row r="6339" spans="2:5">
      <c r="B6339" s="1115">
        <v>45182</v>
      </c>
      <c r="C6339" s="242">
        <f t="shared" si="197"/>
        <v>9</v>
      </c>
      <c r="D6339" s="242">
        <v>67.5</v>
      </c>
      <c r="E6339" s="845">
        <f t="shared" si="198"/>
        <v>19.722222222222221</v>
      </c>
    </row>
    <row r="6340" spans="2:5">
      <c r="B6340" s="1115">
        <v>45182</v>
      </c>
      <c r="C6340" s="242">
        <f t="shared" si="197"/>
        <v>9</v>
      </c>
      <c r="D6340" s="242">
        <v>67.599999999999994</v>
      </c>
      <c r="E6340" s="845">
        <f t="shared" si="198"/>
        <v>19.777777777777775</v>
      </c>
    </row>
    <row r="6341" spans="2:5">
      <c r="B6341" s="1115">
        <v>45182</v>
      </c>
      <c r="C6341" s="242">
        <f t="shared" si="197"/>
        <v>9</v>
      </c>
      <c r="D6341" s="242">
        <v>68.2</v>
      </c>
      <c r="E6341" s="845">
        <f t="shared" si="198"/>
        <v>20.111111111111111</v>
      </c>
    </row>
    <row r="6342" spans="2:5">
      <c r="B6342" s="1115">
        <v>45182</v>
      </c>
      <c r="C6342" s="242">
        <f t="shared" si="197"/>
        <v>9</v>
      </c>
      <c r="D6342" s="242">
        <v>69.099999999999994</v>
      </c>
      <c r="E6342" s="845">
        <f t="shared" si="198"/>
        <v>20.611111111111107</v>
      </c>
    </row>
    <row r="6343" spans="2:5">
      <c r="B6343" s="1115">
        <v>45182</v>
      </c>
      <c r="C6343" s="242">
        <f t="shared" si="197"/>
        <v>9</v>
      </c>
      <c r="D6343" s="242">
        <v>69.599999999999994</v>
      </c>
      <c r="E6343" s="845">
        <f t="shared" si="198"/>
        <v>20.888888888888886</v>
      </c>
    </row>
    <row r="6344" spans="2:5">
      <c r="B6344" s="1115">
        <v>45182</v>
      </c>
      <c r="C6344" s="242">
        <f t="shared" si="197"/>
        <v>9</v>
      </c>
      <c r="D6344" s="242" t="s">
        <v>1855</v>
      </c>
      <c r="E6344" s="845">
        <f t="shared" si="198"/>
        <v>21.111111111111111</v>
      </c>
    </row>
    <row r="6345" spans="2:5">
      <c r="B6345" s="1115">
        <v>45183</v>
      </c>
      <c r="C6345" s="242">
        <f t="shared" si="197"/>
        <v>9</v>
      </c>
      <c r="D6345" s="242" t="s">
        <v>1855</v>
      </c>
      <c r="E6345" s="845">
        <f t="shared" si="198"/>
        <v>21.111111111111111</v>
      </c>
    </row>
    <row r="6346" spans="2:5">
      <c r="B6346" s="1115">
        <v>45183</v>
      </c>
      <c r="C6346" s="242">
        <f t="shared" ref="C6346:C6409" si="199">MONTH(B6346)</f>
        <v>9</v>
      </c>
      <c r="D6346" s="242">
        <v>68.900000000000006</v>
      </c>
      <c r="E6346" s="845">
        <f t="shared" ref="E6346:E6409" si="200">CONVERT(D6346,"F","C")</f>
        <v>20.500000000000004</v>
      </c>
    </row>
    <row r="6347" spans="2:5">
      <c r="B6347" s="1115">
        <v>45183</v>
      </c>
      <c r="C6347" s="242">
        <f t="shared" si="199"/>
        <v>9</v>
      </c>
      <c r="D6347" s="242">
        <v>68.400000000000006</v>
      </c>
      <c r="E6347" s="845">
        <f t="shared" si="200"/>
        <v>20.222222222222225</v>
      </c>
    </row>
    <row r="6348" spans="2:5">
      <c r="B6348" s="1115">
        <v>45183</v>
      </c>
      <c r="C6348" s="242">
        <f t="shared" si="199"/>
        <v>9</v>
      </c>
      <c r="D6348" s="242" t="s">
        <v>1854</v>
      </c>
      <c r="E6348" s="845">
        <f t="shared" si="200"/>
        <v>20</v>
      </c>
    </row>
    <row r="6349" spans="2:5">
      <c r="B6349" s="1115">
        <v>45183</v>
      </c>
      <c r="C6349" s="242">
        <f t="shared" si="199"/>
        <v>9</v>
      </c>
      <c r="D6349" s="242">
        <v>67.099999999999994</v>
      </c>
      <c r="E6349" s="845">
        <f t="shared" si="200"/>
        <v>19.499999999999996</v>
      </c>
    </row>
    <row r="6350" spans="2:5">
      <c r="B6350" s="1115">
        <v>45183</v>
      </c>
      <c r="C6350" s="242">
        <f t="shared" si="199"/>
        <v>9</v>
      </c>
      <c r="D6350" s="242">
        <v>66.400000000000006</v>
      </c>
      <c r="E6350" s="845">
        <f t="shared" si="200"/>
        <v>19.111111111111114</v>
      </c>
    </row>
    <row r="6351" spans="2:5">
      <c r="B6351" s="1115">
        <v>45183</v>
      </c>
      <c r="C6351" s="242">
        <f t="shared" si="199"/>
        <v>9</v>
      </c>
      <c r="D6351" s="242">
        <v>66.400000000000006</v>
      </c>
      <c r="E6351" s="845">
        <f t="shared" si="200"/>
        <v>19.111111111111114</v>
      </c>
    </row>
    <row r="6352" spans="2:5">
      <c r="B6352" s="1115">
        <v>45183</v>
      </c>
      <c r="C6352" s="242">
        <f t="shared" si="199"/>
        <v>9</v>
      </c>
      <c r="D6352" s="242">
        <v>66.599999999999994</v>
      </c>
      <c r="E6352" s="845">
        <f t="shared" si="200"/>
        <v>19.222222222222218</v>
      </c>
    </row>
    <row r="6353" spans="2:5">
      <c r="B6353" s="1115">
        <v>45183</v>
      </c>
      <c r="C6353" s="242">
        <f t="shared" si="199"/>
        <v>9</v>
      </c>
      <c r="D6353" s="242">
        <v>67.599999999999994</v>
      </c>
      <c r="E6353" s="845">
        <f t="shared" si="200"/>
        <v>19.777777777777775</v>
      </c>
    </row>
    <row r="6354" spans="2:5">
      <c r="B6354" s="1115">
        <v>45183</v>
      </c>
      <c r="C6354" s="242">
        <f t="shared" si="199"/>
        <v>9</v>
      </c>
      <c r="D6354" s="242">
        <v>68.7</v>
      </c>
      <c r="E6354" s="845">
        <f t="shared" si="200"/>
        <v>20.388888888888889</v>
      </c>
    </row>
    <row r="6355" spans="2:5">
      <c r="B6355" s="1115">
        <v>45183</v>
      </c>
      <c r="C6355" s="242">
        <f t="shared" si="199"/>
        <v>9</v>
      </c>
      <c r="D6355" s="242">
        <v>69.400000000000006</v>
      </c>
      <c r="E6355" s="845">
        <f t="shared" si="200"/>
        <v>20.777777777777782</v>
      </c>
    </row>
    <row r="6356" spans="2:5">
      <c r="B6356" s="1115">
        <v>45183</v>
      </c>
      <c r="C6356" s="242">
        <f t="shared" si="199"/>
        <v>9</v>
      </c>
      <c r="D6356" s="242">
        <v>69.8</v>
      </c>
      <c r="E6356" s="845">
        <f t="shared" si="200"/>
        <v>20.999999999999996</v>
      </c>
    </row>
    <row r="6357" spans="2:5">
      <c r="B6357" s="1115">
        <v>45183</v>
      </c>
      <c r="C6357" s="242">
        <f t="shared" si="199"/>
        <v>9</v>
      </c>
      <c r="D6357" s="242">
        <v>70.2</v>
      </c>
      <c r="E6357" s="845">
        <f t="shared" si="200"/>
        <v>21.222222222222225</v>
      </c>
    </row>
    <row r="6358" spans="2:5">
      <c r="B6358" s="1115">
        <v>45183</v>
      </c>
      <c r="C6358" s="242">
        <f t="shared" si="199"/>
        <v>9</v>
      </c>
      <c r="D6358" s="242">
        <v>69.8</v>
      </c>
      <c r="E6358" s="845">
        <f t="shared" si="200"/>
        <v>20.999999999999996</v>
      </c>
    </row>
    <row r="6359" spans="2:5">
      <c r="B6359" s="1115">
        <v>45183</v>
      </c>
      <c r="C6359" s="242">
        <f t="shared" si="199"/>
        <v>9</v>
      </c>
      <c r="D6359" s="242">
        <v>68.7</v>
      </c>
      <c r="E6359" s="845">
        <f t="shared" si="200"/>
        <v>20.388888888888889</v>
      </c>
    </row>
    <row r="6360" spans="2:5">
      <c r="B6360" s="1115">
        <v>45183</v>
      </c>
      <c r="C6360" s="242">
        <f t="shared" si="199"/>
        <v>9</v>
      </c>
      <c r="D6360" s="242">
        <v>67.8</v>
      </c>
      <c r="E6360" s="845">
        <f t="shared" si="200"/>
        <v>19.888888888888886</v>
      </c>
    </row>
    <row r="6361" spans="2:5">
      <c r="B6361" s="1115">
        <v>45183</v>
      </c>
      <c r="C6361" s="242">
        <f t="shared" si="199"/>
        <v>9</v>
      </c>
      <c r="D6361" s="242">
        <v>66.900000000000006</v>
      </c>
      <c r="E6361" s="845">
        <f t="shared" si="200"/>
        <v>19.388888888888893</v>
      </c>
    </row>
    <row r="6362" spans="2:5">
      <c r="B6362" s="1115">
        <v>45183</v>
      </c>
      <c r="C6362" s="242">
        <f t="shared" si="199"/>
        <v>9</v>
      </c>
      <c r="D6362" s="242">
        <v>65.5</v>
      </c>
      <c r="E6362" s="845">
        <f t="shared" si="200"/>
        <v>18.611111111111111</v>
      </c>
    </row>
    <row r="6363" spans="2:5">
      <c r="B6363" s="1115">
        <v>45183</v>
      </c>
      <c r="C6363" s="242">
        <f t="shared" si="199"/>
        <v>9</v>
      </c>
      <c r="D6363" s="242">
        <v>64.900000000000006</v>
      </c>
      <c r="E6363" s="845">
        <f t="shared" si="200"/>
        <v>18.277777777777782</v>
      </c>
    </row>
    <row r="6364" spans="2:5">
      <c r="B6364" s="1115">
        <v>45183</v>
      </c>
      <c r="C6364" s="242">
        <f t="shared" si="199"/>
        <v>9</v>
      </c>
      <c r="D6364" s="242">
        <v>65.3</v>
      </c>
      <c r="E6364" s="845">
        <f t="shared" si="200"/>
        <v>18.499999999999996</v>
      </c>
    </row>
    <row r="6365" spans="2:5">
      <c r="B6365" s="1115">
        <v>45183</v>
      </c>
      <c r="C6365" s="242">
        <f t="shared" si="199"/>
        <v>9</v>
      </c>
      <c r="D6365" s="242">
        <v>66.900000000000006</v>
      </c>
      <c r="E6365" s="845">
        <f t="shared" si="200"/>
        <v>19.388888888888893</v>
      </c>
    </row>
    <row r="6366" spans="2:5">
      <c r="B6366" s="1115">
        <v>45183</v>
      </c>
      <c r="C6366" s="242">
        <f t="shared" si="199"/>
        <v>9</v>
      </c>
      <c r="D6366" s="242">
        <v>68.5</v>
      </c>
      <c r="E6366" s="845">
        <f t="shared" si="200"/>
        <v>20.277777777777779</v>
      </c>
    </row>
    <row r="6367" spans="2:5">
      <c r="B6367" s="1115">
        <v>45183</v>
      </c>
      <c r="C6367" s="242">
        <f t="shared" si="199"/>
        <v>9</v>
      </c>
      <c r="D6367" s="242">
        <v>69.8</v>
      </c>
      <c r="E6367" s="845">
        <f t="shared" si="200"/>
        <v>20.999999999999996</v>
      </c>
    </row>
    <row r="6368" spans="2:5">
      <c r="B6368" s="1115">
        <v>45183</v>
      </c>
      <c r="C6368" s="242">
        <f t="shared" si="199"/>
        <v>9</v>
      </c>
      <c r="D6368" s="242">
        <v>70.3</v>
      </c>
      <c r="E6368" s="845">
        <f t="shared" si="200"/>
        <v>21.277777777777775</v>
      </c>
    </row>
    <row r="6369" spans="2:5">
      <c r="B6369" s="1115">
        <v>45184</v>
      </c>
      <c r="C6369" s="242">
        <f t="shared" si="199"/>
        <v>9</v>
      </c>
      <c r="D6369" s="242">
        <v>70.5</v>
      </c>
      <c r="E6369" s="845">
        <f t="shared" si="200"/>
        <v>21.388888888888889</v>
      </c>
    </row>
    <row r="6370" spans="2:5">
      <c r="B6370" s="1115">
        <v>45184</v>
      </c>
      <c r="C6370" s="242">
        <f t="shared" si="199"/>
        <v>9</v>
      </c>
      <c r="D6370" s="242">
        <v>70.3</v>
      </c>
      <c r="E6370" s="845">
        <f t="shared" si="200"/>
        <v>21.277777777777775</v>
      </c>
    </row>
    <row r="6371" spans="2:5">
      <c r="B6371" s="1115">
        <v>45184</v>
      </c>
      <c r="C6371" s="242">
        <f t="shared" si="199"/>
        <v>9</v>
      </c>
      <c r="D6371" s="242">
        <v>68.5</v>
      </c>
      <c r="E6371" s="845">
        <f t="shared" si="200"/>
        <v>20.277777777777779</v>
      </c>
    </row>
    <row r="6372" spans="2:5">
      <c r="B6372" s="1115">
        <v>45184</v>
      </c>
      <c r="C6372" s="242">
        <f t="shared" si="199"/>
        <v>9</v>
      </c>
      <c r="D6372" s="242">
        <v>67.3</v>
      </c>
      <c r="E6372" s="845">
        <f t="shared" si="200"/>
        <v>19.611111111111111</v>
      </c>
    </row>
    <row r="6373" spans="2:5">
      <c r="B6373" s="1115">
        <v>45184</v>
      </c>
      <c r="C6373" s="242">
        <f t="shared" si="199"/>
        <v>9</v>
      </c>
      <c r="D6373" s="242">
        <v>66.599999999999994</v>
      </c>
      <c r="E6373" s="845">
        <f t="shared" si="200"/>
        <v>19.222222222222218</v>
      </c>
    </row>
    <row r="6374" spans="2:5">
      <c r="B6374" s="1115">
        <v>45184</v>
      </c>
      <c r="C6374" s="242">
        <f t="shared" si="199"/>
        <v>9</v>
      </c>
      <c r="D6374" s="242">
        <v>65.5</v>
      </c>
      <c r="E6374" s="845">
        <f t="shared" si="200"/>
        <v>18.611111111111111</v>
      </c>
    </row>
    <row r="6375" spans="2:5">
      <c r="B6375" s="1115">
        <v>45184</v>
      </c>
      <c r="C6375" s="242">
        <f t="shared" si="199"/>
        <v>9</v>
      </c>
      <c r="D6375" s="242">
        <v>64.400000000000006</v>
      </c>
      <c r="E6375" s="845">
        <f t="shared" si="200"/>
        <v>18.000000000000004</v>
      </c>
    </row>
    <row r="6376" spans="2:5">
      <c r="B6376" s="1115">
        <v>45184</v>
      </c>
      <c r="C6376" s="242">
        <f t="shared" si="199"/>
        <v>9</v>
      </c>
      <c r="D6376" s="242">
        <v>64.8</v>
      </c>
      <c r="E6376" s="845">
        <f t="shared" si="200"/>
        <v>18.222222222222221</v>
      </c>
    </row>
    <row r="6377" spans="2:5">
      <c r="B6377" s="1115">
        <v>45184</v>
      </c>
      <c r="C6377" s="242">
        <f t="shared" si="199"/>
        <v>9</v>
      </c>
      <c r="D6377" s="242" t="s">
        <v>1853</v>
      </c>
      <c r="E6377" s="845">
        <f t="shared" si="200"/>
        <v>18.888888888888889</v>
      </c>
    </row>
    <row r="6378" spans="2:5">
      <c r="B6378" s="1115">
        <v>45184</v>
      </c>
      <c r="C6378" s="242">
        <f t="shared" si="199"/>
        <v>9</v>
      </c>
      <c r="D6378" s="242">
        <v>67.099999999999994</v>
      </c>
      <c r="E6378" s="845">
        <f t="shared" si="200"/>
        <v>19.499999999999996</v>
      </c>
    </row>
    <row r="6379" spans="2:5">
      <c r="B6379" s="1115">
        <v>45184</v>
      </c>
      <c r="C6379" s="242">
        <f t="shared" si="199"/>
        <v>9</v>
      </c>
      <c r="D6379" s="242">
        <v>68.5</v>
      </c>
      <c r="E6379" s="845">
        <f t="shared" si="200"/>
        <v>20.277777777777779</v>
      </c>
    </row>
    <row r="6380" spans="2:5">
      <c r="B6380" s="1115">
        <v>45184</v>
      </c>
      <c r="C6380" s="242">
        <f t="shared" si="199"/>
        <v>9</v>
      </c>
      <c r="D6380" s="242">
        <v>69.3</v>
      </c>
      <c r="E6380" s="845">
        <f t="shared" si="200"/>
        <v>20.722222222222221</v>
      </c>
    </row>
    <row r="6381" spans="2:5">
      <c r="B6381" s="1115">
        <v>45184</v>
      </c>
      <c r="C6381" s="242">
        <f t="shared" si="199"/>
        <v>9</v>
      </c>
      <c r="D6381" s="242">
        <v>69.599999999999994</v>
      </c>
      <c r="E6381" s="845">
        <f t="shared" si="200"/>
        <v>20.888888888888886</v>
      </c>
    </row>
    <row r="6382" spans="2:5">
      <c r="B6382" s="1115">
        <v>45184</v>
      </c>
      <c r="C6382" s="242">
        <f t="shared" si="199"/>
        <v>9</v>
      </c>
      <c r="D6382" s="242">
        <v>69.8</v>
      </c>
      <c r="E6382" s="845">
        <f t="shared" si="200"/>
        <v>20.999999999999996</v>
      </c>
    </row>
    <row r="6383" spans="2:5">
      <c r="B6383" s="1115">
        <v>45184</v>
      </c>
      <c r="C6383" s="242">
        <f t="shared" si="199"/>
        <v>9</v>
      </c>
      <c r="D6383" s="242">
        <v>67.8</v>
      </c>
      <c r="E6383" s="845">
        <f t="shared" si="200"/>
        <v>19.888888888888886</v>
      </c>
    </row>
    <row r="6384" spans="2:5">
      <c r="B6384" s="1115">
        <v>45184</v>
      </c>
      <c r="C6384" s="242">
        <f t="shared" si="199"/>
        <v>9</v>
      </c>
      <c r="D6384" s="242">
        <v>67.5</v>
      </c>
      <c r="E6384" s="845">
        <f t="shared" si="200"/>
        <v>19.722222222222221</v>
      </c>
    </row>
    <row r="6385" spans="2:5">
      <c r="B6385" s="1115">
        <v>45184</v>
      </c>
      <c r="C6385" s="242">
        <f t="shared" si="199"/>
        <v>9</v>
      </c>
      <c r="D6385" s="242" t="s">
        <v>1853</v>
      </c>
      <c r="E6385" s="845">
        <f t="shared" si="200"/>
        <v>18.888888888888889</v>
      </c>
    </row>
    <row r="6386" spans="2:5">
      <c r="B6386" s="1115">
        <v>45184</v>
      </c>
      <c r="C6386" s="242">
        <f t="shared" si="199"/>
        <v>9</v>
      </c>
      <c r="D6386" s="242">
        <v>65.7</v>
      </c>
      <c r="E6386" s="845">
        <f t="shared" si="200"/>
        <v>18.722222222222225</v>
      </c>
    </row>
    <row r="6387" spans="2:5">
      <c r="B6387" s="1115">
        <v>45184</v>
      </c>
      <c r="C6387" s="242">
        <f t="shared" si="199"/>
        <v>9</v>
      </c>
      <c r="D6387" s="242">
        <v>65.8</v>
      </c>
      <c r="E6387" s="845">
        <f t="shared" si="200"/>
        <v>18.777777777777775</v>
      </c>
    </row>
    <row r="6388" spans="2:5">
      <c r="B6388" s="1115">
        <v>45184</v>
      </c>
      <c r="C6388" s="242">
        <f t="shared" si="199"/>
        <v>9</v>
      </c>
      <c r="D6388" s="242">
        <v>65.8</v>
      </c>
      <c r="E6388" s="845">
        <f t="shared" si="200"/>
        <v>18.777777777777775</v>
      </c>
    </row>
    <row r="6389" spans="2:5">
      <c r="B6389" s="1115">
        <v>45184</v>
      </c>
      <c r="C6389" s="242">
        <f t="shared" si="199"/>
        <v>9</v>
      </c>
      <c r="D6389" s="242" t="s">
        <v>1853</v>
      </c>
      <c r="E6389" s="845">
        <f t="shared" si="200"/>
        <v>18.888888888888889</v>
      </c>
    </row>
    <row r="6390" spans="2:5">
      <c r="B6390" s="1115">
        <v>45184</v>
      </c>
      <c r="C6390" s="242">
        <f t="shared" si="199"/>
        <v>9</v>
      </c>
      <c r="D6390" s="242">
        <v>66.7</v>
      </c>
      <c r="E6390" s="845">
        <f t="shared" si="200"/>
        <v>19.277777777777779</v>
      </c>
    </row>
    <row r="6391" spans="2:5">
      <c r="B6391" s="1115">
        <v>45184</v>
      </c>
      <c r="C6391" s="242">
        <f t="shared" si="199"/>
        <v>9</v>
      </c>
      <c r="D6391" s="242">
        <v>67.8</v>
      </c>
      <c r="E6391" s="845">
        <f t="shared" si="200"/>
        <v>19.888888888888886</v>
      </c>
    </row>
    <row r="6392" spans="2:5">
      <c r="B6392" s="1115">
        <v>45184</v>
      </c>
      <c r="C6392" s="242">
        <f t="shared" si="199"/>
        <v>9</v>
      </c>
      <c r="D6392" s="242">
        <v>68.900000000000006</v>
      </c>
      <c r="E6392" s="845">
        <f t="shared" si="200"/>
        <v>20.500000000000004</v>
      </c>
    </row>
    <row r="6393" spans="2:5">
      <c r="B6393" s="1115">
        <v>45185</v>
      </c>
      <c r="C6393" s="242">
        <f t="shared" si="199"/>
        <v>9</v>
      </c>
      <c r="D6393" s="242">
        <v>69.3</v>
      </c>
      <c r="E6393" s="845">
        <f t="shared" si="200"/>
        <v>20.722222222222221</v>
      </c>
    </row>
    <row r="6394" spans="2:5">
      <c r="B6394" s="1115">
        <v>45185</v>
      </c>
      <c r="C6394" s="242">
        <f t="shared" si="199"/>
        <v>9</v>
      </c>
      <c r="D6394" s="242">
        <v>69.3</v>
      </c>
      <c r="E6394" s="845">
        <f t="shared" si="200"/>
        <v>20.722222222222221</v>
      </c>
    </row>
    <row r="6395" spans="2:5">
      <c r="B6395" s="1115">
        <v>45185</v>
      </c>
      <c r="C6395" s="242">
        <f t="shared" si="199"/>
        <v>9</v>
      </c>
      <c r="D6395" s="242" t="s">
        <v>1854</v>
      </c>
      <c r="E6395" s="845">
        <f t="shared" si="200"/>
        <v>20</v>
      </c>
    </row>
    <row r="6396" spans="2:5">
      <c r="B6396" s="1115">
        <v>45185</v>
      </c>
      <c r="C6396" s="242">
        <f t="shared" si="199"/>
        <v>9</v>
      </c>
      <c r="D6396" s="242">
        <v>67.099999999999994</v>
      </c>
      <c r="E6396" s="845">
        <f t="shared" si="200"/>
        <v>19.499999999999996</v>
      </c>
    </row>
    <row r="6397" spans="2:5">
      <c r="B6397" s="1115">
        <v>45185</v>
      </c>
      <c r="C6397" s="242">
        <f t="shared" si="199"/>
        <v>9</v>
      </c>
      <c r="D6397" s="242">
        <v>66.2</v>
      </c>
      <c r="E6397" s="845">
        <f t="shared" si="200"/>
        <v>19</v>
      </c>
    </row>
    <row r="6398" spans="2:5">
      <c r="B6398" s="1115">
        <v>45185</v>
      </c>
      <c r="C6398" s="242">
        <f t="shared" si="199"/>
        <v>9</v>
      </c>
      <c r="D6398" s="242" t="s">
        <v>1853</v>
      </c>
      <c r="E6398" s="845">
        <f t="shared" si="200"/>
        <v>18.888888888888889</v>
      </c>
    </row>
    <row r="6399" spans="2:5">
      <c r="B6399" s="1115">
        <v>45185</v>
      </c>
      <c r="C6399" s="242">
        <f t="shared" si="199"/>
        <v>9</v>
      </c>
      <c r="D6399" s="242">
        <v>65.7</v>
      </c>
      <c r="E6399" s="845">
        <f t="shared" si="200"/>
        <v>18.722222222222225</v>
      </c>
    </row>
    <row r="6400" spans="2:5">
      <c r="B6400" s="1115">
        <v>45185</v>
      </c>
      <c r="C6400" s="242">
        <f t="shared" si="199"/>
        <v>9</v>
      </c>
      <c r="D6400" s="242">
        <v>65.7</v>
      </c>
      <c r="E6400" s="845">
        <f t="shared" si="200"/>
        <v>18.722222222222225</v>
      </c>
    </row>
    <row r="6401" spans="2:5">
      <c r="B6401" s="1115">
        <v>45185</v>
      </c>
      <c r="C6401" s="242">
        <f t="shared" si="199"/>
        <v>9</v>
      </c>
      <c r="D6401" s="242">
        <v>65.7</v>
      </c>
      <c r="E6401" s="845">
        <f t="shared" si="200"/>
        <v>18.722222222222225</v>
      </c>
    </row>
    <row r="6402" spans="2:5">
      <c r="B6402" s="1115">
        <v>45185</v>
      </c>
      <c r="C6402" s="242">
        <f t="shared" si="199"/>
        <v>9</v>
      </c>
      <c r="D6402" s="242" t="s">
        <v>1853</v>
      </c>
      <c r="E6402" s="845">
        <f t="shared" si="200"/>
        <v>18.888888888888889</v>
      </c>
    </row>
    <row r="6403" spans="2:5">
      <c r="B6403" s="1115">
        <v>45185</v>
      </c>
      <c r="C6403" s="242">
        <f t="shared" si="199"/>
        <v>9</v>
      </c>
      <c r="D6403" s="242">
        <v>66.599999999999994</v>
      </c>
      <c r="E6403" s="845">
        <f t="shared" si="200"/>
        <v>19.222222222222218</v>
      </c>
    </row>
    <row r="6404" spans="2:5">
      <c r="B6404" s="1115">
        <v>45185</v>
      </c>
      <c r="C6404" s="242">
        <f t="shared" si="199"/>
        <v>9</v>
      </c>
      <c r="D6404" s="242">
        <v>67.3</v>
      </c>
      <c r="E6404" s="845">
        <f t="shared" si="200"/>
        <v>19.611111111111111</v>
      </c>
    </row>
    <row r="6405" spans="2:5">
      <c r="B6405" s="1115">
        <v>45185</v>
      </c>
      <c r="C6405" s="242">
        <f t="shared" si="199"/>
        <v>9</v>
      </c>
      <c r="D6405" s="242">
        <v>67.8</v>
      </c>
      <c r="E6405" s="845">
        <f t="shared" si="200"/>
        <v>19.888888888888886</v>
      </c>
    </row>
    <row r="6406" spans="2:5">
      <c r="B6406" s="1115">
        <v>45185</v>
      </c>
      <c r="C6406" s="242">
        <f t="shared" si="199"/>
        <v>9</v>
      </c>
      <c r="D6406" s="242" t="s">
        <v>1854</v>
      </c>
      <c r="E6406" s="845">
        <f t="shared" si="200"/>
        <v>20</v>
      </c>
    </row>
    <row r="6407" spans="2:5">
      <c r="B6407" s="1115">
        <v>45185</v>
      </c>
      <c r="C6407" s="242">
        <f t="shared" si="199"/>
        <v>9</v>
      </c>
      <c r="D6407" s="242">
        <v>67.8</v>
      </c>
      <c r="E6407" s="845">
        <f t="shared" si="200"/>
        <v>19.888888888888886</v>
      </c>
    </row>
    <row r="6408" spans="2:5">
      <c r="B6408" s="1115">
        <v>45185</v>
      </c>
      <c r="C6408" s="242">
        <f t="shared" si="199"/>
        <v>9</v>
      </c>
      <c r="D6408" s="242">
        <v>66.7</v>
      </c>
      <c r="E6408" s="845">
        <f t="shared" si="200"/>
        <v>19.277777777777779</v>
      </c>
    </row>
    <row r="6409" spans="2:5">
      <c r="B6409" s="1115">
        <v>45185</v>
      </c>
      <c r="C6409" s="242">
        <f t="shared" si="199"/>
        <v>9</v>
      </c>
      <c r="D6409" s="242">
        <v>66.400000000000006</v>
      </c>
      <c r="E6409" s="845">
        <f t="shared" si="200"/>
        <v>19.111111111111114</v>
      </c>
    </row>
    <row r="6410" spans="2:5">
      <c r="B6410" s="1115">
        <v>45185</v>
      </c>
      <c r="C6410" s="242">
        <f t="shared" ref="C6410:C6473" si="201">MONTH(B6410)</f>
        <v>9</v>
      </c>
      <c r="D6410" s="242">
        <v>65.8</v>
      </c>
      <c r="E6410" s="845">
        <f t="shared" ref="E6410:E6473" si="202">CONVERT(D6410,"F","C")</f>
        <v>18.777777777777775</v>
      </c>
    </row>
    <row r="6411" spans="2:5">
      <c r="B6411" s="1115">
        <v>45185</v>
      </c>
      <c r="C6411" s="242">
        <f t="shared" si="201"/>
        <v>9</v>
      </c>
      <c r="D6411" s="242">
        <v>65.5</v>
      </c>
      <c r="E6411" s="845">
        <f t="shared" si="202"/>
        <v>18.611111111111111</v>
      </c>
    </row>
    <row r="6412" spans="2:5">
      <c r="B6412" s="1115">
        <v>45185</v>
      </c>
      <c r="C6412" s="242">
        <f t="shared" si="201"/>
        <v>9</v>
      </c>
      <c r="D6412" s="242">
        <v>65.099999999999994</v>
      </c>
      <c r="E6412" s="845">
        <f t="shared" si="202"/>
        <v>18.388888888888886</v>
      </c>
    </row>
    <row r="6413" spans="2:5">
      <c r="B6413" s="1115">
        <v>45185</v>
      </c>
      <c r="C6413" s="242">
        <f t="shared" si="201"/>
        <v>9</v>
      </c>
      <c r="D6413" s="242">
        <v>65.3</v>
      </c>
      <c r="E6413" s="845">
        <f t="shared" si="202"/>
        <v>18.499999999999996</v>
      </c>
    </row>
    <row r="6414" spans="2:5">
      <c r="B6414" s="1115">
        <v>45185</v>
      </c>
      <c r="C6414" s="242">
        <f t="shared" si="201"/>
        <v>9</v>
      </c>
      <c r="D6414" s="242" t="s">
        <v>1853</v>
      </c>
      <c r="E6414" s="845">
        <f t="shared" si="202"/>
        <v>18.888888888888889</v>
      </c>
    </row>
    <row r="6415" spans="2:5">
      <c r="B6415" s="1115">
        <v>45185</v>
      </c>
      <c r="C6415" s="242">
        <f t="shared" si="201"/>
        <v>9</v>
      </c>
      <c r="D6415" s="242">
        <v>66.7</v>
      </c>
      <c r="E6415" s="845">
        <f t="shared" si="202"/>
        <v>19.277777777777779</v>
      </c>
    </row>
    <row r="6416" spans="2:5">
      <c r="B6416" s="1115">
        <v>45185</v>
      </c>
      <c r="C6416" s="242">
        <f t="shared" si="201"/>
        <v>9</v>
      </c>
      <c r="D6416" s="242">
        <v>67.5</v>
      </c>
      <c r="E6416" s="845">
        <f t="shared" si="202"/>
        <v>19.722222222222221</v>
      </c>
    </row>
    <row r="6417" spans="2:5">
      <c r="B6417" s="1115">
        <v>45186</v>
      </c>
      <c r="C6417" s="242">
        <f t="shared" si="201"/>
        <v>9</v>
      </c>
      <c r="D6417" s="242">
        <v>67.8</v>
      </c>
      <c r="E6417" s="845">
        <f t="shared" si="202"/>
        <v>19.888888888888886</v>
      </c>
    </row>
    <row r="6418" spans="2:5">
      <c r="B6418" s="1115">
        <v>45186</v>
      </c>
      <c r="C6418" s="242">
        <f t="shared" si="201"/>
        <v>9</v>
      </c>
      <c r="D6418" s="242" t="s">
        <v>1854</v>
      </c>
      <c r="E6418" s="845">
        <f t="shared" si="202"/>
        <v>20</v>
      </c>
    </row>
    <row r="6419" spans="2:5">
      <c r="B6419" s="1115">
        <v>45186</v>
      </c>
      <c r="C6419" s="242">
        <f t="shared" si="201"/>
        <v>9</v>
      </c>
      <c r="D6419" s="242" t="s">
        <v>1854</v>
      </c>
      <c r="E6419" s="845">
        <f t="shared" si="202"/>
        <v>20</v>
      </c>
    </row>
    <row r="6420" spans="2:5">
      <c r="B6420" s="1115">
        <v>45186</v>
      </c>
      <c r="C6420" s="242">
        <f t="shared" si="201"/>
        <v>9</v>
      </c>
      <c r="D6420" s="242">
        <v>66.900000000000006</v>
      </c>
      <c r="E6420" s="845">
        <f t="shared" si="202"/>
        <v>19.388888888888893</v>
      </c>
    </row>
    <row r="6421" spans="2:5">
      <c r="B6421" s="1115">
        <v>45186</v>
      </c>
      <c r="C6421" s="242">
        <f t="shared" si="201"/>
        <v>9</v>
      </c>
      <c r="D6421" s="242" t="s">
        <v>1853</v>
      </c>
      <c r="E6421" s="845">
        <f t="shared" si="202"/>
        <v>18.888888888888889</v>
      </c>
    </row>
    <row r="6422" spans="2:5">
      <c r="B6422" s="1115">
        <v>45186</v>
      </c>
      <c r="C6422" s="242">
        <f t="shared" si="201"/>
        <v>9</v>
      </c>
      <c r="D6422" s="242">
        <v>64.2</v>
      </c>
      <c r="E6422" s="845">
        <f t="shared" si="202"/>
        <v>17.888888888888889</v>
      </c>
    </row>
    <row r="6423" spans="2:5">
      <c r="B6423" s="1115">
        <v>45186</v>
      </c>
      <c r="C6423" s="242">
        <f t="shared" si="201"/>
        <v>9</v>
      </c>
      <c r="D6423" s="242">
        <v>63.1</v>
      </c>
      <c r="E6423" s="845">
        <f t="shared" si="202"/>
        <v>17.277777777777779</v>
      </c>
    </row>
    <row r="6424" spans="2:5">
      <c r="B6424" s="1115">
        <v>45186</v>
      </c>
      <c r="C6424" s="242">
        <f t="shared" si="201"/>
        <v>9</v>
      </c>
      <c r="D6424" s="242">
        <v>62.8</v>
      </c>
      <c r="E6424" s="845">
        <f t="shared" si="202"/>
        <v>17.111111111111111</v>
      </c>
    </row>
    <row r="6425" spans="2:5">
      <c r="B6425" s="1115">
        <v>45186</v>
      </c>
      <c r="C6425" s="242">
        <f t="shared" si="201"/>
        <v>9</v>
      </c>
      <c r="D6425" s="242" t="s">
        <v>1851</v>
      </c>
      <c r="E6425" s="845">
        <f t="shared" si="202"/>
        <v>17.222222222222221</v>
      </c>
    </row>
    <row r="6426" spans="2:5">
      <c r="B6426" s="1115">
        <v>45186</v>
      </c>
      <c r="C6426" s="242">
        <f t="shared" si="201"/>
        <v>9</v>
      </c>
      <c r="D6426" s="242">
        <v>63.3</v>
      </c>
      <c r="E6426" s="845">
        <f t="shared" si="202"/>
        <v>17.388888888888886</v>
      </c>
    </row>
    <row r="6427" spans="2:5">
      <c r="B6427" s="1115">
        <v>45186</v>
      </c>
      <c r="C6427" s="242">
        <f t="shared" si="201"/>
        <v>9</v>
      </c>
      <c r="D6427" s="242">
        <v>64.400000000000006</v>
      </c>
      <c r="E6427" s="845">
        <f t="shared" si="202"/>
        <v>18.000000000000004</v>
      </c>
    </row>
    <row r="6428" spans="2:5">
      <c r="B6428" s="1115">
        <v>45186</v>
      </c>
      <c r="C6428" s="242">
        <f t="shared" si="201"/>
        <v>9</v>
      </c>
      <c r="D6428" s="242">
        <v>65.7</v>
      </c>
      <c r="E6428" s="845">
        <f t="shared" si="202"/>
        <v>18.722222222222225</v>
      </c>
    </row>
    <row r="6429" spans="2:5">
      <c r="B6429" s="1115">
        <v>45186</v>
      </c>
      <c r="C6429" s="242">
        <f t="shared" si="201"/>
        <v>9</v>
      </c>
      <c r="D6429" s="242">
        <v>66.599999999999994</v>
      </c>
      <c r="E6429" s="845">
        <f t="shared" si="202"/>
        <v>19.222222222222218</v>
      </c>
    </row>
    <row r="6430" spans="2:5">
      <c r="B6430" s="1115">
        <v>45186</v>
      </c>
      <c r="C6430" s="242">
        <f t="shared" si="201"/>
        <v>9</v>
      </c>
      <c r="D6430" s="242">
        <v>66.900000000000006</v>
      </c>
      <c r="E6430" s="845">
        <f t="shared" si="202"/>
        <v>19.388888888888893</v>
      </c>
    </row>
    <row r="6431" spans="2:5">
      <c r="B6431" s="1115">
        <v>45186</v>
      </c>
      <c r="C6431" s="242">
        <f t="shared" si="201"/>
        <v>9</v>
      </c>
      <c r="D6431" s="242">
        <v>66.900000000000006</v>
      </c>
      <c r="E6431" s="845">
        <f t="shared" si="202"/>
        <v>19.388888888888893</v>
      </c>
    </row>
    <row r="6432" spans="2:5">
      <c r="B6432" s="1115">
        <v>45186</v>
      </c>
      <c r="C6432" s="242">
        <f t="shared" si="201"/>
        <v>9</v>
      </c>
      <c r="D6432" s="242">
        <v>65.3</v>
      </c>
      <c r="E6432" s="845">
        <f t="shared" si="202"/>
        <v>18.499999999999996</v>
      </c>
    </row>
    <row r="6433" spans="2:5">
      <c r="B6433" s="1115">
        <v>45186</v>
      </c>
      <c r="C6433" s="242">
        <f t="shared" si="201"/>
        <v>9</v>
      </c>
      <c r="D6433" s="242">
        <v>64.900000000000006</v>
      </c>
      <c r="E6433" s="845">
        <f t="shared" si="202"/>
        <v>18.277777777777782</v>
      </c>
    </row>
    <row r="6434" spans="2:5">
      <c r="B6434" s="1115">
        <v>45186</v>
      </c>
      <c r="C6434" s="242">
        <f t="shared" si="201"/>
        <v>9</v>
      </c>
      <c r="D6434" s="242">
        <v>63.9</v>
      </c>
      <c r="E6434" s="845">
        <f t="shared" si="202"/>
        <v>17.722222222222221</v>
      </c>
    </row>
    <row r="6435" spans="2:5">
      <c r="B6435" s="1115">
        <v>45186</v>
      </c>
      <c r="C6435" s="242">
        <f t="shared" si="201"/>
        <v>9</v>
      </c>
      <c r="D6435" s="242">
        <v>63.3</v>
      </c>
      <c r="E6435" s="845">
        <f t="shared" si="202"/>
        <v>17.388888888888886</v>
      </c>
    </row>
    <row r="6436" spans="2:5">
      <c r="B6436" s="1115">
        <v>45186</v>
      </c>
      <c r="C6436" s="242">
        <f t="shared" si="201"/>
        <v>9</v>
      </c>
      <c r="D6436" s="242">
        <v>63.1</v>
      </c>
      <c r="E6436" s="845">
        <f t="shared" si="202"/>
        <v>17.277777777777779</v>
      </c>
    </row>
    <row r="6437" spans="2:5">
      <c r="B6437" s="1115">
        <v>45186</v>
      </c>
      <c r="C6437" s="242">
        <f t="shared" si="201"/>
        <v>9</v>
      </c>
      <c r="D6437" s="242">
        <v>63.9</v>
      </c>
      <c r="E6437" s="845">
        <f t="shared" si="202"/>
        <v>17.722222222222221</v>
      </c>
    </row>
    <row r="6438" spans="2:5">
      <c r="B6438" s="1115">
        <v>45186</v>
      </c>
      <c r="C6438" s="242">
        <f t="shared" si="201"/>
        <v>9</v>
      </c>
      <c r="D6438" s="242">
        <v>63.7</v>
      </c>
      <c r="E6438" s="845">
        <f t="shared" si="202"/>
        <v>17.611111111111111</v>
      </c>
    </row>
    <row r="6439" spans="2:5">
      <c r="B6439" s="1115">
        <v>45186</v>
      </c>
      <c r="C6439" s="242">
        <f t="shared" si="201"/>
        <v>9</v>
      </c>
      <c r="D6439" s="242">
        <v>64.400000000000006</v>
      </c>
      <c r="E6439" s="845">
        <f t="shared" si="202"/>
        <v>18.000000000000004</v>
      </c>
    </row>
    <row r="6440" spans="2:5">
      <c r="B6440" s="1115">
        <v>45186</v>
      </c>
      <c r="C6440" s="242">
        <f t="shared" si="201"/>
        <v>9</v>
      </c>
      <c r="D6440" s="242">
        <v>65.7</v>
      </c>
      <c r="E6440" s="845">
        <f t="shared" si="202"/>
        <v>18.722222222222225</v>
      </c>
    </row>
    <row r="6441" spans="2:5">
      <c r="B6441" s="1115">
        <v>45187</v>
      </c>
      <c r="C6441" s="242">
        <f t="shared" si="201"/>
        <v>9</v>
      </c>
      <c r="D6441" s="242">
        <v>66.400000000000006</v>
      </c>
      <c r="E6441" s="845">
        <f t="shared" si="202"/>
        <v>19.111111111111114</v>
      </c>
    </row>
    <row r="6442" spans="2:5">
      <c r="B6442" s="1115">
        <v>45187</v>
      </c>
      <c r="C6442" s="242">
        <f t="shared" si="201"/>
        <v>9</v>
      </c>
      <c r="D6442" s="242">
        <v>66.900000000000006</v>
      </c>
      <c r="E6442" s="845">
        <f t="shared" si="202"/>
        <v>19.388888888888893</v>
      </c>
    </row>
    <row r="6443" spans="2:5">
      <c r="B6443" s="1115">
        <v>45187</v>
      </c>
      <c r="C6443" s="242">
        <f t="shared" si="201"/>
        <v>9</v>
      </c>
      <c r="D6443" s="242">
        <v>67.099999999999994</v>
      </c>
      <c r="E6443" s="845">
        <f t="shared" si="202"/>
        <v>19.499999999999996</v>
      </c>
    </row>
    <row r="6444" spans="2:5">
      <c r="B6444" s="1115">
        <v>45187</v>
      </c>
      <c r="C6444" s="242">
        <f t="shared" si="201"/>
        <v>9</v>
      </c>
      <c r="D6444" s="242">
        <v>66.7</v>
      </c>
      <c r="E6444" s="845">
        <f t="shared" si="202"/>
        <v>19.277777777777779</v>
      </c>
    </row>
    <row r="6445" spans="2:5">
      <c r="B6445" s="1115">
        <v>45187</v>
      </c>
      <c r="C6445" s="242">
        <f t="shared" si="201"/>
        <v>9</v>
      </c>
      <c r="D6445" s="242">
        <v>65.7</v>
      </c>
      <c r="E6445" s="845">
        <f t="shared" si="202"/>
        <v>18.722222222222225</v>
      </c>
    </row>
    <row r="6446" spans="2:5">
      <c r="B6446" s="1115">
        <v>45187</v>
      </c>
      <c r="C6446" s="242">
        <f t="shared" si="201"/>
        <v>9</v>
      </c>
      <c r="D6446" s="242">
        <v>64.599999999999994</v>
      </c>
      <c r="E6446" s="845">
        <f t="shared" si="202"/>
        <v>18.111111111111107</v>
      </c>
    </row>
    <row r="6447" spans="2:5">
      <c r="B6447" s="1115">
        <v>45187</v>
      </c>
      <c r="C6447" s="242">
        <f t="shared" si="201"/>
        <v>9</v>
      </c>
      <c r="D6447" s="242">
        <v>63.7</v>
      </c>
      <c r="E6447" s="845">
        <f t="shared" si="202"/>
        <v>17.611111111111111</v>
      </c>
    </row>
    <row r="6448" spans="2:5">
      <c r="B6448" s="1115">
        <v>45187</v>
      </c>
      <c r="C6448" s="242">
        <f t="shared" si="201"/>
        <v>9</v>
      </c>
      <c r="D6448" s="242">
        <v>63.3</v>
      </c>
      <c r="E6448" s="845">
        <f t="shared" si="202"/>
        <v>17.388888888888886</v>
      </c>
    </row>
    <row r="6449" spans="2:5">
      <c r="B6449" s="1115">
        <v>45187</v>
      </c>
      <c r="C6449" s="242">
        <f t="shared" si="201"/>
        <v>9</v>
      </c>
      <c r="D6449" s="242">
        <v>63.3</v>
      </c>
      <c r="E6449" s="845">
        <f t="shared" si="202"/>
        <v>17.388888888888886</v>
      </c>
    </row>
    <row r="6450" spans="2:5">
      <c r="B6450" s="1115">
        <v>45187</v>
      </c>
      <c r="C6450" s="242">
        <f t="shared" si="201"/>
        <v>9</v>
      </c>
      <c r="D6450" s="242">
        <v>63.5</v>
      </c>
      <c r="E6450" s="845">
        <f t="shared" si="202"/>
        <v>17.5</v>
      </c>
    </row>
    <row r="6451" spans="2:5">
      <c r="B6451" s="1115">
        <v>45187</v>
      </c>
      <c r="C6451" s="242">
        <f t="shared" si="201"/>
        <v>9</v>
      </c>
      <c r="D6451" s="242" t="s">
        <v>1852</v>
      </c>
      <c r="E6451" s="845">
        <f t="shared" si="202"/>
        <v>17.777777777777779</v>
      </c>
    </row>
    <row r="6452" spans="2:5">
      <c r="B6452" s="1115">
        <v>45187</v>
      </c>
      <c r="C6452" s="242">
        <f t="shared" si="201"/>
        <v>9</v>
      </c>
      <c r="D6452" s="242">
        <v>64.8</v>
      </c>
      <c r="E6452" s="845">
        <f t="shared" si="202"/>
        <v>18.222222222222221</v>
      </c>
    </row>
    <row r="6453" spans="2:5">
      <c r="B6453" s="1115">
        <v>45187</v>
      </c>
      <c r="C6453" s="242">
        <f t="shared" si="201"/>
        <v>9</v>
      </c>
      <c r="D6453" s="242">
        <v>65.8</v>
      </c>
      <c r="E6453" s="845">
        <f t="shared" si="202"/>
        <v>18.777777777777775</v>
      </c>
    </row>
    <row r="6454" spans="2:5">
      <c r="B6454" s="1115">
        <v>45187</v>
      </c>
      <c r="C6454" s="242">
        <f t="shared" si="201"/>
        <v>9</v>
      </c>
      <c r="D6454" s="242">
        <v>66.400000000000006</v>
      </c>
      <c r="E6454" s="845">
        <f t="shared" si="202"/>
        <v>19.111111111111114</v>
      </c>
    </row>
    <row r="6455" spans="2:5">
      <c r="B6455" s="1115">
        <v>45187</v>
      </c>
      <c r="C6455" s="242">
        <f t="shared" si="201"/>
        <v>9</v>
      </c>
      <c r="D6455" s="242">
        <v>66.599999999999994</v>
      </c>
      <c r="E6455" s="845">
        <f t="shared" si="202"/>
        <v>19.222222222222218</v>
      </c>
    </row>
    <row r="6456" spans="2:5">
      <c r="B6456" s="1115">
        <v>45187</v>
      </c>
      <c r="C6456" s="242">
        <f t="shared" si="201"/>
        <v>9</v>
      </c>
      <c r="D6456" s="242">
        <v>66.2</v>
      </c>
      <c r="E6456" s="845">
        <f t="shared" si="202"/>
        <v>19</v>
      </c>
    </row>
    <row r="6457" spans="2:5">
      <c r="B6457" s="1115">
        <v>45187</v>
      </c>
      <c r="C6457" s="242">
        <f t="shared" si="201"/>
        <v>9</v>
      </c>
      <c r="D6457" s="242">
        <v>64.8</v>
      </c>
      <c r="E6457" s="845">
        <f t="shared" si="202"/>
        <v>18.222222222222221</v>
      </c>
    </row>
    <row r="6458" spans="2:5">
      <c r="B6458" s="1115">
        <v>45187</v>
      </c>
      <c r="C6458" s="242">
        <f t="shared" si="201"/>
        <v>9</v>
      </c>
      <c r="D6458" s="242">
        <v>63.7</v>
      </c>
      <c r="E6458" s="845">
        <f t="shared" si="202"/>
        <v>17.611111111111111</v>
      </c>
    </row>
    <row r="6459" spans="2:5">
      <c r="B6459" s="1115">
        <v>45187</v>
      </c>
      <c r="C6459" s="242">
        <f t="shared" si="201"/>
        <v>9</v>
      </c>
      <c r="D6459" s="242">
        <v>63.1</v>
      </c>
      <c r="E6459" s="845">
        <f t="shared" si="202"/>
        <v>17.277777777777779</v>
      </c>
    </row>
    <row r="6460" spans="2:5">
      <c r="B6460" s="1115">
        <v>45187</v>
      </c>
      <c r="C6460" s="242">
        <f t="shared" si="201"/>
        <v>9</v>
      </c>
      <c r="D6460" s="242" t="s">
        <v>1851</v>
      </c>
      <c r="E6460" s="845">
        <f t="shared" si="202"/>
        <v>17.222222222222221</v>
      </c>
    </row>
    <row r="6461" spans="2:5">
      <c r="B6461" s="1115">
        <v>45187</v>
      </c>
      <c r="C6461" s="242">
        <f t="shared" si="201"/>
        <v>9</v>
      </c>
      <c r="D6461" s="242" t="s">
        <v>1851</v>
      </c>
      <c r="E6461" s="845">
        <f t="shared" si="202"/>
        <v>17.222222222222221</v>
      </c>
    </row>
    <row r="6462" spans="2:5">
      <c r="B6462" s="1115">
        <v>45187</v>
      </c>
      <c r="C6462" s="242">
        <f t="shared" si="201"/>
        <v>9</v>
      </c>
      <c r="D6462" s="242">
        <v>63.1</v>
      </c>
      <c r="E6462" s="845">
        <f t="shared" si="202"/>
        <v>17.277777777777779</v>
      </c>
    </row>
    <row r="6463" spans="2:5">
      <c r="B6463" s="1115">
        <v>45187</v>
      </c>
      <c r="C6463" s="242">
        <f t="shared" si="201"/>
        <v>9</v>
      </c>
      <c r="D6463" s="242">
        <v>63.3</v>
      </c>
      <c r="E6463" s="845">
        <f t="shared" si="202"/>
        <v>17.388888888888886</v>
      </c>
    </row>
    <row r="6464" spans="2:5">
      <c r="B6464" s="1115">
        <v>45187</v>
      </c>
      <c r="C6464" s="242">
        <f t="shared" si="201"/>
        <v>9</v>
      </c>
      <c r="D6464" s="242" t="s">
        <v>1852</v>
      </c>
      <c r="E6464" s="845">
        <f t="shared" si="202"/>
        <v>17.777777777777779</v>
      </c>
    </row>
    <row r="6465" spans="2:5">
      <c r="B6465" s="1115">
        <v>45188</v>
      </c>
      <c r="C6465" s="242">
        <f t="shared" si="201"/>
        <v>9</v>
      </c>
      <c r="D6465" s="242">
        <v>65.099999999999994</v>
      </c>
      <c r="E6465" s="845">
        <f t="shared" si="202"/>
        <v>18.388888888888886</v>
      </c>
    </row>
    <row r="6466" spans="2:5">
      <c r="B6466" s="1115">
        <v>45188</v>
      </c>
      <c r="C6466" s="242">
        <f t="shared" si="201"/>
        <v>9</v>
      </c>
      <c r="D6466" s="242">
        <v>65.7</v>
      </c>
      <c r="E6466" s="845">
        <f t="shared" si="202"/>
        <v>18.722222222222225</v>
      </c>
    </row>
    <row r="6467" spans="2:5">
      <c r="B6467" s="1115">
        <v>45188</v>
      </c>
      <c r="C6467" s="242">
        <f t="shared" si="201"/>
        <v>9</v>
      </c>
      <c r="D6467" s="242" t="s">
        <v>1853</v>
      </c>
      <c r="E6467" s="845">
        <f t="shared" si="202"/>
        <v>18.888888888888889</v>
      </c>
    </row>
    <row r="6468" spans="2:5">
      <c r="B6468" s="1115">
        <v>45188</v>
      </c>
      <c r="C6468" s="242">
        <f t="shared" si="201"/>
        <v>9</v>
      </c>
      <c r="D6468" s="242">
        <v>66.2</v>
      </c>
      <c r="E6468" s="845">
        <f t="shared" si="202"/>
        <v>19</v>
      </c>
    </row>
    <row r="6469" spans="2:5">
      <c r="B6469" s="1115">
        <v>45188</v>
      </c>
      <c r="C6469" s="242">
        <f t="shared" si="201"/>
        <v>9</v>
      </c>
      <c r="D6469" s="242">
        <v>65.099999999999994</v>
      </c>
      <c r="E6469" s="845">
        <f t="shared" si="202"/>
        <v>18.388888888888886</v>
      </c>
    </row>
    <row r="6470" spans="2:5">
      <c r="B6470" s="1115">
        <v>45188</v>
      </c>
      <c r="C6470" s="242">
        <f t="shared" si="201"/>
        <v>9</v>
      </c>
      <c r="D6470" s="242">
        <v>64.599999999999994</v>
      </c>
      <c r="E6470" s="845">
        <f t="shared" si="202"/>
        <v>18.111111111111107</v>
      </c>
    </row>
    <row r="6471" spans="2:5">
      <c r="B6471" s="1115">
        <v>45188</v>
      </c>
      <c r="C6471" s="242">
        <f t="shared" si="201"/>
        <v>9</v>
      </c>
      <c r="D6471" s="242" t="s">
        <v>1852</v>
      </c>
      <c r="E6471" s="845">
        <f t="shared" si="202"/>
        <v>17.777777777777779</v>
      </c>
    </row>
    <row r="6472" spans="2:5">
      <c r="B6472" s="1115">
        <v>45188</v>
      </c>
      <c r="C6472" s="242">
        <f t="shared" si="201"/>
        <v>9</v>
      </c>
      <c r="D6472" s="242">
        <v>63.7</v>
      </c>
      <c r="E6472" s="845">
        <f t="shared" si="202"/>
        <v>17.611111111111111</v>
      </c>
    </row>
    <row r="6473" spans="2:5">
      <c r="B6473" s="1115">
        <v>45188</v>
      </c>
      <c r="C6473" s="242">
        <f t="shared" si="201"/>
        <v>9</v>
      </c>
      <c r="D6473" s="242">
        <v>63.5</v>
      </c>
      <c r="E6473" s="845">
        <f t="shared" si="202"/>
        <v>17.5</v>
      </c>
    </row>
    <row r="6474" spans="2:5">
      <c r="B6474" s="1115">
        <v>45188</v>
      </c>
      <c r="C6474" s="242">
        <f t="shared" ref="C6474:C6537" si="203">MONTH(B6474)</f>
        <v>9</v>
      </c>
      <c r="D6474" s="242">
        <v>63.5</v>
      </c>
      <c r="E6474" s="845">
        <f t="shared" ref="E6474:E6537" si="204">CONVERT(D6474,"F","C")</f>
        <v>17.5</v>
      </c>
    </row>
    <row r="6475" spans="2:5">
      <c r="B6475" s="1115">
        <v>45188</v>
      </c>
      <c r="C6475" s="242">
        <f t="shared" si="203"/>
        <v>9</v>
      </c>
      <c r="D6475" s="242">
        <v>63.9</v>
      </c>
      <c r="E6475" s="845">
        <f t="shared" si="204"/>
        <v>17.722222222222221</v>
      </c>
    </row>
    <row r="6476" spans="2:5">
      <c r="B6476" s="1115">
        <v>45188</v>
      </c>
      <c r="C6476" s="242">
        <f t="shared" si="203"/>
        <v>9</v>
      </c>
      <c r="D6476" s="242">
        <v>64.2</v>
      </c>
      <c r="E6476" s="845">
        <f t="shared" si="204"/>
        <v>17.888888888888889</v>
      </c>
    </row>
    <row r="6477" spans="2:5">
      <c r="B6477" s="1115">
        <v>45188</v>
      </c>
      <c r="C6477" s="242">
        <f t="shared" si="203"/>
        <v>9</v>
      </c>
      <c r="D6477" s="242">
        <v>65.099999999999994</v>
      </c>
      <c r="E6477" s="845">
        <f t="shared" si="204"/>
        <v>18.388888888888886</v>
      </c>
    </row>
    <row r="6478" spans="2:5">
      <c r="B6478" s="1115">
        <v>45188</v>
      </c>
      <c r="C6478" s="242">
        <f t="shared" si="203"/>
        <v>9</v>
      </c>
      <c r="D6478" s="242">
        <v>65.5</v>
      </c>
      <c r="E6478" s="845">
        <f t="shared" si="204"/>
        <v>18.611111111111111</v>
      </c>
    </row>
    <row r="6479" spans="2:5">
      <c r="B6479" s="1115">
        <v>45188</v>
      </c>
      <c r="C6479" s="242">
        <f t="shared" si="203"/>
        <v>9</v>
      </c>
      <c r="D6479" s="242">
        <v>65.8</v>
      </c>
      <c r="E6479" s="845">
        <f t="shared" si="204"/>
        <v>18.777777777777775</v>
      </c>
    </row>
    <row r="6480" spans="2:5">
      <c r="B6480" s="1115">
        <v>45188</v>
      </c>
      <c r="C6480" s="242">
        <f t="shared" si="203"/>
        <v>9</v>
      </c>
      <c r="D6480" s="242" t="s">
        <v>1853</v>
      </c>
      <c r="E6480" s="845">
        <f t="shared" si="204"/>
        <v>18.888888888888889</v>
      </c>
    </row>
    <row r="6481" spans="2:5">
      <c r="B6481" s="1115">
        <v>45188</v>
      </c>
      <c r="C6481" s="242">
        <f t="shared" si="203"/>
        <v>9</v>
      </c>
      <c r="D6481" s="242">
        <v>65.7</v>
      </c>
      <c r="E6481" s="845">
        <f t="shared" si="204"/>
        <v>18.722222222222225</v>
      </c>
    </row>
    <row r="6482" spans="2:5">
      <c r="B6482" s="1115">
        <v>45188</v>
      </c>
      <c r="C6482" s="242">
        <f t="shared" si="203"/>
        <v>9</v>
      </c>
      <c r="D6482" s="242">
        <v>64.900000000000006</v>
      </c>
      <c r="E6482" s="845">
        <f t="shared" si="204"/>
        <v>18.277777777777782</v>
      </c>
    </row>
    <row r="6483" spans="2:5">
      <c r="B6483" s="1115">
        <v>45188</v>
      </c>
      <c r="C6483" s="242">
        <f t="shared" si="203"/>
        <v>9</v>
      </c>
      <c r="D6483" s="242">
        <v>64.400000000000006</v>
      </c>
      <c r="E6483" s="845">
        <f t="shared" si="204"/>
        <v>18.000000000000004</v>
      </c>
    </row>
    <row r="6484" spans="2:5">
      <c r="B6484" s="1115">
        <v>45188</v>
      </c>
      <c r="C6484" s="242">
        <f t="shared" si="203"/>
        <v>9</v>
      </c>
      <c r="D6484" s="242">
        <v>63.7</v>
      </c>
      <c r="E6484" s="845">
        <f t="shared" si="204"/>
        <v>17.611111111111111</v>
      </c>
    </row>
    <row r="6485" spans="2:5">
      <c r="B6485" s="1115">
        <v>45188</v>
      </c>
      <c r="C6485" s="242">
        <f t="shared" si="203"/>
        <v>9</v>
      </c>
      <c r="D6485" s="242">
        <v>63.5</v>
      </c>
      <c r="E6485" s="845">
        <f t="shared" si="204"/>
        <v>17.5</v>
      </c>
    </row>
    <row r="6486" spans="2:5">
      <c r="B6486" s="1115">
        <v>45188</v>
      </c>
      <c r="C6486" s="242">
        <f t="shared" si="203"/>
        <v>9</v>
      </c>
      <c r="D6486" s="242">
        <v>63.7</v>
      </c>
      <c r="E6486" s="845">
        <f t="shared" si="204"/>
        <v>17.611111111111111</v>
      </c>
    </row>
    <row r="6487" spans="2:5">
      <c r="B6487" s="1115">
        <v>45188</v>
      </c>
      <c r="C6487" s="242">
        <f t="shared" si="203"/>
        <v>9</v>
      </c>
      <c r="D6487" s="242">
        <v>63.7</v>
      </c>
      <c r="E6487" s="845">
        <f t="shared" si="204"/>
        <v>17.611111111111111</v>
      </c>
    </row>
    <row r="6488" spans="2:5">
      <c r="B6488" s="1115">
        <v>45188</v>
      </c>
      <c r="C6488" s="242">
        <f t="shared" si="203"/>
        <v>9</v>
      </c>
      <c r="D6488" s="242">
        <v>64.400000000000006</v>
      </c>
      <c r="E6488" s="845">
        <f t="shared" si="204"/>
        <v>18.000000000000004</v>
      </c>
    </row>
    <row r="6489" spans="2:5">
      <c r="B6489" s="1115">
        <v>45189</v>
      </c>
      <c r="C6489" s="242">
        <f t="shared" si="203"/>
        <v>9</v>
      </c>
      <c r="D6489" s="242">
        <v>65.3</v>
      </c>
      <c r="E6489" s="845">
        <f t="shared" si="204"/>
        <v>18.499999999999996</v>
      </c>
    </row>
    <row r="6490" spans="2:5">
      <c r="B6490" s="1115">
        <v>45189</v>
      </c>
      <c r="C6490" s="242">
        <f t="shared" si="203"/>
        <v>9</v>
      </c>
      <c r="D6490" s="242">
        <v>65.8</v>
      </c>
      <c r="E6490" s="845">
        <f t="shared" si="204"/>
        <v>18.777777777777775</v>
      </c>
    </row>
    <row r="6491" spans="2:5">
      <c r="B6491" s="1115">
        <v>45189</v>
      </c>
      <c r="C6491" s="242">
        <f t="shared" si="203"/>
        <v>9</v>
      </c>
      <c r="D6491" s="242">
        <v>66.2</v>
      </c>
      <c r="E6491" s="845">
        <f t="shared" si="204"/>
        <v>19</v>
      </c>
    </row>
    <row r="6492" spans="2:5">
      <c r="B6492" s="1115">
        <v>45189</v>
      </c>
      <c r="C6492" s="242">
        <f t="shared" si="203"/>
        <v>9</v>
      </c>
      <c r="D6492" s="242">
        <v>66.2</v>
      </c>
      <c r="E6492" s="845">
        <f t="shared" si="204"/>
        <v>19</v>
      </c>
    </row>
    <row r="6493" spans="2:5">
      <c r="B6493" s="1115">
        <v>45189</v>
      </c>
      <c r="C6493" s="242">
        <f t="shared" si="203"/>
        <v>9</v>
      </c>
      <c r="D6493" s="242">
        <v>66.2</v>
      </c>
      <c r="E6493" s="845">
        <f t="shared" si="204"/>
        <v>19</v>
      </c>
    </row>
    <row r="6494" spans="2:5">
      <c r="B6494" s="1115">
        <v>45189</v>
      </c>
      <c r="C6494" s="242">
        <f t="shared" si="203"/>
        <v>9</v>
      </c>
      <c r="D6494" s="242">
        <v>65.5</v>
      </c>
      <c r="E6494" s="845">
        <f t="shared" si="204"/>
        <v>18.611111111111111</v>
      </c>
    </row>
    <row r="6495" spans="2:5">
      <c r="B6495" s="1115">
        <v>45189</v>
      </c>
      <c r="C6495" s="242">
        <f t="shared" si="203"/>
        <v>9</v>
      </c>
      <c r="D6495" s="242">
        <v>63.3</v>
      </c>
      <c r="E6495" s="845">
        <f t="shared" si="204"/>
        <v>17.388888888888886</v>
      </c>
    </row>
    <row r="6496" spans="2:5">
      <c r="B6496" s="1115">
        <v>45189</v>
      </c>
      <c r="C6496" s="242">
        <f t="shared" si="203"/>
        <v>9</v>
      </c>
      <c r="D6496" s="242">
        <v>62.8</v>
      </c>
      <c r="E6496" s="845">
        <f t="shared" si="204"/>
        <v>17.111111111111111</v>
      </c>
    </row>
    <row r="6497" spans="2:5">
      <c r="B6497" s="1115">
        <v>45189</v>
      </c>
      <c r="C6497" s="242">
        <f t="shared" si="203"/>
        <v>9</v>
      </c>
      <c r="D6497" s="242">
        <v>61.9</v>
      </c>
      <c r="E6497" s="845">
        <f t="shared" si="204"/>
        <v>16.611111111111111</v>
      </c>
    </row>
    <row r="6498" spans="2:5">
      <c r="B6498" s="1115">
        <v>45189</v>
      </c>
      <c r="C6498" s="242">
        <f t="shared" si="203"/>
        <v>9</v>
      </c>
      <c r="D6498" s="242">
        <v>61.7</v>
      </c>
      <c r="E6498" s="845">
        <f t="shared" si="204"/>
        <v>16.5</v>
      </c>
    </row>
    <row r="6499" spans="2:5">
      <c r="B6499" s="1115">
        <v>45189</v>
      </c>
      <c r="C6499" s="242">
        <f t="shared" si="203"/>
        <v>9</v>
      </c>
      <c r="D6499" s="242">
        <v>62.1</v>
      </c>
      <c r="E6499" s="845">
        <f t="shared" si="204"/>
        <v>16.722222222222221</v>
      </c>
    </row>
    <row r="6500" spans="2:5">
      <c r="B6500" s="1115">
        <v>45189</v>
      </c>
      <c r="C6500" s="242">
        <f t="shared" si="203"/>
        <v>9</v>
      </c>
      <c r="D6500" s="242">
        <v>62.8</v>
      </c>
      <c r="E6500" s="845">
        <f t="shared" si="204"/>
        <v>17.111111111111111</v>
      </c>
    </row>
    <row r="6501" spans="2:5">
      <c r="B6501" s="1115">
        <v>45189</v>
      </c>
      <c r="C6501" s="242">
        <f t="shared" si="203"/>
        <v>9</v>
      </c>
      <c r="D6501" s="242" t="s">
        <v>1852</v>
      </c>
      <c r="E6501" s="845">
        <f t="shared" si="204"/>
        <v>17.777777777777779</v>
      </c>
    </row>
    <row r="6502" spans="2:5">
      <c r="B6502" s="1115">
        <v>45189</v>
      </c>
      <c r="C6502" s="242">
        <f t="shared" si="203"/>
        <v>9</v>
      </c>
      <c r="D6502" s="242">
        <v>64.900000000000006</v>
      </c>
      <c r="E6502" s="845">
        <f t="shared" si="204"/>
        <v>18.277777777777782</v>
      </c>
    </row>
    <row r="6503" spans="2:5">
      <c r="B6503" s="1115">
        <v>45189</v>
      </c>
      <c r="C6503" s="242">
        <f t="shared" si="203"/>
        <v>9</v>
      </c>
      <c r="D6503" s="242">
        <v>65.5</v>
      </c>
      <c r="E6503" s="845">
        <f t="shared" si="204"/>
        <v>18.611111111111111</v>
      </c>
    </row>
    <row r="6504" spans="2:5">
      <c r="B6504" s="1115">
        <v>45189</v>
      </c>
      <c r="C6504" s="242">
        <f t="shared" si="203"/>
        <v>9</v>
      </c>
      <c r="D6504" s="242">
        <v>65.8</v>
      </c>
      <c r="E6504" s="845">
        <f t="shared" si="204"/>
        <v>18.777777777777775</v>
      </c>
    </row>
    <row r="6505" spans="2:5">
      <c r="B6505" s="1115">
        <v>45189</v>
      </c>
      <c r="C6505" s="242">
        <f t="shared" si="203"/>
        <v>9</v>
      </c>
      <c r="D6505" s="242">
        <v>65.5</v>
      </c>
      <c r="E6505" s="845">
        <f t="shared" si="204"/>
        <v>18.611111111111111</v>
      </c>
    </row>
    <row r="6506" spans="2:5">
      <c r="B6506" s="1115">
        <v>45189</v>
      </c>
      <c r="C6506" s="242">
        <f t="shared" si="203"/>
        <v>9</v>
      </c>
      <c r="D6506" s="242">
        <v>63.9</v>
      </c>
      <c r="E6506" s="845">
        <f t="shared" si="204"/>
        <v>17.722222222222221</v>
      </c>
    </row>
    <row r="6507" spans="2:5">
      <c r="B6507" s="1115">
        <v>45189</v>
      </c>
      <c r="C6507" s="242">
        <f t="shared" si="203"/>
        <v>9</v>
      </c>
      <c r="D6507" s="242" t="s">
        <v>1851</v>
      </c>
      <c r="E6507" s="845">
        <f t="shared" si="204"/>
        <v>17.222222222222221</v>
      </c>
    </row>
    <row r="6508" spans="2:5">
      <c r="B6508" s="1115">
        <v>45189</v>
      </c>
      <c r="C6508" s="242">
        <f t="shared" si="203"/>
        <v>9</v>
      </c>
      <c r="D6508" s="242">
        <v>62.4</v>
      </c>
      <c r="E6508" s="845">
        <f t="shared" si="204"/>
        <v>16.888888888888889</v>
      </c>
    </row>
    <row r="6509" spans="2:5">
      <c r="B6509" s="1115">
        <v>45189</v>
      </c>
      <c r="C6509" s="242">
        <f t="shared" si="203"/>
        <v>9</v>
      </c>
      <c r="D6509" s="242">
        <v>61.9</v>
      </c>
      <c r="E6509" s="845">
        <f t="shared" si="204"/>
        <v>16.611111111111111</v>
      </c>
    </row>
    <row r="6510" spans="2:5">
      <c r="B6510" s="1115">
        <v>45189</v>
      </c>
      <c r="C6510" s="242">
        <f t="shared" si="203"/>
        <v>9</v>
      </c>
      <c r="D6510" s="242" t="s">
        <v>1850</v>
      </c>
      <c r="E6510" s="845">
        <f t="shared" si="204"/>
        <v>16.111111111111111</v>
      </c>
    </row>
    <row r="6511" spans="2:5">
      <c r="B6511" s="1115">
        <v>45189</v>
      </c>
      <c r="C6511" s="242">
        <f t="shared" si="203"/>
        <v>9</v>
      </c>
      <c r="D6511" s="242">
        <v>61.7</v>
      </c>
      <c r="E6511" s="845">
        <f t="shared" si="204"/>
        <v>16.5</v>
      </c>
    </row>
    <row r="6512" spans="2:5">
      <c r="B6512" s="1115">
        <v>45189</v>
      </c>
      <c r="C6512" s="242">
        <f t="shared" si="203"/>
        <v>9</v>
      </c>
      <c r="D6512" s="242">
        <v>61.7</v>
      </c>
      <c r="E6512" s="845">
        <f t="shared" si="204"/>
        <v>16.5</v>
      </c>
    </row>
    <row r="6513" spans="2:5">
      <c r="B6513" s="1115">
        <v>45190</v>
      </c>
      <c r="C6513" s="242">
        <f t="shared" si="203"/>
        <v>9</v>
      </c>
      <c r="D6513" s="242">
        <v>62.8</v>
      </c>
      <c r="E6513" s="845">
        <f t="shared" si="204"/>
        <v>17.111111111111111</v>
      </c>
    </row>
    <row r="6514" spans="2:5">
      <c r="B6514" s="1115">
        <v>45190</v>
      </c>
      <c r="C6514" s="242">
        <f t="shared" si="203"/>
        <v>9</v>
      </c>
      <c r="D6514" s="242">
        <v>64.2</v>
      </c>
      <c r="E6514" s="845">
        <f t="shared" si="204"/>
        <v>17.888888888888889</v>
      </c>
    </row>
    <row r="6515" spans="2:5">
      <c r="B6515" s="1115">
        <v>45190</v>
      </c>
      <c r="C6515" s="242">
        <f t="shared" si="203"/>
        <v>9</v>
      </c>
      <c r="D6515" s="242">
        <v>64.900000000000006</v>
      </c>
      <c r="E6515" s="845">
        <f t="shared" si="204"/>
        <v>18.277777777777782</v>
      </c>
    </row>
    <row r="6516" spans="2:5">
      <c r="B6516" s="1115">
        <v>45190</v>
      </c>
      <c r="C6516" s="242">
        <f t="shared" si="203"/>
        <v>9</v>
      </c>
      <c r="D6516" s="242">
        <v>65.5</v>
      </c>
      <c r="E6516" s="845">
        <f t="shared" si="204"/>
        <v>18.611111111111111</v>
      </c>
    </row>
    <row r="6517" spans="2:5">
      <c r="B6517" s="1115">
        <v>45190</v>
      </c>
      <c r="C6517" s="242">
        <f t="shared" si="203"/>
        <v>9</v>
      </c>
      <c r="D6517" s="242">
        <v>65.7</v>
      </c>
      <c r="E6517" s="845">
        <f t="shared" si="204"/>
        <v>18.722222222222225</v>
      </c>
    </row>
    <row r="6518" spans="2:5">
      <c r="B6518" s="1115">
        <v>45190</v>
      </c>
      <c r="C6518" s="242">
        <f t="shared" si="203"/>
        <v>9</v>
      </c>
      <c r="D6518" s="242">
        <v>65.099999999999994</v>
      </c>
      <c r="E6518" s="845">
        <f t="shared" si="204"/>
        <v>18.388888888888886</v>
      </c>
    </row>
    <row r="6519" spans="2:5">
      <c r="B6519" s="1115">
        <v>45190</v>
      </c>
      <c r="C6519" s="242">
        <f t="shared" si="203"/>
        <v>9</v>
      </c>
      <c r="D6519" s="242" t="s">
        <v>1851</v>
      </c>
      <c r="E6519" s="845">
        <f t="shared" si="204"/>
        <v>17.222222222222221</v>
      </c>
    </row>
    <row r="6520" spans="2:5">
      <c r="B6520" s="1115">
        <v>45190</v>
      </c>
      <c r="C6520" s="242">
        <f t="shared" si="203"/>
        <v>9</v>
      </c>
      <c r="D6520" s="242">
        <v>61.9</v>
      </c>
      <c r="E6520" s="845">
        <f t="shared" si="204"/>
        <v>16.611111111111111</v>
      </c>
    </row>
    <row r="6521" spans="2:5">
      <c r="B6521" s="1115">
        <v>45190</v>
      </c>
      <c r="C6521" s="242">
        <f t="shared" si="203"/>
        <v>9</v>
      </c>
      <c r="D6521" s="242">
        <v>61.5</v>
      </c>
      <c r="E6521" s="845">
        <f t="shared" si="204"/>
        <v>16.388888888888889</v>
      </c>
    </row>
    <row r="6522" spans="2:5">
      <c r="B6522" s="1115">
        <v>45190</v>
      </c>
      <c r="C6522" s="242">
        <f t="shared" si="203"/>
        <v>9</v>
      </c>
      <c r="D6522" s="242" t="s">
        <v>1850</v>
      </c>
      <c r="E6522" s="845">
        <f t="shared" si="204"/>
        <v>16.111111111111111</v>
      </c>
    </row>
    <row r="6523" spans="2:5">
      <c r="B6523" s="1115">
        <v>45190</v>
      </c>
      <c r="C6523" s="242">
        <f t="shared" si="203"/>
        <v>9</v>
      </c>
      <c r="D6523" s="242">
        <v>61.5</v>
      </c>
      <c r="E6523" s="845">
        <f t="shared" si="204"/>
        <v>16.388888888888889</v>
      </c>
    </row>
    <row r="6524" spans="2:5">
      <c r="B6524" s="1115">
        <v>45190</v>
      </c>
      <c r="C6524" s="242">
        <f t="shared" si="203"/>
        <v>9</v>
      </c>
      <c r="D6524" s="242">
        <v>61.5</v>
      </c>
      <c r="E6524" s="845">
        <f t="shared" si="204"/>
        <v>16.388888888888889</v>
      </c>
    </row>
    <row r="6525" spans="2:5">
      <c r="B6525" s="1115">
        <v>45190</v>
      </c>
      <c r="C6525" s="242">
        <f t="shared" si="203"/>
        <v>9</v>
      </c>
      <c r="D6525" s="242">
        <v>62.2</v>
      </c>
      <c r="E6525" s="845">
        <f t="shared" si="204"/>
        <v>16.777777777777779</v>
      </c>
    </row>
    <row r="6526" spans="2:5">
      <c r="B6526" s="1115">
        <v>45190</v>
      </c>
      <c r="C6526" s="242">
        <f t="shared" si="203"/>
        <v>9</v>
      </c>
      <c r="D6526" s="242">
        <v>63.1</v>
      </c>
      <c r="E6526" s="845">
        <f t="shared" si="204"/>
        <v>17.277777777777779</v>
      </c>
    </row>
    <row r="6527" spans="2:5">
      <c r="B6527" s="1115">
        <v>45190</v>
      </c>
      <c r="C6527" s="242">
        <f t="shared" si="203"/>
        <v>9</v>
      </c>
      <c r="D6527" s="242">
        <v>64.2</v>
      </c>
      <c r="E6527" s="845">
        <f t="shared" si="204"/>
        <v>17.888888888888889</v>
      </c>
    </row>
    <row r="6528" spans="2:5">
      <c r="B6528" s="1115">
        <v>45190</v>
      </c>
      <c r="C6528" s="242">
        <f t="shared" si="203"/>
        <v>9</v>
      </c>
      <c r="D6528" s="242">
        <v>64.900000000000006</v>
      </c>
      <c r="E6528" s="845">
        <f t="shared" si="204"/>
        <v>18.277777777777782</v>
      </c>
    </row>
    <row r="6529" spans="2:5">
      <c r="B6529" s="1115">
        <v>45190</v>
      </c>
      <c r="C6529" s="242">
        <f t="shared" si="203"/>
        <v>9</v>
      </c>
      <c r="D6529" s="242">
        <v>65.099999999999994</v>
      </c>
      <c r="E6529" s="845">
        <f t="shared" si="204"/>
        <v>18.388888888888886</v>
      </c>
    </row>
    <row r="6530" spans="2:5">
      <c r="B6530" s="1115">
        <v>45190</v>
      </c>
      <c r="C6530" s="242">
        <f t="shared" si="203"/>
        <v>9</v>
      </c>
      <c r="D6530" s="242">
        <v>64.400000000000006</v>
      </c>
      <c r="E6530" s="845">
        <f t="shared" si="204"/>
        <v>18.000000000000004</v>
      </c>
    </row>
    <row r="6531" spans="2:5">
      <c r="B6531" s="1115">
        <v>45190</v>
      </c>
      <c r="C6531" s="242">
        <f t="shared" si="203"/>
        <v>9</v>
      </c>
      <c r="D6531" s="242">
        <v>62.4</v>
      </c>
      <c r="E6531" s="845">
        <f t="shared" si="204"/>
        <v>16.888888888888889</v>
      </c>
    </row>
    <row r="6532" spans="2:5">
      <c r="B6532" s="1115">
        <v>45190</v>
      </c>
      <c r="C6532" s="242">
        <f t="shared" si="203"/>
        <v>9</v>
      </c>
      <c r="D6532" s="242">
        <v>62.2</v>
      </c>
      <c r="E6532" s="845">
        <f t="shared" si="204"/>
        <v>16.777777777777779</v>
      </c>
    </row>
    <row r="6533" spans="2:5">
      <c r="B6533" s="1115">
        <v>45190</v>
      </c>
      <c r="C6533" s="242">
        <f t="shared" si="203"/>
        <v>9</v>
      </c>
      <c r="D6533" s="242">
        <v>61.7</v>
      </c>
      <c r="E6533" s="845">
        <f t="shared" si="204"/>
        <v>16.5</v>
      </c>
    </row>
    <row r="6534" spans="2:5">
      <c r="B6534" s="1115">
        <v>45190</v>
      </c>
      <c r="C6534" s="242">
        <f t="shared" si="203"/>
        <v>9</v>
      </c>
      <c r="D6534" s="242">
        <v>61.3</v>
      </c>
      <c r="E6534" s="845">
        <f t="shared" si="204"/>
        <v>16.277777777777775</v>
      </c>
    </row>
    <row r="6535" spans="2:5">
      <c r="B6535" s="1115">
        <v>45190</v>
      </c>
      <c r="C6535" s="242">
        <f t="shared" si="203"/>
        <v>9</v>
      </c>
      <c r="D6535" s="242">
        <v>61.3</v>
      </c>
      <c r="E6535" s="845">
        <f t="shared" si="204"/>
        <v>16.277777777777775</v>
      </c>
    </row>
    <row r="6536" spans="2:5">
      <c r="B6536" s="1115">
        <v>45190</v>
      </c>
      <c r="C6536" s="242">
        <f t="shared" si="203"/>
        <v>9</v>
      </c>
      <c r="D6536" s="242">
        <v>61.3</v>
      </c>
      <c r="E6536" s="845">
        <f t="shared" si="204"/>
        <v>16.277777777777775</v>
      </c>
    </row>
    <row r="6537" spans="2:5">
      <c r="B6537" s="1115">
        <v>45191</v>
      </c>
      <c r="C6537" s="242">
        <f t="shared" si="203"/>
        <v>9</v>
      </c>
      <c r="D6537" s="242">
        <v>61.7</v>
      </c>
      <c r="E6537" s="845">
        <f t="shared" si="204"/>
        <v>16.5</v>
      </c>
    </row>
    <row r="6538" spans="2:5">
      <c r="B6538" s="1115">
        <v>45191</v>
      </c>
      <c r="C6538" s="242">
        <f t="shared" ref="C6538:C6601" si="205">MONTH(B6538)</f>
        <v>9</v>
      </c>
      <c r="D6538" s="242">
        <v>62.8</v>
      </c>
      <c r="E6538" s="845">
        <f t="shared" ref="E6538:E6601" si="206">CONVERT(D6538,"F","C")</f>
        <v>17.111111111111111</v>
      </c>
    </row>
    <row r="6539" spans="2:5">
      <c r="B6539" s="1115">
        <v>45191</v>
      </c>
      <c r="C6539" s="242">
        <f t="shared" si="205"/>
        <v>9</v>
      </c>
      <c r="D6539" s="242">
        <v>63.9</v>
      </c>
      <c r="E6539" s="845">
        <f t="shared" si="206"/>
        <v>17.722222222222221</v>
      </c>
    </row>
    <row r="6540" spans="2:5">
      <c r="B6540" s="1115">
        <v>45191</v>
      </c>
      <c r="C6540" s="242">
        <f t="shared" si="205"/>
        <v>9</v>
      </c>
      <c r="D6540" s="242">
        <v>64.599999999999994</v>
      </c>
      <c r="E6540" s="845">
        <f t="shared" si="206"/>
        <v>18.111111111111107</v>
      </c>
    </row>
    <row r="6541" spans="2:5">
      <c r="B6541" s="1115">
        <v>45191</v>
      </c>
      <c r="C6541" s="242">
        <f t="shared" si="205"/>
        <v>9</v>
      </c>
      <c r="D6541" s="242">
        <v>64.900000000000006</v>
      </c>
      <c r="E6541" s="845">
        <f t="shared" si="206"/>
        <v>18.277777777777782</v>
      </c>
    </row>
    <row r="6542" spans="2:5">
      <c r="B6542" s="1115">
        <v>45191</v>
      </c>
      <c r="C6542" s="242">
        <f t="shared" si="205"/>
        <v>9</v>
      </c>
      <c r="D6542" s="242">
        <v>65.099999999999994</v>
      </c>
      <c r="E6542" s="845">
        <f t="shared" si="206"/>
        <v>18.388888888888886</v>
      </c>
    </row>
    <row r="6543" spans="2:5">
      <c r="B6543" s="1115">
        <v>45191</v>
      </c>
      <c r="C6543" s="242">
        <f t="shared" si="205"/>
        <v>9</v>
      </c>
      <c r="D6543" s="242">
        <v>64.8</v>
      </c>
      <c r="E6543" s="845">
        <f t="shared" si="206"/>
        <v>18.222222222222221</v>
      </c>
    </row>
    <row r="6544" spans="2:5">
      <c r="B6544" s="1115">
        <v>45191</v>
      </c>
      <c r="C6544" s="242">
        <f t="shared" si="205"/>
        <v>9</v>
      </c>
      <c r="D6544" s="242">
        <v>62.6</v>
      </c>
      <c r="E6544" s="845">
        <f t="shared" si="206"/>
        <v>17</v>
      </c>
    </row>
    <row r="6545" spans="2:5">
      <c r="B6545" s="1115">
        <v>45191</v>
      </c>
      <c r="C6545" s="242">
        <f t="shared" si="205"/>
        <v>9</v>
      </c>
      <c r="D6545" s="242">
        <v>61.9</v>
      </c>
      <c r="E6545" s="845">
        <f t="shared" si="206"/>
        <v>16.611111111111111</v>
      </c>
    </row>
    <row r="6546" spans="2:5">
      <c r="B6546" s="1115">
        <v>45191</v>
      </c>
      <c r="C6546" s="242">
        <f t="shared" si="205"/>
        <v>9</v>
      </c>
      <c r="D6546" s="242" t="s">
        <v>1850</v>
      </c>
      <c r="E6546" s="845">
        <f t="shared" si="206"/>
        <v>16.111111111111111</v>
      </c>
    </row>
    <row r="6547" spans="2:5">
      <c r="B6547" s="1115">
        <v>45191</v>
      </c>
      <c r="C6547" s="242">
        <f t="shared" si="205"/>
        <v>9</v>
      </c>
      <c r="D6547" s="242">
        <v>60.6</v>
      </c>
      <c r="E6547" s="845">
        <f t="shared" si="206"/>
        <v>15.888888888888889</v>
      </c>
    </row>
    <row r="6548" spans="2:5">
      <c r="B6548" s="1115">
        <v>45191</v>
      </c>
      <c r="C6548" s="242">
        <f t="shared" si="205"/>
        <v>9</v>
      </c>
      <c r="D6548" s="242">
        <v>61.3</v>
      </c>
      <c r="E6548" s="845">
        <f t="shared" si="206"/>
        <v>16.277777777777775</v>
      </c>
    </row>
    <row r="6549" spans="2:5">
      <c r="B6549" s="1115">
        <v>45191</v>
      </c>
      <c r="C6549" s="242">
        <f t="shared" si="205"/>
        <v>9</v>
      </c>
      <c r="D6549" s="242">
        <v>61.2</v>
      </c>
      <c r="E6549" s="845">
        <f t="shared" si="206"/>
        <v>16.222222222222225</v>
      </c>
    </row>
    <row r="6550" spans="2:5">
      <c r="B6550" s="1115">
        <v>45191</v>
      </c>
      <c r="C6550" s="242">
        <f t="shared" si="205"/>
        <v>9</v>
      </c>
      <c r="D6550" s="242">
        <v>61.9</v>
      </c>
      <c r="E6550" s="845">
        <f t="shared" si="206"/>
        <v>16.611111111111111</v>
      </c>
    </row>
    <row r="6551" spans="2:5">
      <c r="B6551" s="1115">
        <v>45191</v>
      </c>
      <c r="C6551" s="242">
        <f t="shared" si="205"/>
        <v>9</v>
      </c>
      <c r="D6551" s="242" t="s">
        <v>1851</v>
      </c>
      <c r="E6551" s="845">
        <f t="shared" si="206"/>
        <v>17.222222222222221</v>
      </c>
    </row>
    <row r="6552" spans="2:5">
      <c r="B6552" s="1115">
        <v>45191</v>
      </c>
      <c r="C6552" s="242">
        <f t="shared" si="205"/>
        <v>9</v>
      </c>
      <c r="D6552" s="242" t="s">
        <v>1852</v>
      </c>
      <c r="E6552" s="845">
        <f t="shared" si="206"/>
        <v>17.777777777777779</v>
      </c>
    </row>
    <row r="6553" spans="2:5">
      <c r="B6553" s="1115">
        <v>45191</v>
      </c>
      <c r="C6553" s="242">
        <f t="shared" si="205"/>
        <v>9</v>
      </c>
      <c r="D6553" s="242">
        <v>64.599999999999994</v>
      </c>
      <c r="E6553" s="845">
        <f t="shared" si="206"/>
        <v>18.111111111111107</v>
      </c>
    </row>
    <row r="6554" spans="2:5">
      <c r="B6554" s="1115">
        <v>45191</v>
      </c>
      <c r="C6554" s="242">
        <f t="shared" si="205"/>
        <v>9</v>
      </c>
      <c r="D6554" s="242">
        <v>64.8</v>
      </c>
      <c r="E6554" s="845">
        <f t="shared" si="206"/>
        <v>18.222222222222221</v>
      </c>
    </row>
    <row r="6555" spans="2:5">
      <c r="B6555" s="1115">
        <v>45191</v>
      </c>
      <c r="C6555" s="242">
        <f t="shared" si="205"/>
        <v>9</v>
      </c>
      <c r="D6555" s="242">
        <v>64.2</v>
      </c>
      <c r="E6555" s="845">
        <f t="shared" si="206"/>
        <v>17.888888888888889</v>
      </c>
    </row>
    <row r="6556" spans="2:5">
      <c r="B6556" s="1115">
        <v>45191</v>
      </c>
      <c r="C6556" s="242">
        <f t="shared" si="205"/>
        <v>9</v>
      </c>
      <c r="D6556" s="242">
        <v>62.2</v>
      </c>
      <c r="E6556" s="845">
        <f t="shared" si="206"/>
        <v>16.777777777777779</v>
      </c>
    </row>
    <row r="6557" spans="2:5">
      <c r="B6557" s="1115">
        <v>45191</v>
      </c>
      <c r="C6557" s="242">
        <f t="shared" si="205"/>
        <v>9</v>
      </c>
      <c r="D6557" s="242">
        <v>62.2</v>
      </c>
      <c r="E6557" s="845">
        <f t="shared" si="206"/>
        <v>16.777777777777779</v>
      </c>
    </row>
    <row r="6558" spans="2:5">
      <c r="B6558" s="1115">
        <v>45191</v>
      </c>
      <c r="C6558" s="242">
        <f t="shared" si="205"/>
        <v>9</v>
      </c>
      <c r="D6558" s="242">
        <v>62.1</v>
      </c>
      <c r="E6558" s="845">
        <f t="shared" si="206"/>
        <v>16.722222222222221</v>
      </c>
    </row>
    <row r="6559" spans="2:5">
      <c r="B6559" s="1115">
        <v>45191</v>
      </c>
      <c r="C6559" s="242">
        <f t="shared" si="205"/>
        <v>9</v>
      </c>
      <c r="D6559" s="242">
        <v>61.3</v>
      </c>
      <c r="E6559" s="845">
        <f t="shared" si="206"/>
        <v>16.277777777777775</v>
      </c>
    </row>
    <row r="6560" spans="2:5">
      <c r="B6560" s="1115">
        <v>45191</v>
      </c>
      <c r="C6560" s="242">
        <f t="shared" si="205"/>
        <v>9</v>
      </c>
      <c r="D6560" s="242">
        <v>61.5</v>
      </c>
      <c r="E6560" s="845">
        <f t="shared" si="206"/>
        <v>16.388888888888889</v>
      </c>
    </row>
    <row r="6561" spans="2:5">
      <c r="B6561" s="1115">
        <v>45192</v>
      </c>
      <c r="C6561" s="242">
        <f t="shared" si="205"/>
        <v>9</v>
      </c>
      <c r="D6561" s="242">
        <v>61.7</v>
      </c>
      <c r="E6561" s="845">
        <f t="shared" si="206"/>
        <v>16.5</v>
      </c>
    </row>
    <row r="6562" spans="2:5">
      <c r="B6562" s="1115">
        <v>45192</v>
      </c>
      <c r="C6562" s="242">
        <f t="shared" si="205"/>
        <v>9</v>
      </c>
      <c r="D6562" s="242">
        <v>62.1</v>
      </c>
      <c r="E6562" s="845">
        <f t="shared" si="206"/>
        <v>16.722222222222221</v>
      </c>
    </row>
    <row r="6563" spans="2:5">
      <c r="B6563" s="1115">
        <v>45192</v>
      </c>
      <c r="C6563" s="242">
        <f t="shared" si="205"/>
        <v>9</v>
      </c>
      <c r="D6563" s="242">
        <v>62.8</v>
      </c>
      <c r="E6563" s="845">
        <f t="shared" si="206"/>
        <v>17.111111111111111</v>
      </c>
    </row>
    <row r="6564" spans="2:5">
      <c r="B6564" s="1115">
        <v>45192</v>
      </c>
      <c r="C6564" s="242">
        <f t="shared" si="205"/>
        <v>9</v>
      </c>
      <c r="D6564" s="242">
        <v>63.7</v>
      </c>
      <c r="E6564" s="845">
        <f t="shared" si="206"/>
        <v>17.611111111111111</v>
      </c>
    </row>
    <row r="6565" spans="2:5">
      <c r="B6565" s="1115">
        <v>45192</v>
      </c>
      <c r="C6565" s="242">
        <f t="shared" si="205"/>
        <v>9</v>
      </c>
      <c r="D6565" s="242">
        <v>64.2</v>
      </c>
      <c r="E6565" s="845">
        <f t="shared" si="206"/>
        <v>17.888888888888889</v>
      </c>
    </row>
    <row r="6566" spans="2:5">
      <c r="B6566" s="1115">
        <v>45192</v>
      </c>
      <c r="C6566" s="242">
        <f t="shared" si="205"/>
        <v>9</v>
      </c>
      <c r="D6566" s="242">
        <v>64.599999999999994</v>
      </c>
      <c r="E6566" s="845">
        <f t="shared" si="206"/>
        <v>18.111111111111107</v>
      </c>
    </row>
    <row r="6567" spans="2:5">
      <c r="B6567" s="1115">
        <v>45192</v>
      </c>
      <c r="C6567" s="242">
        <f t="shared" si="205"/>
        <v>9</v>
      </c>
      <c r="D6567" s="242">
        <v>64.599999999999994</v>
      </c>
      <c r="E6567" s="845">
        <f t="shared" si="206"/>
        <v>18.111111111111107</v>
      </c>
    </row>
    <row r="6568" spans="2:5">
      <c r="B6568" s="1115">
        <v>45192</v>
      </c>
      <c r="C6568" s="242">
        <f t="shared" si="205"/>
        <v>9</v>
      </c>
      <c r="D6568" s="242">
        <v>64.400000000000006</v>
      </c>
      <c r="E6568" s="845">
        <f t="shared" si="206"/>
        <v>18.000000000000004</v>
      </c>
    </row>
    <row r="6569" spans="2:5">
      <c r="B6569" s="1115">
        <v>45192</v>
      </c>
      <c r="C6569" s="242">
        <f t="shared" si="205"/>
        <v>9</v>
      </c>
      <c r="D6569" s="242">
        <v>62.6</v>
      </c>
      <c r="E6569" s="845">
        <f t="shared" si="206"/>
        <v>17</v>
      </c>
    </row>
    <row r="6570" spans="2:5">
      <c r="B6570" s="1115">
        <v>45192</v>
      </c>
      <c r="C6570" s="242">
        <f t="shared" si="205"/>
        <v>9</v>
      </c>
      <c r="D6570" s="242">
        <v>62.2</v>
      </c>
      <c r="E6570" s="845">
        <f t="shared" si="206"/>
        <v>16.777777777777779</v>
      </c>
    </row>
    <row r="6571" spans="2:5">
      <c r="B6571" s="1115">
        <v>45192</v>
      </c>
      <c r="C6571" s="242">
        <f t="shared" si="205"/>
        <v>9</v>
      </c>
      <c r="D6571" s="242">
        <v>61.5</v>
      </c>
      <c r="E6571" s="845">
        <f t="shared" si="206"/>
        <v>16.388888888888889</v>
      </c>
    </row>
    <row r="6572" spans="2:5">
      <c r="B6572" s="1115">
        <v>45192</v>
      </c>
      <c r="C6572" s="242">
        <f t="shared" si="205"/>
        <v>9</v>
      </c>
      <c r="D6572" s="242">
        <v>60.8</v>
      </c>
      <c r="E6572" s="845">
        <f t="shared" si="206"/>
        <v>15.999999999999998</v>
      </c>
    </row>
    <row r="6573" spans="2:5">
      <c r="B6573" s="1115">
        <v>45192</v>
      </c>
      <c r="C6573" s="242">
        <f t="shared" si="205"/>
        <v>9</v>
      </c>
      <c r="D6573" s="242">
        <v>61.5</v>
      </c>
      <c r="E6573" s="845">
        <f t="shared" si="206"/>
        <v>16.388888888888889</v>
      </c>
    </row>
    <row r="6574" spans="2:5">
      <c r="B6574" s="1115">
        <v>45192</v>
      </c>
      <c r="C6574" s="242">
        <f t="shared" si="205"/>
        <v>9</v>
      </c>
      <c r="D6574" s="242">
        <v>61.3</v>
      </c>
      <c r="E6574" s="845">
        <f t="shared" si="206"/>
        <v>16.277777777777775</v>
      </c>
    </row>
    <row r="6575" spans="2:5">
      <c r="B6575" s="1115">
        <v>45192</v>
      </c>
      <c r="C6575" s="242">
        <f t="shared" si="205"/>
        <v>9</v>
      </c>
      <c r="D6575" s="242">
        <v>62.1</v>
      </c>
      <c r="E6575" s="845">
        <f t="shared" si="206"/>
        <v>16.722222222222221</v>
      </c>
    </row>
    <row r="6576" spans="2:5">
      <c r="B6576" s="1115">
        <v>45192</v>
      </c>
      <c r="C6576" s="242">
        <f t="shared" si="205"/>
        <v>9</v>
      </c>
      <c r="D6576" s="242" t="s">
        <v>1851</v>
      </c>
      <c r="E6576" s="845">
        <f t="shared" si="206"/>
        <v>17.222222222222221</v>
      </c>
    </row>
    <row r="6577" spans="2:5">
      <c r="B6577" s="1115">
        <v>45192</v>
      </c>
      <c r="C6577" s="242">
        <f t="shared" si="205"/>
        <v>9</v>
      </c>
      <c r="D6577" s="242">
        <v>63.7</v>
      </c>
      <c r="E6577" s="845">
        <f t="shared" si="206"/>
        <v>17.611111111111111</v>
      </c>
    </row>
    <row r="6578" spans="2:5">
      <c r="B6578" s="1115">
        <v>45192</v>
      </c>
      <c r="C6578" s="242">
        <f t="shared" si="205"/>
        <v>9</v>
      </c>
      <c r="D6578" s="242" t="s">
        <v>1852</v>
      </c>
      <c r="E6578" s="845">
        <f t="shared" si="206"/>
        <v>17.777777777777779</v>
      </c>
    </row>
    <row r="6579" spans="2:5">
      <c r="B6579" s="1115">
        <v>45192</v>
      </c>
      <c r="C6579" s="242">
        <f t="shared" si="205"/>
        <v>9</v>
      </c>
      <c r="D6579" s="242" t="s">
        <v>1852</v>
      </c>
      <c r="E6579" s="845">
        <f t="shared" si="206"/>
        <v>17.777777777777779</v>
      </c>
    </row>
    <row r="6580" spans="2:5">
      <c r="B6580" s="1115">
        <v>45192</v>
      </c>
      <c r="C6580" s="242">
        <f t="shared" si="205"/>
        <v>9</v>
      </c>
      <c r="D6580" s="242">
        <v>63.5</v>
      </c>
      <c r="E6580" s="845">
        <f t="shared" si="206"/>
        <v>17.5</v>
      </c>
    </row>
    <row r="6581" spans="2:5">
      <c r="B6581" s="1115">
        <v>45192</v>
      </c>
      <c r="C6581" s="242">
        <f t="shared" si="205"/>
        <v>9</v>
      </c>
      <c r="D6581" s="242">
        <v>61.7</v>
      </c>
      <c r="E6581" s="845">
        <f t="shared" si="206"/>
        <v>16.5</v>
      </c>
    </row>
    <row r="6582" spans="2:5">
      <c r="B6582" s="1115">
        <v>45192</v>
      </c>
      <c r="C6582" s="242">
        <f t="shared" si="205"/>
        <v>9</v>
      </c>
      <c r="D6582" s="242">
        <v>61.7</v>
      </c>
      <c r="E6582" s="845">
        <f t="shared" si="206"/>
        <v>16.5</v>
      </c>
    </row>
    <row r="6583" spans="2:5">
      <c r="B6583" s="1115">
        <v>45192</v>
      </c>
      <c r="C6583" s="242">
        <f t="shared" si="205"/>
        <v>9</v>
      </c>
      <c r="D6583" s="242">
        <v>61.2</v>
      </c>
      <c r="E6583" s="845">
        <f t="shared" si="206"/>
        <v>16.222222222222225</v>
      </c>
    </row>
    <row r="6584" spans="2:5">
      <c r="B6584" s="1115">
        <v>45192</v>
      </c>
      <c r="C6584" s="242">
        <f t="shared" si="205"/>
        <v>9</v>
      </c>
      <c r="D6584" s="242">
        <v>60.4</v>
      </c>
      <c r="E6584" s="845">
        <f t="shared" si="206"/>
        <v>15.777777777777777</v>
      </c>
    </row>
    <row r="6585" spans="2:5">
      <c r="B6585" s="1115">
        <v>45193</v>
      </c>
      <c r="C6585" s="242">
        <f t="shared" si="205"/>
        <v>9</v>
      </c>
      <c r="D6585" s="242">
        <v>60.4</v>
      </c>
      <c r="E6585" s="845">
        <f t="shared" si="206"/>
        <v>15.777777777777777</v>
      </c>
    </row>
    <row r="6586" spans="2:5">
      <c r="B6586" s="1115">
        <v>45193</v>
      </c>
      <c r="C6586" s="242">
        <f t="shared" si="205"/>
        <v>9</v>
      </c>
      <c r="D6586" s="242">
        <v>60.6</v>
      </c>
      <c r="E6586" s="845">
        <f t="shared" si="206"/>
        <v>15.888888888888889</v>
      </c>
    </row>
    <row r="6587" spans="2:5">
      <c r="B6587" s="1115">
        <v>45193</v>
      </c>
      <c r="C6587" s="242">
        <f t="shared" si="205"/>
        <v>9</v>
      </c>
      <c r="D6587" s="242">
        <v>61.2</v>
      </c>
      <c r="E6587" s="845">
        <f t="shared" si="206"/>
        <v>16.222222222222225</v>
      </c>
    </row>
    <row r="6588" spans="2:5">
      <c r="B6588" s="1115">
        <v>45193</v>
      </c>
      <c r="C6588" s="242">
        <f t="shared" si="205"/>
        <v>9</v>
      </c>
      <c r="D6588" s="242">
        <v>61.9</v>
      </c>
      <c r="E6588" s="845">
        <f t="shared" si="206"/>
        <v>16.611111111111111</v>
      </c>
    </row>
    <row r="6589" spans="2:5">
      <c r="B6589" s="1115">
        <v>45193</v>
      </c>
      <c r="C6589" s="242">
        <f t="shared" si="205"/>
        <v>9</v>
      </c>
      <c r="D6589" s="242">
        <v>62.8</v>
      </c>
      <c r="E6589" s="845">
        <f t="shared" si="206"/>
        <v>17.111111111111111</v>
      </c>
    </row>
    <row r="6590" spans="2:5">
      <c r="B6590" s="1115">
        <v>45193</v>
      </c>
      <c r="C6590" s="242">
        <f t="shared" si="205"/>
        <v>9</v>
      </c>
      <c r="D6590" s="242">
        <v>63.3</v>
      </c>
      <c r="E6590" s="845">
        <f t="shared" si="206"/>
        <v>17.388888888888886</v>
      </c>
    </row>
    <row r="6591" spans="2:5">
      <c r="B6591" s="1115">
        <v>45193</v>
      </c>
      <c r="C6591" s="242">
        <f t="shared" si="205"/>
        <v>9</v>
      </c>
      <c r="D6591" s="242">
        <v>63.7</v>
      </c>
      <c r="E6591" s="845">
        <f t="shared" si="206"/>
        <v>17.611111111111111</v>
      </c>
    </row>
    <row r="6592" spans="2:5">
      <c r="B6592" s="1115">
        <v>45193</v>
      </c>
      <c r="C6592" s="242">
        <f t="shared" si="205"/>
        <v>9</v>
      </c>
      <c r="D6592" s="242">
        <v>63.7</v>
      </c>
      <c r="E6592" s="845">
        <f t="shared" si="206"/>
        <v>17.611111111111111</v>
      </c>
    </row>
    <row r="6593" spans="2:5">
      <c r="B6593" s="1115">
        <v>45193</v>
      </c>
      <c r="C6593" s="242">
        <f t="shared" si="205"/>
        <v>9</v>
      </c>
      <c r="D6593" s="242">
        <v>63.5</v>
      </c>
      <c r="E6593" s="845">
        <f t="shared" si="206"/>
        <v>17.5</v>
      </c>
    </row>
    <row r="6594" spans="2:5">
      <c r="B6594" s="1115">
        <v>45193</v>
      </c>
      <c r="C6594" s="242">
        <f t="shared" si="205"/>
        <v>9</v>
      </c>
      <c r="D6594" s="242">
        <v>62.4</v>
      </c>
      <c r="E6594" s="845">
        <f t="shared" si="206"/>
        <v>16.888888888888889</v>
      </c>
    </row>
    <row r="6595" spans="2:5">
      <c r="B6595" s="1115">
        <v>45193</v>
      </c>
      <c r="C6595" s="242">
        <f t="shared" si="205"/>
        <v>9</v>
      </c>
      <c r="D6595" s="242">
        <v>62.1</v>
      </c>
      <c r="E6595" s="845">
        <f t="shared" si="206"/>
        <v>16.722222222222221</v>
      </c>
    </row>
    <row r="6596" spans="2:5">
      <c r="B6596" s="1115">
        <v>45193</v>
      </c>
      <c r="C6596" s="242">
        <f t="shared" si="205"/>
        <v>9</v>
      </c>
      <c r="D6596" s="242">
        <v>61.9</v>
      </c>
      <c r="E6596" s="845">
        <f t="shared" si="206"/>
        <v>16.611111111111111</v>
      </c>
    </row>
    <row r="6597" spans="2:5">
      <c r="B6597" s="1115">
        <v>45193</v>
      </c>
      <c r="C6597" s="242">
        <f t="shared" si="205"/>
        <v>9</v>
      </c>
      <c r="D6597" s="242">
        <v>61.7</v>
      </c>
      <c r="E6597" s="845">
        <f t="shared" si="206"/>
        <v>16.5</v>
      </c>
    </row>
    <row r="6598" spans="2:5">
      <c r="B6598" s="1115">
        <v>45193</v>
      </c>
      <c r="C6598" s="242">
        <f t="shared" si="205"/>
        <v>9</v>
      </c>
      <c r="D6598" s="242">
        <v>61.5</v>
      </c>
      <c r="E6598" s="845">
        <f t="shared" si="206"/>
        <v>16.388888888888889</v>
      </c>
    </row>
    <row r="6599" spans="2:5">
      <c r="B6599" s="1115">
        <v>45193</v>
      </c>
      <c r="C6599" s="242">
        <f t="shared" si="205"/>
        <v>9</v>
      </c>
      <c r="D6599" s="242">
        <v>61.7</v>
      </c>
      <c r="E6599" s="845">
        <f t="shared" si="206"/>
        <v>16.5</v>
      </c>
    </row>
    <row r="6600" spans="2:5">
      <c r="B6600" s="1115">
        <v>45193</v>
      </c>
      <c r="C6600" s="242">
        <f t="shared" si="205"/>
        <v>9</v>
      </c>
      <c r="D6600" s="242">
        <v>61.9</v>
      </c>
      <c r="E6600" s="845">
        <f t="shared" si="206"/>
        <v>16.611111111111111</v>
      </c>
    </row>
    <row r="6601" spans="2:5">
      <c r="B6601" s="1115">
        <v>45193</v>
      </c>
      <c r="C6601" s="242">
        <f t="shared" si="205"/>
        <v>9</v>
      </c>
      <c r="D6601" s="242">
        <v>62.2</v>
      </c>
      <c r="E6601" s="845">
        <f t="shared" si="206"/>
        <v>16.777777777777779</v>
      </c>
    </row>
    <row r="6602" spans="2:5">
      <c r="B6602" s="1115">
        <v>45193</v>
      </c>
      <c r="C6602" s="242">
        <f t="shared" ref="C6602:C6665" si="207">MONTH(B6602)</f>
        <v>9</v>
      </c>
      <c r="D6602" s="242" t="s">
        <v>1851</v>
      </c>
      <c r="E6602" s="845">
        <f t="shared" ref="E6602:E6665" si="208">CONVERT(D6602,"F","C")</f>
        <v>17.222222222222221</v>
      </c>
    </row>
    <row r="6603" spans="2:5">
      <c r="B6603" s="1115">
        <v>45193</v>
      </c>
      <c r="C6603" s="242">
        <f t="shared" si="207"/>
        <v>9</v>
      </c>
      <c r="D6603" s="242">
        <v>63.3</v>
      </c>
      <c r="E6603" s="845">
        <f t="shared" si="208"/>
        <v>17.388888888888886</v>
      </c>
    </row>
    <row r="6604" spans="2:5">
      <c r="B6604" s="1115">
        <v>45193</v>
      </c>
      <c r="C6604" s="242">
        <f t="shared" si="207"/>
        <v>9</v>
      </c>
      <c r="D6604" s="242">
        <v>63.5</v>
      </c>
      <c r="E6604" s="845">
        <f t="shared" si="208"/>
        <v>17.5</v>
      </c>
    </row>
    <row r="6605" spans="2:5">
      <c r="B6605" s="1115">
        <v>45193</v>
      </c>
      <c r="C6605" s="242">
        <f t="shared" si="207"/>
        <v>9</v>
      </c>
      <c r="D6605" s="242" t="s">
        <v>1851</v>
      </c>
      <c r="E6605" s="845">
        <f t="shared" si="208"/>
        <v>17.222222222222221</v>
      </c>
    </row>
    <row r="6606" spans="2:5">
      <c r="B6606" s="1115">
        <v>45193</v>
      </c>
      <c r="C6606" s="242">
        <f t="shared" si="207"/>
        <v>9</v>
      </c>
      <c r="D6606" s="242">
        <v>62.4</v>
      </c>
      <c r="E6606" s="845">
        <f t="shared" si="208"/>
        <v>16.888888888888889</v>
      </c>
    </row>
    <row r="6607" spans="2:5">
      <c r="B6607" s="1115">
        <v>45193</v>
      </c>
      <c r="C6607" s="242">
        <f t="shared" si="207"/>
        <v>9</v>
      </c>
      <c r="D6607" s="242">
        <v>62.2</v>
      </c>
      <c r="E6607" s="845">
        <f t="shared" si="208"/>
        <v>16.777777777777779</v>
      </c>
    </row>
    <row r="6608" spans="2:5">
      <c r="B6608" s="1115">
        <v>45193</v>
      </c>
      <c r="C6608" s="242">
        <f t="shared" si="207"/>
        <v>9</v>
      </c>
      <c r="D6608" s="242">
        <v>62.2</v>
      </c>
      <c r="E6608" s="845">
        <f t="shared" si="208"/>
        <v>16.777777777777779</v>
      </c>
    </row>
    <row r="6609" spans="2:5">
      <c r="B6609" s="1115">
        <v>45194</v>
      </c>
      <c r="C6609" s="242">
        <f t="shared" si="207"/>
        <v>9</v>
      </c>
      <c r="D6609" s="242">
        <v>62.2</v>
      </c>
      <c r="E6609" s="845">
        <f t="shared" si="208"/>
        <v>16.777777777777779</v>
      </c>
    </row>
    <row r="6610" spans="2:5">
      <c r="B6610" s="1115">
        <v>45194</v>
      </c>
      <c r="C6610" s="242">
        <f t="shared" si="207"/>
        <v>9</v>
      </c>
      <c r="D6610" s="242">
        <v>62.2</v>
      </c>
      <c r="E6610" s="845">
        <f t="shared" si="208"/>
        <v>16.777777777777779</v>
      </c>
    </row>
    <row r="6611" spans="2:5">
      <c r="B6611" s="1115">
        <v>45194</v>
      </c>
      <c r="C6611" s="242">
        <f t="shared" si="207"/>
        <v>9</v>
      </c>
      <c r="D6611" s="242">
        <v>62.4</v>
      </c>
      <c r="E6611" s="845">
        <f t="shared" si="208"/>
        <v>16.888888888888889</v>
      </c>
    </row>
    <row r="6612" spans="2:5">
      <c r="B6612" s="1115">
        <v>45194</v>
      </c>
      <c r="C6612" s="242">
        <f t="shared" si="207"/>
        <v>9</v>
      </c>
      <c r="D6612" s="242">
        <v>62.2</v>
      </c>
      <c r="E6612" s="845">
        <f t="shared" si="208"/>
        <v>16.777777777777779</v>
      </c>
    </row>
    <row r="6613" spans="2:5">
      <c r="B6613" s="1115">
        <v>45194</v>
      </c>
      <c r="C6613" s="242">
        <f t="shared" si="207"/>
        <v>9</v>
      </c>
      <c r="D6613" s="242">
        <v>62.4</v>
      </c>
      <c r="E6613" s="845">
        <f t="shared" si="208"/>
        <v>16.888888888888889</v>
      </c>
    </row>
    <row r="6614" spans="2:5">
      <c r="B6614" s="1115">
        <v>45194</v>
      </c>
      <c r="C6614" s="242">
        <f t="shared" si="207"/>
        <v>9</v>
      </c>
      <c r="D6614" s="242">
        <v>62.8</v>
      </c>
      <c r="E6614" s="845">
        <f t="shared" si="208"/>
        <v>17.111111111111111</v>
      </c>
    </row>
    <row r="6615" spans="2:5">
      <c r="B6615" s="1115">
        <v>45194</v>
      </c>
      <c r="C6615" s="242">
        <f t="shared" si="207"/>
        <v>9</v>
      </c>
      <c r="D6615" s="242" t="s">
        <v>1851</v>
      </c>
      <c r="E6615" s="845">
        <f t="shared" si="208"/>
        <v>17.222222222222221</v>
      </c>
    </row>
    <row r="6616" spans="2:5">
      <c r="B6616" s="1115">
        <v>45194</v>
      </c>
      <c r="C6616" s="242">
        <f t="shared" si="207"/>
        <v>9</v>
      </c>
      <c r="D6616" s="242">
        <v>63.3</v>
      </c>
      <c r="E6616" s="845">
        <f t="shared" si="208"/>
        <v>17.388888888888886</v>
      </c>
    </row>
    <row r="6617" spans="2:5">
      <c r="B6617" s="1115">
        <v>45194</v>
      </c>
      <c r="C6617" s="242">
        <f t="shared" si="207"/>
        <v>9</v>
      </c>
      <c r="D6617" s="242">
        <v>63.3</v>
      </c>
      <c r="E6617" s="845">
        <f t="shared" si="208"/>
        <v>17.388888888888886</v>
      </c>
    </row>
    <row r="6618" spans="2:5">
      <c r="B6618" s="1115">
        <v>45194</v>
      </c>
      <c r="C6618" s="242">
        <f t="shared" si="207"/>
        <v>9</v>
      </c>
      <c r="D6618" s="242">
        <v>63.1</v>
      </c>
      <c r="E6618" s="845">
        <f t="shared" si="208"/>
        <v>17.277777777777779</v>
      </c>
    </row>
    <row r="6619" spans="2:5">
      <c r="B6619" s="1115">
        <v>45194</v>
      </c>
      <c r="C6619" s="242">
        <f t="shared" si="207"/>
        <v>9</v>
      </c>
      <c r="D6619" s="242">
        <v>62.8</v>
      </c>
      <c r="E6619" s="845">
        <f t="shared" si="208"/>
        <v>17.111111111111111</v>
      </c>
    </row>
    <row r="6620" spans="2:5">
      <c r="B6620" s="1115">
        <v>45194</v>
      </c>
      <c r="C6620" s="242">
        <f t="shared" si="207"/>
        <v>9</v>
      </c>
      <c r="D6620" s="242">
        <v>62.6</v>
      </c>
      <c r="E6620" s="845">
        <f t="shared" si="208"/>
        <v>17</v>
      </c>
    </row>
    <row r="6621" spans="2:5">
      <c r="B6621" s="1115">
        <v>45194</v>
      </c>
      <c r="C6621" s="242">
        <f t="shared" si="207"/>
        <v>9</v>
      </c>
      <c r="D6621" s="242">
        <v>62.6</v>
      </c>
      <c r="E6621" s="845">
        <f t="shared" si="208"/>
        <v>17</v>
      </c>
    </row>
    <row r="6622" spans="2:5">
      <c r="B6622" s="1115">
        <v>45194</v>
      </c>
      <c r="C6622" s="242">
        <f t="shared" si="207"/>
        <v>9</v>
      </c>
      <c r="D6622" s="242">
        <v>62.6</v>
      </c>
      <c r="E6622" s="845">
        <f t="shared" si="208"/>
        <v>17</v>
      </c>
    </row>
    <row r="6623" spans="2:5">
      <c r="B6623" s="1115">
        <v>45194</v>
      </c>
      <c r="C6623" s="242">
        <f t="shared" si="207"/>
        <v>9</v>
      </c>
      <c r="D6623" s="242">
        <v>62.4</v>
      </c>
      <c r="E6623" s="845">
        <f t="shared" si="208"/>
        <v>16.888888888888889</v>
      </c>
    </row>
    <row r="6624" spans="2:5">
      <c r="B6624" s="1115">
        <v>45194</v>
      </c>
      <c r="C6624" s="242">
        <f t="shared" si="207"/>
        <v>9</v>
      </c>
      <c r="D6624" s="242">
        <v>62.6</v>
      </c>
      <c r="E6624" s="845">
        <f t="shared" si="208"/>
        <v>17</v>
      </c>
    </row>
    <row r="6625" spans="2:5">
      <c r="B6625" s="1115">
        <v>45194</v>
      </c>
      <c r="C6625" s="242">
        <f t="shared" si="207"/>
        <v>9</v>
      </c>
      <c r="D6625" s="242">
        <v>62.6</v>
      </c>
      <c r="E6625" s="845">
        <f t="shared" si="208"/>
        <v>17</v>
      </c>
    </row>
    <row r="6626" spans="2:5">
      <c r="B6626" s="1115">
        <v>45194</v>
      </c>
      <c r="C6626" s="242">
        <f t="shared" si="207"/>
        <v>9</v>
      </c>
      <c r="D6626" s="242">
        <v>62.8</v>
      </c>
      <c r="E6626" s="845">
        <f t="shared" si="208"/>
        <v>17.111111111111111</v>
      </c>
    </row>
    <row r="6627" spans="2:5">
      <c r="B6627" s="1115">
        <v>45194</v>
      </c>
      <c r="C6627" s="242">
        <f t="shared" si="207"/>
        <v>9</v>
      </c>
      <c r="D6627" s="242" t="s">
        <v>1851</v>
      </c>
      <c r="E6627" s="845">
        <f t="shared" si="208"/>
        <v>17.222222222222221</v>
      </c>
    </row>
    <row r="6628" spans="2:5">
      <c r="B6628" s="1115">
        <v>45194</v>
      </c>
      <c r="C6628" s="242">
        <f t="shared" si="207"/>
        <v>9</v>
      </c>
      <c r="D6628" s="242">
        <v>63.1</v>
      </c>
      <c r="E6628" s="845">
        <f t="shared" si="208"/>
        <v>17.277777777777779</v>
      </c>
    </row>
    <row r="6629" spans="2:5">
      <c r="B6629" s="1115">
        <v>45194</v>
      </c>
      <c r="C6629" s="242">
        <f t="shared" si="207"/>
        <v>9</v>
      </c>
      <c r="D6629" s="242">
        <v>63.3</v>
      </c>
      <c r="E6629" s="845">
        <f t="shared" si="208"/>
        <v>17.388888888888886</v>
      </c>
    </row>
    <row r="6630" spans="2:5">
      <c r="B6630" s="1115">
        <v>45194</v>
      </c>
      <c r="C6630" s="242">
        <f t="shared" si="207"/>
        <v>9</v>
      </c>
      <c r="D6630" s="242">
        <v>63.1</v>
      </c>
      <c r="E6630" s="845">
        <f t="shared" si="208"/>
        <v>17.277777777777779</v>
      </c>
    </row>
    <row r="6631" spans="2:5">
      <c r="B6631" s="1115">
        <v>45194</v>
      </c>
      <c r="C6631" s="242">
        <f t="shared" si="207"/>
        <v>9</v>
      </c>
      <c r="D6631" s="242">
        <v>62.8</v>
      </c>
      <c r="E6631" s="845">
        <f t="shared" si="208"/>
        <v>17.111111111111111</v>
      </c>
    </row>
    <row r="6632" spans="2:5">
      <c r="B6632" s="1115">
        <v>45194</v>
      </c>
      <c r="C6632" s="242">
        <f t="shared" si="207"/>
        <v>9</v>
      </c>
      <c r="D6632" s="242">
        <v>62.6</v>
      </c>
      <c r="E6632" s="845">
        <f t="shared" si="208"/>
        <v>17</v>
      </c>
    </row>
    <row r="6633" spans="2:5">
      <c r="B6633" s="1115">
        <v>45195</v>
      </c>
      <c r="C6633" s="242">
        <f t="shared" si="207"/>
        <v>9</v>
      </c>
      <c r="D6633" s="242">
        <v>62.6</v>
      </c>
      <c r="E6633" s="845">
        <f t="shared" si="208"/>
        <v>17</v>
      </c>
    </row>
    <row r="6634" spans="2:5">
      <c r="B6634" s="1115">
        <v>45195</v>
      </c>
      <c r="C6634" s="242">
        <f t="shared" si="207"/>
        <v>9</v>
      </c>
      <c r="D6634" s="242">
        <v>62.6</v>
      </c>
      <c r="E6634" s="845">
        <f t="shared" si="208"/>
        <v>17</v>
      </c>
    </row>
    <row r="6635" spans="2:5">
      <c r="B6635" s="1115">
        <v>45195</v>
      </c>
      <c r="C6635" s="242">
        <f t="shared" si="207"/>
        <v>9</v>
      </c>
      <c r="D6635" s="242">
        <v>62.4</v>
      </c>
      <c r="E6635" s="845">
        <f t="shared" si="208"/>
        <v>16.888888888888889</v>
      </c>
    </row>
    <row r="6636" spans="2:5">
      <c r="B6636" s="1115">
        <v>45195</v>
      </c>
      <c r="C6636" s="242">
        <f t="shared" si="207"/>
        <v>9</v>
      </c>
      <c r="D6636" s="242">
        <v>62.4</v>
      </c>
      <c r="E6636" s="845">
        <f t="shared" si="208"/>
        <v>16.888888888888889</v>
      </c>
    </row>
    <row r="6637" spans="2:5">
      <c r="B6637" s="1115">
        <v>45195</v>
      </c>
      <c r="C6637" s="242">
        <f t="shared" si="207"/>
        <v>9</v>
      </c>
      <c r="D6637" s="242">
        <v>62.4</v>
      </c>
      <c r="E6637" s="845">
        <f t="shared" si="208"/>
        <v>16.888888888888889</v>
      </c>
    </row>
    <row r="6638" spans="2:5">
      <c r="B6638" s="1115">
        <v>45195</v>
      </c>
      <c r="C6638" s="242">
        <f t="shared" si="207"/>
        <v>9</v>
      </c>
      <c r="D6638" s="242">
        <v>62.6</v>
      </c>
      <c r="E6638" s="845">
        <f t="shared" si="208"/>
        <v>17</v>
      </c>
    </row>
    <row r="6639" spans="2:5">
      <c r="B6639" s="1115">
        <v>45195</v>
      </c>
      <c r="C6639" s="242">
        <f t="shared" si="207"/>
        <v>9</v>
      </c>
      <c r="D6639" s="242">
        <v>62.8</v>
      </c>
      <c r="E6639" s="845">
        <f t="shared" si="208"/>
        <v>17.111111111111111</v>
      </c>
    </row>
    <row r="6640" spans="2:5">
      <c r="B6640" s="1115">
        <v>45195</v>
      </c>
      <c r="C6640" s="242">
        <f t="shared" si="207"/>
        <v>9</v>
      </c>
      <c r="D6640" s="242">
        <v>62.8</v>
      </c>
      <c r="E6640" s="845">
        <f t="shared" si="208"/>
        <v>17.111111111111111</v>
      </c>
    </row>
    <row r="6641" spans="2:5">
      <c r="B6641" s="1115">
        <v>45195</v>
      </c>
      <c r="C6641" s="242">
        <f t="shared" si="207"/>
        <v>9</v>
      </c>
      <c r="D6641" s="242" t="s">
        <v>1851</v>
      </c>
      <c r="E6641" s="845">
        <f t="shared" si="208"/>
        <v>17.222222222222221</v>
      </c>
    </row>
    <row r="6642" spans="2:5">
      <c r="B6642" s="1115">
        <v>45195</v>
      </c>
      <c r="C6642" s="242">
        <f t="shared" si="207"/>
        <v>9</v>
      </c>
      <c r="D6642" s="242" t="s">
        <v>1851</v>
      </c>
      <c r="E6642" s="845">
        <f t="shared" si="208"/>
        <v>17.222222222222221</v>
      </c>
    </row>
    <row r="6643" spans="2:5">
      <c r="B6643" s="1115">
        <v>45195</v>
      </c>
      <c r="C6643" s="242">
        <f t="shared" si="207"/>
        <v>9</v>
      </c>
      <c r="D6643" s="242">
        <v>62.8</v>
      </c>
      <c r="E6643" s="845">
        <f t="shared" si="208"/>
        <v>17.111111111111111</v>
      </c>
    </row>
    <row r="6644" spans="2:5">
      <c r="B6644" s="1115">
        <v>45195</v>
      </c>
      <c r="C6644" s="242">
        <f t="shared" si="207"/>
        <v>9</v>
      </c>
      <c r="D6644" s="242">
        <v>62.6</v>
      </c>
      <c r="E6644" s="845">
        <f t="shared" si="208"/>
        <v>17</v>
      </c>
    </row>
    <row r="6645" spans="2:5">
      <c r="B6645" s="1115">
        <v>45195</v>
      </c>
      <c r="C6645" s="242">
        <f t="shared" si="207"/>
        <v>9</v>
      </c>
      <c r="D6645" s="242">
        <v>62.4</v>
      </c>
      <c r="E6645" s="845">
        <f t="shared" si="208"/>
        <v>16.888888888888889</v>
      </c>
    </row>
    <row r="6646" spans="2:5">
      <c r="B6646" s="1115">
        <v>45195</v>
      </c>
      <c r="C6646" s="242">
        <f t="shared" si="207"/>
        <v>9</v>
      </c>
      <c r="D6646" s="242">
        <v>62.2</v>
      </c>
      <c r="E6646" s="845">
        <f t="shared" si="208"/>
        <v>16.777777777777779</v>
      </c>
    </row>
    <row r="6647" spans="2:5">
      <c r="B6647" s="1115">
        <v>45195</v>
      </c>
      <c r="C6647" s="242">
        <f t="shared" si="207"/>
        <v>9</v>
      </c>
      <c r="D6647" s="242">
        <v>62.2</v>
      </c>
      <c r="E6647" s="845">
        <f t="shared" si="208"/>
        <v>16.777777777777779</v>
      </c>
    </row>
    <row r="6648" spans="2:5">
      <c r="B6648" s="1115">
        <v>45195</v>
      </c>
      <c r="C6648" s="242">
        <f t="shared" si="207"/>
        <v>9</v>
      </c>
      <c r="D6648" s="242">
        <v>62.2</v>
      </c>
      <c r="E6648" s="845">
        <f t="shared" si="208"/>
        <v>16.777777777777779</v>
      </c>
    </row>
    <row r="6649" spans="2:5">
      <c r="B6649" s="1115">
        <v>45195</v>
      </c>
      <c r="C6649" s="242">
        <f t="shared" si="207"/>
        <v>9</v>
      </c>
      <c r="D6649" s="242">
        <v>62.2</v>
      </c>
      <c r="E6649" s="845">
        <f t="shared" si="208"/>
        <v>16.777777777777779</v>
      </c>
    </row>
    <row r="6650" spans="2:5">
      <c r="B6650" s="1115">
        <v>45195</v>
      </c>
      <c r="C6650" s="242">
        <f t="shared" si="207"/>
        <v>9</v>
      </c>
      <c r="D6650" s="242">
        <v>62.4</v>
      </c>
      <c r="E6650" s="845">
        <f t="shared" si="208"/>
        <v>16.888888888888889</v>
      </c>
    </row>
    <row r="6651" spans="2:5">
      <c r="B6651" s="1115">
        <v>45195</v>
      </c>
      <c r="C6651" s="242">
        <f t="shared" si="207"/>
        <v>9</v>
      </c>
      <c r="D6651" s="242">
        <v>62.6</v>
      </c>
      <c r="E6651" s="845">
        <f t="shared" si="208"/>
        <v>17</v>
      </c>
    </row>
    <row r="6652" spans="2:5">
      <c r="B6652" s="1115">
        <v>45195</v>
      </c>
      <c r="C6652" s="242">
        <f t="shared" si="207"/>
        <v>9</v>
      </c>
      <c r="D6652" s="242" t="s">
        <v>1851</v>
      </c>
      <c r="E6652" s="845">
        <f t="shared" si="208"/>
        <v>17.222222222222221</v>
      </c>
    </row>
    <row r="6653" spans="2:5">
      <c r="B6653" s="1115">
        <v>45195</v>
      </c>
      <c r="C6653" s="242">
        <f t="shared" si="207"/>
        <v>9</v>
      </c>
      <c r="D6653" s="242">
        <v>63.1</v>
      </c>
      <c r="E6653" s="845">
        <f t="shared" si="208"/>
        <v>17.277777777777779</v>
      </c>
    </row>
    <row r="6654" spans="2:5">
      <c r="B6654" s="1115">
        <v>45195</v>
      </c>
      <c r="C6654" s="242">
        <f t="shared" si="207"/>
        <v>9</v>
      </c>
      <c r="D6654" s="242">
        <v>63.1</v>
      </c>
      <c r="E6654" s="845">
        <f t="shared" si="208"/>
        <v>17.277777777777779</v>
      </c>
    </row>
    <row r="6655" spans="2:5">
      <c r="B6655" s="1115">
        <v>45195</v>
      </c>
      <c r="C6655" s="242">
        <f t="shared" si="207"/>
        <v>9</v>
      </c>
      <c r="D6655" s="242">
        <v>63.1</v>
      </c>
      <c r="E6655" s="845">
        <f t="shared" si="208"/>
        <v>17.277777777777779</v>
      </c>
    </row>
    <row r="6656" spans="2:5">
      <c r="B6656" s="1115">
        <v>45195</v>
      </c>
      <c r="C6656" s="242">
        <f t="shared" si="207"/>
        <v>9</v>
      </c>
      <c r="D6656" s="242">
        <v>62.8</v>
      </c>
      <c r="E6656" s="845">
        <f t="shared" si="208"/>
        <v>17.111111111111111</v>
      </c>
    </row>
    <row r="6657" spans="2:5">
      <c r="B6657" s="1115">
        <v>45196</v>
      </c>
      <c r="C6657" s="242">
        <f t="shared" si="207"/>
        <v>9</v>
      </c>
      <c r="D6657" s="242">
        <v>62.8</v>
      </c>
      <c r="E6657" s="845">
        <f t="shared" si="208"/>
        <v>17.111111111111111</v>
      </c>
    </row>
    <row r="6658" spans="2:5">
      <c r="B6658" s="1115">
        <v>45196</v>
      </c>
      <c r="C6658" s="242">
        <f t="shared" si="207"/>
        <v>9</v>
      </c>
      <c r="D6658" s="242">
        <v>62.4</v>
      </c>
      <c r="E6658" s="845">
        <f t="shared" si="208"/>
        <v>16.888888888888889</v>
      </c>
    </row>
    <row r="6659" spans="2:5">
      <c r="B6659" s="1115">
        <v>45196</v>
      </c>
      <c r="C6659" s="242">
        <f t="shared" si="207"/>
        <v>9</v>
      </c>
      <c r="D6659" s="242">
        <v>62.4</v>
      </c>
      <c r="E6659" s="845">
        <f t="shared" si="208"/>
        <v>16.888888888888889</v>
      </c>
    </row>
    <row r="6660" spans="2:5">
      <c r="B6660" s="1115">
        <v>45196</v>
      </c>
      <c r="C6660" s="242">
        <f t="shared" si="207"/>
        <v>9</v>
      </c>
      <c r="D6660" s="242">
        <v>62.2</v>
      </c>
      <c r="E6660" s="845">
        <f t="shared" si="208"/>
        <v>16.777777777777779</v>
      </c>
    </row>
    <row r="6661" spans="2:5">
      <c r="B6661" s="1115">
        <v>45196</v>
      </c>
      <c r="C6661" s="242">
        <f t="shared" si="207"/>
        <v>9</v>
      </c>
      <c r="D6661" s="242">
        <v>62.2</v>
      </c>
      <c r="E6661" s="845">
        <f t="shared" si="208"/>
        <v>16.777777777777779</v>
      </c>
    </row>
    <row r="6662" spans="2:5">
      <c r="B6662" s="1115">
        <v>45196</v>
      </c>
      <c r="C6662" s="242">
        <f t="shared" si="207"/>
        <v>9</v>
      </c>
      <c r="D6662" s="242">
        <v>62.2</v>
      </c>
      <c r="E6662" s="845">
        <f t="shared" si="208"/>
        <v>16.777777777777779</v>
      </c>
    </row>
    <row r="6663" spans="2:5">
      <c r="B6663" s="1115">
        <v>45196</v>
      </c>
      <c r="C6663" s="242">
        <f t="shared" si="207"/>
        <v>9</v>
      </c>
      <c r="D6663" s="242">
        <v>62.4</v>
      </c>
      <c r="E6663" s="845">
        <f t="shared" si="208"/>
        <v>16.888888888888889</v>
      </c>
    </row>
    <row r="6664" spans="2:5">
      <c r="B6664" s="1115">
        <v>45196</v>
      </c>
      <c r="C6664" s="242">
        <f t="shared" si="207"/>
        <v>9</v>
      </c>
      <c r="D6664" s="242">
        <v>62.6</v>
      </c>
      <c r="E6664" s="845">
        <f t="shared" si="208"/>
        <v>17</v>
      </c>
    </row>
    <row r="6665" spans="2:5">
      <c r="B6665" s="1115">
        <v>45196</v>
      </c>
      <c r="C6665" s="242">
        <f t="shared" si="207"/>
        <v>9</v>
      </c>
      <c r="D6665" s="242">
        <v>62.6</v>
      </c>
      <c r="E6665" s="845">
        <f t="shared" si="208"/>
        <v>17</v>
      </c>
    </row>
    <row r="6666" spans="2:5">
      <c r="B6666" s="1115">
        <v>45196</v>
      </c>
      <c r="C6666" s="242">
        <f t="shared" ref="C6666:C6729" si="209">MONTH(B6666)</f>
        <v>9</v>
      </c>
      <c r="D6666" s="242">
        <v>62.8</v>
      </c>
      <c r="E6666" s="845">
        <f t="shared" ref="E6666:E6729" si="210">CONVERT(D6666,"F","C")</f>
        <v>17.111111111111111</v>
      </c>
    </row>
    <row r="6667" spans="2:5">
      <c r="B6667" s="1115">
        <v>45196</v>
      </c>
      <c r="C6667" s="242">
        <f t="shared" si="209"/>
        <v>9</v>
      </c>
      <c r="D6667" s="242">
        <v>62.8</v>
      </c>
      <c r="E6667" s="845">
        <f t="shared" si="210"/>
        <v>17.111111111111111</v>
      </c>
    </row>
    <row r="6668" spans="2:5">
      <c r="B6668" s="1115">
        <v>45196</v>
      </c>
      <c r="C6668" s="242">
        <f t="shared" si="209"/>
        <v>9</v>
      </c>
      <c r="D6668" s="242">
        <v>62.8</v>
      </c>
      <c r="E6668" s="845">
        <f t="shared" si="210"/>
        <v>17.111111111111111</v>
      </c>
    </row>
    <row r="6669" spans="2:5">
      <c r="B6669" s="1115">
        <v>45196</v>
      </c>
      <c r="C6669" s="242">
        <f t="shared" si="209"/>
        <v>9</v>
      </c>
      <c r="D6669" s="242">
        <v>62.4</v>
      </c>
      <c r="E6669" s="845">
        <f t="shared" si="210"/>
        <v>16.888888888888889</v>
      </c>
    </row>
    <row r="6670" spans="2:5">
      <c r="B6670" s="1115">
        <v>45196</v>
      </c>
      <c r="C6670" s="242">
        <f t="shared" si="209"/>
        <v>9</v>
      </c>
      <c r="D6670" s="242">
        <v>62.2</v>
      </c>
      <c r="E6670" s="845">
        <f t="shared" si="210"/>
        <v>16.777777777777779</v>
      </c>
    </row>
    <row r="6671" spans="2:5">
      <c r="B6671" s="1115">
        <v>45196</v>
      </c>
      <c r="C6671" s="242">
        <f t="shared" si="209"/>
        <v>9</v>
      </c>
      <c r="D6671" s="242">
        <v>61.9</v>
      </c>
      <c r="E6671" s="845">
        <f t="shared" si="210"/>
        <v>16.611111111111111</v>
      </c>
    </row>
    <row r="6672" spans="2:5">
      <c r="B6672" s="1115">
        <v>45196</v>
      </c>
      <c r="C6672" s="242">
        <f t="shared" si="209"/>
        <v>9</v>
      </c>
      <c r="D6672" s="242">
        <v>61.7</v>
      </c>
      <c r="E6672" s="845">
        <f t="shared" si="210"/>
        <v>16.5</v>
      </c>
    </row>
    <row r="6673" spans="2:5">
      <c r="B6673" s="1115">
        <v>45196</v>
      </c>
      <c r="C6673" s="242">
        <f t="shared" si="209"/>
        <v>9</v>
      </c>
      <c r="D6673" s="242">
        <v>61.7</v>
      </c>
      <c r="E6673" s="845">
        <f t="shared" si="210"/>
        <v>16.5</v>
      </c>
    </row>
    <row r="6674" spans="2:5">
      <c r="B6674" s="1115">
        <v>45196</v>
      </c>
      <c r="C6674" s="242">
        <f t="shared" si="209"/>
        <v>9</v>
      </c>
      <c r="D6674" s="242">
        <v>61.7</v>
      </c>
      <c r="E6674" s="845">
        <f t="shared" si="210"/>
        <v>16.5</v>
      </c>
    </row>
    <row r="6675" spans="2:5">
      <c r="B6675" s="1115">
        <v>45196</v>
      </c>
      <c r="C6675" s="242">
        <f t="shared" si="209"/>
        <v>9</v>
      </c>
      <c r="D6675" s="242">
        <v>62.1</v>
      </c>
      <c r="E6675" s="845">
        <f t="shared" si="210"/>
        <v>16.722222222222221</v>
      </c>
    </row>
    <row r="6676" spans="2:5">
      <c r="B6676" s="1115">
        <v>45196</v>
      </c>
      <c r="C6676" s="242">
        <f t="shared" si="209"/>
        <v>9</v>
      </c>
      <c r="D6676" s="242">
        <v>62.4</v>
      </c>
      <c r="E6676" s="845">
        <f t="shared" si="210"/>
        <v>16.888888888888889</v>
      </c>
    </row>
    <row r="6677" spans="2:5">
      <c r="B6677" s="1115">
        <v>45196</v>
      </c>
      <c r="C6677" s="242">
        <f t="shared" si="209"/>
        <v>9</v>
      </c>
      <c r="D6677" s="242">
        <v>62.8</v>
      </c>
      <c r="E6677" s="845">
        <f t="shared" si="210"/>
        <v>17.111111111111111</v>
      </c>
    </row>
    <row r="6678" spans="2:5">
      <c r="B6678" s="1115">
        <v>45196</v>
      </c>
      <c r="C6678" s="242">
        <f t="shared" si="209"/>
        <v>9</v>
      </c>
      <c r="D6678" s="242" t="s">
        <v>1851</v>
      </c>
      <c r="E6678" s="845">
        <f t="shared" si="210"/>
        <v>17.222222222222221</v>
      </c>
    </row>
    <row r="6679" spans="2:5">
      <c r="B6679" s="1115">
        <v>45196</v>
      </c>
      <c r="C6679" s="242">
        <f t="shared" si="209"/>
        <v>9</v>
      </c>
      <c r="D6679" s="242" t="s">
        <v>1851</v>
      </c>
      <c r="E6679" s="845">
        <f t="shared" si="210"/>
        <v>17.222222222222221</v>
      </c>
    </row>
    <row r="6680" spans="2:5">
      <c r="B6680" s="1115">
        <v>45196</v>
      </c>
      <c r="C6680" s="242">
        <f t="shared" si="209"/>
        <v>9</v>
      </c>
      <c r="D6680" s="242" t="s">
        <v>1851</v>
      </c>
      <c r="E6680" s="845">
        <f t="shared" si="210"/>
        <v>17.222222222222221</v>
      </c>
    </row>
    <row r="6681" spans="2:5">
      <c r="B6681" s="1115">
        <v>45197</v>
      </c>
      <c r="C6681" s="242">
        <f t="shared" si="209"/>
        <v>9</v>
      </c>
      <c r="D6681" s="242">
        <v>62.6</v>
      </c>
      <c r="E6681" s="845">
        <f t="shared" si="210"/>
        <v>17</v>
      </c>
    </row>
    <row r="6682" spans="2:5">
      <c r="B6682" s="1115">
        <v>45197</v>
      </c>
      <c r="C6682" s="242">
        <f t="shared" si="209"/>
        <v>9</v>
      </c>
      <c r="D6682" s="242">
        <v>62.4</v>
      </c>
      <c r="E6682" s="845">
        <f t="shared" si="210"/>
        <v>16.888888888888889</v>
      </c>
    </row>
    <row r="6683" spans="2:5">
      <c r="B6683" s="1115">
        <v>45197</v>
      </c>
      <c r="C6683" s="242">
        <f t="shared" si="209"/>
        <v>9</v>
      </c>
      <c r="D6683" s="242">
        <v>62.1</v>
      </c>
      <c r="E6683" s="845">
        <f t="shared" si="210"/>
        <v>16.722222222222221</v>
      </c>
    </row>
    <row r="6684" spans="2:5">
      <c r="B6684" s="1115">
        <v>45197</v>
      </c>
      <c r="C6684" s="242">
        <f t="shared" si="209"/>
        <v>9</v>
      </c>
      <c r="D6684" s="242">
        <v>61.9</v>
      </c>
      <c r="E6684" s="845">
        <f t="shared" si="210"/>
        <v>16.611111111111111</v>
      </c>
    </row>
    <row r="6685" spans="2:5">
      <c r="B6685" s="1115">
        <v>45197</v>
      </c>
      <c r="C6685" s="242">
        <f t="shared" si="209"/>
        <v>9</v>
      </c>
      <c r="D6685" s="242">
        <v>61.9</v>
      </c>
      <c r="E6685" s="845">
        <f t="shared" si="210"/>
        <v>16.611111111111111</v>
      </c>
    </row>
    <row r="6686" spans="2:5">
      <c r="B6686" s="1115">
        <v>45197</v>
      </c>
      <c r="C6686" s="242">
        <f t="shared" si="209"/>
        <v>9</v>
      </c>
      <c r="D6686" s="242">
        <v>61.9</v>
      </c>
      <c r="E6686" s="845">
        <f t="shared" si="210"/>
        <v>16.611111111111111</v>
      </c>
    </row>
    <row r="6687" spans="2:5">
      <c r="B6687" s="1115">
        <v>45197</v>
      </c>
      <c r="C6687" s="242">
        <f t="shared" si="209"/>
        <v>9</v>
      </c>
      <c r="D6687" s="242">
        <v>61.9</v>
      </c>
      <c r="E6687" s="845">
        <f t="shared" si="210"/>
        <v>16.611111111111111</v>
      </c>
    </row>
    <row r="6688" spans="2:5">
      <c r="B6688" s="1115">
        <v>45197</v>
      </c>
      <c r="C6688" s="242">
        <f t="shared" si="209"/>
        <v>9</v>
      </c>
      <c r="D6688" s="242">
        <v>62.1</v>
      </c>
      <c r="E6688" s="845">
        <f t="shared" si="210"/>
        <v>16.722222222222221</v>
      </c>
    </row>
    <row r="6689" spans="2:5">
      <c r="B6689" s="1115">
        <v>45197</v>
      </c>
      <c r="C6689" s="242">
        <f t="shared" si="209"/>
        <v>9</v>
      </c>
      <c r="D6689" s="242">
        <v>62.2</v>
      </c>
      <c r="E6689" s="845">
        <f t="shared" si="210"/>
        <v>16.777777777777779</v>
      </c>
    </row>
    <row r="6690" spans="2:5">
      <c r="B6690" s="1115">
        <v>45197</v>
      </c>
      <c r="C6690" s="242">
        <f t="shared" si="209"/>
        <v>9</v>
      </c>
      <c r="D6690" s="242">
        <v>62.4</v>
      </c>
      <c r="E6690" s="845">
        <f t="shared" si="210"/>
        <v>16.888888888888889</v>
      </c>
    </row>
    <row r="6691" spans="2:5">
      <c r="B6691" s="1115">
        <v>45197</v>
      </c>
      <c r="C6691" s="242">
        <f t="shared" si="209"/>
        <v>9</v>
      </c>
      <c r="D6691" s="242">
        <v>62.4</v>
      </c>
      <c r="E6691" s="845">
        <f t="shared" si="210"/>
        <v>16.888888888888889</v>
      </c>
    </row>
    <row r="6692" spans="2:5">
      <c r="B6692" s="1115">
        <v>45197</v>
      </c>
      <c r="C6692" s="242">
        <f t="shared" si="209"/>
        <v>9</v>
      </c>
      <c r="D6692" s="242">
        <v>62.4</v>
      </c>
      <c r="E6692" s="845">
        <f t="shared" si="210"/>
        <v>16.888888888888889</v>
      </c>
    </row>
    <row r="6693" spans="2:5">
      <c r="B6693" s="1115">
        <v>45197</v>
      </c>
      <c r="C6693" s="242">
        <f t="shared" si="209"/>
        <v>9</v>
      </c>
      <c r="D6693" s="242">
        <v>62.4</v>
      </c>
      <c r="E6693" s="845">
        <f t="shared" si="210"/>
        <v>16.888888888888889</v>
      </c>
    </row>
    <row r="6694" spans="2:5">
      <c r="B6694" s="1115">
        <v>45197</v>
      </c>
      <c r="C6694" s="242">
        <f t="shared" si="209"/>
        <v>9</v>
      </c>
      <c r="D6694" s="242">
        <v>62.2</v>
      </c>
      <c r="E6694" s="845">
        <f t="shared" si="210"/>
        <v>16.777777777777779</v>
      </c>
    </row>
    <row r="6695" spans="2:5">
      <c r="B6695" s="1115">
        <v>45197</v>
      </c>
      <c r="C6695" s="242">
        <f t="shared" si="209"/>
        <v>9</v>
      </c>
      <c r="D6695" s="242">
        <v>61.9</v>
      </c>
      <c r="E6695" s="845">
        <f t="shared" si="210"/>
        <v>16.611111111111111</v>
      </c>
    </row>
    <row r="6696" spans="2:5">
      <c r="B6696" s="1115">
        <v>45197</v>
      </c>
      <c r="C6696" s="242">
        <f t="shared" si="209"/>
        <v>9</v>
      </c>
      <c r="D6696" s="242">
        <v>61.7</v>
      </c>
      <c r="E6696" s="845">
        <f t="shared" si="210"/>
        <v>16.5</v>
      </c>
    </row>
    <row r="6697" spans="2:5">
      <c r="B6697" s="1115">
        <v>45197</v>
      </c>
      <c r="C6697" s="242">
        <f t="shared" si="209"/>
        <v>9</v>
      </c>
      <c r="D6697" s="242">
        <v>61.5</v>
      </c>
      <c r="E6697" s="845">
        <f t="shared" si="210"/>
        <v>16.388888888888889</v>
      </c>
    </row>
    <row r="6698" spans="2:5">
      <c r="B6698" s="1115">
        <v>45197</v>
      </c>
      <c r="C6698" s="242">
        <f t="shared" si="209"/>
        <v>9</v>
      </c>
      <c r="D6698" s="242">
        <v>61.5</v>
      </c>
      <c r="E6698" s="845">
        <f t="shared" si="210"/>
        <v>16.388888888888889</v>
      </c>
    </row>
    <row r="6699" spans="2:5">
      <c r="B6699" s="1115">
        <v>45197</v>
      </c>
      <c r="C6699" s="242">
        <f t="shared" si="209"/>
        <v>9</v>
      </c>
      <c r="D6699" s="242">
        <v>61.7</v>
      </c>
      <c r="E6699" s="845">
        <f t="shared" si="210"/>
        <v>16.5</v>
      </c>
    </row>
    <row r="6700" spans="2:5">
      <c r="B6700" s="1115">
        <v>45197</v>
      </c>
      <c r="C6700" s="242">
        <f t="shared" si="209"/>
        <v>9</v>
      </c>
      <c r="D6700" s="242">
        <v>61.9</v>
      </c>
      <c r="E6700" s="845">
        <f t="shared" si="210"/>
        <v>16.611111111111111</v>
      </c>
    </row>
    <row r="6701" spans="2:5">
      <c r="B6701" s="1115">
        <v>45197</v>
      </c>
      <c r="C6701" s="242">
        <f t="shared" si="209"/>
        <v>9</v>
      </c>
      <c r="D6701" s="242">
        <v>62.4</v>
      </c>
      <c r="E6701" s="845">
        <f t="shared" si="210"/>
        <v>16.888888888888889</v>
      </c>
    </row>
    <row r="6702" spans="2:5">
      <c r="B6702" s="1115">
        <v>45197</v>
      </c>
      <c r="C6702" s="242">
        <f t="shared" si="209"/>
        <v>9</v>
      </c>
      <c r="D6702" s="242">
        <v>62.6</v>
      </c>
      <c r="E6702" s="845">
        <f t="shared" si="210"/>
        <v>17</v>
      </c>
    </row>
    <row r="6703" spans="2:5">
      <c r="B6703" s="1115">
        <v>45197</v>
      </c>
      <c r="C6703" s="242">
        <f t="shared" si="209"/>
        <v>9</v>
      </c>
      <c r="D6703" s="242">
        <v>62.8</v>
      </c>
      <c r="E6703" s="845">
        <f t="shared" si="210"/>
        <v>17.111111111111111</v>
      </c>
    </row>
    <row r="6704" spans="2:5">
      <c r="B6704" s="1115">
        <v>45197</v>
      </c>
      <c r="C6704" s="242">
        <f t="shared" si="209"/>
        <v>9</v>
      </c>
      <c r="D6704" s="242" t="s">
        <v>1851</v>
      </c>
      <c r="E6704" s="845">
        <f t="shared" si="210"/>
        <v>17.222222222222221</v>
      </c>
    </row>
    <row r="6705" spans="2:5">
      <c r="B6705" s="1115">
        <v>45198</v>
      </c>
      <c r="C6705" s="242">
        <f t="shared" si="209"/>
        <v>9</v>
      </c>
      <c r="D6705" s="242" t="s">
        <v>1851</v>
      </c>
      <c r="E6705" s="845">
        <f t="shared" si="210"/>
        <v>17.222222222222221</v>
      </c>
    </row>
    <row r="6706" spans="2:5">
      <c r="B6706" s="1115">
        <v>45198</v>
      </c>
      <c r="C6706" s="242">
        <f t="shared" si="209"/>
        <v>9</v>
      </c>
      <c r="D6706" s="242">
        <v>62.6</v>
      </c>
      <c r="E6706" s="845">
        <f t="shared" si="210"/>
        <v>17</v>
      </c>
    </row>
    <row r="6707" spans="2:5">
      <c r="B6707" s="1115">
        <v>45198</v>
      </c>
      <c r="C6707" s="242">
        <f t="shared" si="209"/>
        <v>9</v>
      </c>
      <c r="D6707" s="242">
        <v>62.1</v>
      </c>
      <c r="E6707" s="845">
        <f t="shared" si="210"/>
        <v>16.722222222222221</v>
      </c>
    </row>
    <row r="6708" spans="2:5">
      <c r="B6708" s="1115">
        <v>45198</v>
      </c>
      <c r="C6708" s="242">
        <f t="shared" si="209"/>
        <v>9</v>
      </c>
      <c r="D6708" s="242">
        <v>61.7</v>
      </c>
      <c r="E6708" s="845">
        <f t="shared" si="210"/>
        <v>16.5</v>
      </c>
    </row>
    <row r="6709" spans="2:5">
      <c r="B6709" s="1115">
        <v>45198</v>
      </c>
      <c r="C6709" s="242">
        <f t="shared" si="209"/>
        <v>9</v>
      </c>
      <c r="D6709" s="242">
        <v>61.5</v>
      </c>
      <c r="E6709" s="845">
        <f t="shared" si="210"/>
        <v>16.388888888888889</v>
      </c>
    </row>
    <row r="6710" spans="2:5">
      <c r="B6710" s="1115">
        <v>45198</v>
      </c>
      <c r="C6710" s="242">
        <f t="shared" si="209"/>
        <v>9</v>
      </c>
      <c r="D6710" s="242">
        <v>61.3</v>
      </c>
      <c r="E6710" s="845">
        <f t="shared" si="210"/>
        <v>16.277777777777775</v>
      </c>
    </row>
    <row r="6711" spans="2:5">
      <c r="B6711" s="1115">
        <v>45198</v>
      </c>
      <c r="C6711" s="242">
        <f t="shared" si="209"/>
        <v>9</v>
      </c>
      <c r="D6711" s="242">
        <v>61.3</v>
      </c>
      <c r="E6711" s="845">
        <f t="shared" si="210"/>
        <v>16.277777777777775</v>
      </c>
    </row>
    <row r="6712" spans="2:5">
      <c r="B6712" s="1115">
        <v>45198</v>
      </c>
      <c r="C6712" s="242">
        <f t="shared" si="209"/>
        <v>9</v>
      </c>
      <c r="D6712" s="242">
        <v>61.5</v>
      </c>
      <c r="E6712" s="845">
        <f t="shared" si="210"/>
        <v>16.388888888888889</v>
      </c>
    </row>
    <row r="6713" spans="2:5">
      <c r="B6713" s="1115">
        <v>45198</v>
      </c>
      <c r="C6713" s="242">
        <f t="shared" si="209"/>
        <v>9</v>
      </c>
      <c r="D6713" s="242">
        <v>61.7</v>
      </c>
      <c r="E6713" s="845">
        <f t="shared" si="210"/>
        <v>16.5</v>
      </c>
    </row>
    <row r="6714" spans="2:5">
      <c r="B6714" s="1115">
        <v>45198</v>
      </c>
      <c r="C6714" s="242">
        <f t="shared" si="209"/>
        <v>9</v>
      </c>
      <c r="D6714" s="242">
        <v>62.1</v>
      </c>
      <c r="E6714" s="845">
        <f t="shared" si="210"/>
        <v>16.722222222222221</v>
      </c>
    </row>
    <row r="6715" spans="2:5">
      <c r="B6715" s="1115">
        <v>45198</v>
      </c>
      <c r="C6715" s="242">
        <f t="shared" si="209"/>
        <v>9</v>
      </c>
      <c r="D6715" s="242">
        <v>62.2</v>
      </c>
      <c r="E6715" s="845">
        <f t="shared" si="210"/>
        <v>16.777777777777779</v>
      </c>
    </row>
    <row r="6716" spans="2:5">
      <c r="B6716" s="1115">
        <v>45198</v>
      </c>
      <c r="C6716" s="242">
        <f t="shared" si="209"/>
        <v>9</v>
      </c>
      <c r="D6716" s="242">
        <v>62.4</v>
      </c>
      <c r="E6716" s="845">
        <f t="shared" si="210"/>
        <v>16.888888888888889</v>
      </c>
    </row>
    <row r="6717" spans="2:5">
      <c r="B6717" s="1115">
        <v>45198</v>
      </c>
      <c r="C6717" s="242">
        <f t="shared" si="209"/>
        <v>9</v>
      </c>
      <c r="D6717" s="242">
        <v>62.4</v>
      </c>
      <c r="E6717" s="845">
        <f t="shared" si="210"/>
        <v>16.888888888888889</v>
      </c>
    </row>
    <row r="6718" spans="2:5">
      <c r="B6718" s="1115">
        <v>45198</v>
      </c>
      <c r="C6718" s="242">
        <f t="shared" si="209"/>
        <v>9</v>
      </c>
      <c r="D6718" s="242">
        <v>62.1</v>
      </c>
      <c r="E6718" s="845">
        <f t="shared" si="210"/>
        <v>16.722222222222221</v>
      </c>
    </row>
    <row r="6719" spans="2:5">
      <c r="B6719" s="1115">
        <v>45198</v>
      </c>
      <c r="C6719" s="242">
        <f t="shared" si="209"/>
        <v>9</v>
      </c>
      <c r="D6719" s="242">
        <v>61.7</v>
      </c>
      <c r="E6719" s="845">
        <f t="shared" si="210"/>
        <v>16.5</v>
      </c>
    </row>
    <row r="6720" spans="2:5">
      <c r="B6720" s="1115">
        <v>45198</v>
      </c>
      <c r="C6720" s="242">
        <f t="shared" si="209"/>
        <v>9</v>
      </c>
      <c r="D6720" s="242">
        <v>61.2</v>
      </c>
      <c r="E6720" s="845">
        <f t="shared" si="210"/>
        <v>16.222222222222225</v>
      </c>
    </row>
    <row r="6721" spans="2:5">
      <c r="B6721" s="1115">
        <v>45198</v>
      </c>
      <c r="C6721" s="242">
        <f t="shared" si="209"/>
        <v>9</v>
      </c>
      <c r="D6721" s="242" t="s">
        <v>1850</v>
      </c>
      <c r="E6721" s="845">
        <f t="shared" si="210"/>
        <v>16.111111111111111</v>
      </c>
    </row>
    <row r="6722" spans="2:5">
      <c r="B6722" s="1115">
        <v>45198</v>
      </c>
      <c r="C6722" s="242">
        <f t="shared" si="209"/>
        <v>9</v>
      </c>
      <c r="D6722" s="242">
        <v>60.8</v>
      </c>
      <c r="E6722" s="845">
        <f t="shared" si="210"/>
        <v>15.999999999999998</v>
      </c>
    </row>
    <row r="6723" spans="2:5">
      <c r="B6723" s="1115">
        <v>45198</v>
      </c>
      <c r="C6723" s="242">
        <f t="shared" si="209"/>
        <v>9</v>
      </c>
      <c r="D6723" s="242" t="s">
        <v>1850</v>
      </c>
      <c r="E6723" s="845">
        <f t="shared" si="210"/>
        <v>16.111111111111111</v>
      </c>
    </row>
    <row r="6724" spans="2:5">
      <c r="B6724" s="1115">
        <v>45198</v>
      </c>
      <c r="C6724" s="242">
        <f t="shared" si="209"/>
        <v>9</v>
      </c>
      <c r="D6724" s="242" t="s">
        <v>1850</v>
      </c>
      <c r="E6724" s="845">
        <f t="shared" si="210"/>
        <v>16.111111111111111</v>
      </c>
    </row>
    <row r="6725" spans="2:5">
      <c r="B6725" s="1115">
        <v>45198</v>
      </c>
      <c r="C6725" s="242">
        <f t="shared" si="209"/>
        <v>9</v>
      </c>
      <c r="D6725" s="242">
        <v>61.3</v>
      </c>
      <c r="E6725" s="845">
        <f t="shared" si="210"/>
        <v>16.277777777777775</v>
      </c>
    </row>
    <row r="6726" spans="2:5">
      <c r="B6726" s="1115">
        <v>45198</v>
      </c>
      <c r="C6726" s="242">
        <f t="shared" si="209"/>
        <v>9</v>
      </c>
      <c r="D6726" s="242">
        <v>61.7</v>
      </c>
      <c r="E6726" s="845">
        <f t="shared" si="210"/>
        <v>16.5</v>
      </c>
    </row>
    <row r="6727" spans="2:5">
      <c r="B6727" s="1115">
        <v>45198</v>
      </c>
      <c r="C6727" s="242">
        <f t="shared" si="209"/>
        <v>9</v>
      </c>
      <c r="D6727" s="242">
        <v>62.1</v>
      </c>
      <c r="E6727" s="845">
        <f t="shared" si="210"/>
        <v>16.722222222222221</v>
      </c>
    </row>
    <row r="6728" spans="2:5">
      <c r="B6728" s="1115">
        <v>45198</v>
      </c>
      <c r="C6728" s="242">
        <f t="shared" si="209"/>
        <v>9</v>
      </c>
      <c r="D6728" s="242">
        <v>62.2</v>
      </c>
      <c r="E6728" s="845">
        <f t="shared" si="210"/>
        <v>16.777777777777779</v>
      </c>
    </row>
    <row r="6729" spans="2:5">
      <c r="B6729" s="1115">
        <v>45199</v>
      </c>
      <c r="C6729" s="242">
        <f t="shared" si="209"/>
        <v>9</v>
      </c>
      <c r="D6729" s="242">
        <v>62.4</v>
      </c>
      <c r="E6729" s="845">
        <f t="shared" si="210"/>
        <v>16.888888888888889</v>
      </c>
    </row>
    <row r="6730" spans="2:5">
      <c r="B6730" s="1115">
        <v>45199</v>
      </c>
      <c r="C6730" s="242">
        <f t="shared" ref="C6730:C6793" si="211">MONTH(B6730)</f>
        <v>9</v>
      </c>
      <c r="D6730" s="242">
        <v>62.4</v>
      </c>
      <c r="E6730" s="845">
        <f t="shared" ref="E6730:E6793" si="212">CONVERT(D6730,"F","C")</f>
        <v>16.888888888888889</v>
      </c>
    </row>
    <row r="6731" spans="2:5">
      <c r="B6731" s="1115">
        <v>45199</v>
      </c>
      <c r="C6731" s="242">
        <f t="shared" si="211"/>
        <v>9</v>
      </c>
      <c r="D6731" s="242">
        <v>61.9</v>
      </c>
      <c r="E6731" s="845">
        <f t="shared" si="212"/>
        <v>16.611111111111111</v>
      </c>
    </row>
    <row r="6732" spans="2:5">
      <c r="B6732" s="1115">
        <v>45199</v>
      </c>
      <c r="C6732" s="242">
        <f t="shared" si="211"/>
        <v>9</v>
      </c>
      <c r="D6732" s="242">
        <v>61.5</v>
      </c>
      <c r="E6732" s="845">
        <f t="shared" si="212"/>
        <v>16.388888888888889</v>
      </c>
    </row>
    <row r="6733" spans="2:5">
      <c r="B6733" s="1115">
        <v>45199</v>
      </c>
      <c r="C6733" s="242">
        <f t="shared" si="211"/>
        <v>9</v>
      </c>
      <c r="D6733" s="242">
        <v>61.2</v>
      </c>
      <c r="E6733" s="845">
        <f t="shared" si="212"/>
        <v>16.222222222222225</v>
      </c>
    </row>
    <row r="6734" spans="2:5">
      <c r="B6734" s="1115">
        <v>45199</v>
      </c>
      <c r="C6734" s="242">
        <f t="shared" si="211"/>
        <v>9</v>
      </c>
      <c r="D6734" s="242">
        <v>60.8</v>
      </c>
      <c r="E6734" s="845">
        <f t="shared" si="212"/>
        <v>15.999999999999998</v>
      </c>
    </row>
    <row r="6735" spans="2:5">
      <c r="B6735" s="1115">
        <v>45199</v>
      </c>
      <c r="C6735" s="242">
        <f t="shared" si="211"/>
        <v>9</v>
      </c>
      <c r="D6735" s="242">
        <v>60.8</v>
      </c>
      <c r="E6735" s="845">
        <f t="shared" si="212"/>
        <v>15.999999999999998</v>
      </c>
    </row>
    <row r="6736" spans="2:5">
      <c r="B6736" s="1115">
        <v>45199</v>
      </c>
      <c r="C6736" s="242">
        <f t="shared" si="211"/>
        <v>9</v>
      </c>
      <c r="D6736" s="242">
        <v>60.8</v>
      </c>
      <c r="E6736" s="845">
        <f t="shared" si="212"/>
        <v>15.999999999999998</v>
      </c>
    </row>
    <row r="6737" spans="2:5">
      <c r="B6737" s="1115">
        <v>45199</v>
      </c>
      <c r="C6737" s="242">
        <f t="shared" si="211"/>
        <v>9</v>
      </c>
      <c r="D6737" s="242" t="s">
        <v>1850</v>
      </c>
      <c r="E6737" s="845">
        <f t="shared" si="212"/>
        <v>16.111111111111111</v>
      </c>
    </row>
    <row r="6738" spans="2:5">
      <c r="B6738" s="1115">
        <v>45199</v>
      </c>
      <c r="C6738" s="242">
        <f t="shared" si="211"/>
        <v>9</v>
      </c>
      <c r="D6738" s="242">
        <v>61.3</v>
      </c>
      <c r="E6738" s="845">
        <f t="shared" si="212"/>
        <v>16.277777777777775</v>
      </c>
    </row>
    <row r="6739" spans="2:5">
      <c r="B6739" s="1115">
        <v>45199</v>
      </c>
      <c r="C6739" s="242">
        <f t="shared" si="211"/>
        <v>9</v>
      </c>
      <c r="D6739" s="242">
        <v>61.7</v>
      </c>
      <c r="E6739" s="845">
        <f t="shared" si="212"/>
        <v>16.5</v>
      </c>
    </row>
    <row r="6740" spans="2:5">
      <c r="B6740" s="1115">
        <v>45199</v>
      </c>
      <c r="C6740" s="242">
        <f t="shared" si="211"/>
        <v>9</v>
      </c>
      <c r="D6740" s="242">
        <v>61.9</v>
      </c>
      <c r="E6740" s="845">
        <f t="shared" si="212"/>
        <v>16.611111111111111</v>
      </c>
    </row>
    <row r="6741" spans="2:5">
      <c r="B6741" s="1115">
        <v>45199</v>
      </c>
      <c r="C6741" s="242">
        <f t="shared" si="211"/>
        <v>9</v>
      </c>
      <c r="D6741" s="242">
        <v>62.1</v>
      </c>
      <c r="E6741" s="845">
        <f t="shared" si="212"/>
        <v>16.722222222222221</v>
      </c>
    </row>
    <row r="6742" spans="2:5">
      <c r="B6742" s="1115">
        <v>45199</v>
      </c>
      <c r="C6742" s="242">
        <f t="shared" si="211"/>
        <v>9</v>
      </c>
      <c r="D6742" s="242">
        <v>62.1</v>
      </c>
      <c r="E6742" s="845">
        <f t="shared" si="212"/>
        <v>16.722222222222221</v>
      </c>
    </row>
    <row r="6743" spans="2:5">
      <c r="B6743" s="1115">
        <v>45199</v>
      </c>
      <c r="C6743" s="242">
        <f t="shared" si="211"/>
        <v>9</v>
      </c>
      <c r="D6743" s="242">
        <v>61.7</v>
      </c>
      <c r="E6743" s="845">
        <f t="shared" si="212"/>
        <v>16.5</v>
      </c>
    </row>
    <row r="6744" spans="2:5">
      <c r="B6744" s="1115">
        <v>45199</v>
      </c>
      <c r="C6744" s="242">
        <f t="shared" si="211"/>
        <v>9</v>
      </c>
      <c r="D6744" s="242">
        <v>61.2</v>
      </c>
      <c r="E6744" s="845">
        <f t="shared" si="212"/>
        <v>16.222222222222225</v>
      </c>
    </row>
    <row r="6745" spans="2:5">
      <c r="B6745" s="1115">
        <v>45199</v>
      </c>
      <c r="C6745" s="242">
        <f t="shared" si="211"/>
        <v>9</v>
      </c>
      <c r="D6745" s="242" t="s">
        <v>1850</v>
      </c>
      <c r="E6745" s="845">
        <f t="shared" si="212"/>
        <v>16.111111111111111</v>
      </c>
    </row>
    <row r="6746" spans="2:5">
      <c r="B6746" s="1115">
        <v>45199</v>
      </c>
      <c r="C6746" s="242">
        <f t="shared" si="211"/>
        <v>9</v>
      </c>
      <c r="D6746" s="242">
        <v>60.8</v>
      </c>
      <c r="E6746" s="845">
        <f t="shared" si="212"/>
        <v>15.999999999999998</v>
      </c>
    </row>
    <row r="6747" spans="2:5">
      <c r="B6747" s="1115">
        <v>45199</v>
      </c>
      <c r="C6747" s="242">
        <f t="shared" si="211"/>
        <v>9</v>
      </c>
      <c r="D6747" s="242">
        <v>60.6</v>
      </c>
      <c r="E6747" s="845">
        <f t="shared" si="212"/>
        <v>15.888888888888889</v>
      </c>
    </row>
    <row r="6748" spans="2:5">
      <c r="B6748" s="1115">
        <v>45199</v>
      </c>
      <c r="C6748" s="242">
        <f t="shared" si="211"/>
        <v>9</v>
      </c>
      <c r="D6748" s="242">
        <v>60.6</v>
      </c>
      <c r="E6748" s="845">
        <f t="shared" si="212"/>
        <v>15.888888888888889</v>
      </c>
    </row>
    <row r="6749" spans="2:5">
      <c r="B6749" s="1115">
        <v>45199</v>
      </c>
      <c r="C6749" s="242">
        <f t="shared" si="211"/>
        <v>9</v>
      </c>
      <c r="D6749" s="242">
        <v>60.8</v>
      </c>
      <c r="E6749" s="845">
        <f t="shared" si="212"/>
        <v>15.999999999999998</v>
      </c>
    </row>
    <row r="6750" spans="2:5">
      <c r="B6750" s="1115">
        <v>45199</v>
      </c>
      <c r="C6750" s="242">
        <f t="shared" si="211"/>
        <v>9</v>
      </c>
      <c r="D6750" s="242">
        <v>61.2</v>
      </c>
      <c r="E6750" s="845">
        <f t="shared" si="212"/>
        <v>16.222222222222225</v>
      </c>
    </row>
    <row r="6751" spans="2:5">
      <c r="B6751" s="1115">
        <v>45199</v>
      </c>
      <c r="C6751" s="242">
        <f t="shared" si="211"/>
        <v>9</v>
      </c>
      <c r="D6751" s="242">
        <v>61.5</v>
      </c>
      <c r="E6751" s="845">
        <f t="shared" si="212"/>
        <v>16.388888888888889</v>
      </c>
    </row>
    <row r="6752" spans="2:5">
      <c r="B6752" s="1115">
        <v>45199</v>
      </c>
      <c r="C6752" s="242">
        <f t="shared" si="211"/>
        <v>9</v>
      </c>
      <c r="D6752" s="242">
        <v>61.9</v>
      </c>
      <c r="E6752" s="845">
        <f t="shared" si="212"/>
        <v>16.611111111111111</v>
      </c>
    </row>
    <row r="6753" spans="2:5">
      <c r="B6753" s="1115">
        <v>45200</v>
      </c>
      <c r="C6753" s="242">
        <f t="shared" si="211"/>
        <v>10</v>
      </c>
      <c r="D6753" s="242">
        <v>62.1</v>
      </c>
      <c r="E6753" s="845">
        <f t="shared" si="212"/>
        <v>16.722222222222221</v>
      </c>
    </row>
    <row r="6754" spans="2:5">
      <c r="B6754" s="1115">
        <v>45200</v>
      </c>
      <c r="C6754" s="242">
        <f t="shared" si="211"/>
        <v>10</v>
      </c>
      <c r="D6754" s="242">
        <v>62.2</v>
      </c>
      <c r="E6754" s="845">
        <f t="shared" si="212"/>
        <v>16.777777777777779</v>
      </c>
    </row>
    <row r="6755" spans="2:5">
      <c r="B6755" s="1115">
        <v>45200</v>
      </c>
      <c r="C6755" s="242">
        <f t="shared" si="211"/>
        <v>10</v>
      </c>
      <c r="D6755" s="242">
        <v>62.1</v>
      </c>
      <c r="E6755" s="845">
        <f t="shared" si="212"/>
        <v>16.722222222222221</v>
      </c>
    </row>
    <row r="6756" spans="2:5">
      <c r="B6756" s="1115">
        <v>45200</v>
      </c>
      <c r="C6756" s="242">
        <f t="shared" si="211"/>
        <v>10</v>
      </c>
      <c r="D6756" s="242">
        <v>61.5</v>
      </c>
      <c r="E6756" s="845">
        <f t="shared" si="212"/>
        <v>16.388888888888889</v>
      </c>
    </row>
    <row r="6757" spans="2:5">
      <c r="B6757" s="1115">
        <v>45200</v>
      </c>
      <c r="C6757" s="242">
        <f t="shared" si="211"/>
        <v>10</v>
      </c>
      <c r="D6757" s="242">
        <v>61.2</v>
      </c>
      <c r="E6757" s="845">
        <f t="shared" si="212"/>
        <v>16.222222222222225</v>
      </c>
    </row>
    <row r="6758" spans="2:5">
      <c r="B6758" s="1115">
        <v>45200</v>
      </c>
      <c r="C6758" s="242">
        <f t="shared" si="211"/>
        <v>10</v>
      </c>
      <c r="D6758" s="242" t="s">
        <v>1850</v>
      </c>
      <c r="E6758" s="845">
        <f t="shared" si="212"/>
        <v>16.111111111111111</v>
      </c>
    </row>
    <row r="6759" spans="2:5">
      <c r="B6759" s="1115">
        <v>45200</v>
      </c>
      <c r="C6759" s="242">
        <f t="shared" si="211"/>
        <v>10</v>
      </c>
      <c r="D6759" s="242">
        <v>60.8</v>
      </c>
      <c r="E6759" s="845">
        <f t="shared" si="212"/>
        <v>15.999999999999998</v>
      </c>
    </row>
    <row r="6760" spans="2:5">
      <c r="B6760" s="1115">
        <v>45200</v>
      </c>
      <c r="C6760" s="242">
        <f t="shared" si="211"/>
        <v>10</v>
      </c>
      <c r="D6760" s="242">
        <v>60.6</v>
      </c>
      <c r="E6760" s="845">
        <f t="shared" si="212"/>
        <v>15.888888888888889</v>
      </c>
    </row>
    <row r="6761" spans="2:5">
      <c r="B6761" s="1115">
        <v>45200</v>
      </c>
      <c r="C6761" s="242">
        <f t="shared" si="211"/>
        <v>10</v>
      </c>
      <c r="D6761" s="242">
        <v>60.6</v>
      </c>
      <c r="E6761" s="845">
        <f t="shared" si="212"/>
        <v>15.888888888888889</v>
      </c>
    </row>
    <row r="6762" spans="2:5">
      <c r="B6762" s="1115">
        <v>45200</v>
      </c>
      <c r="C6762" s="242">
        <f t="shared" si="211"/>
        <v>10</v>
      </c>
      <c r="D6762" s="242">
        <v>60.8</v>
      </c>
      <c r="E6762" s="845">
        <f t="shared" si="212"/>
        <v>15.999999999999998</v>
      </c>
    </row>
    <row r="6763" spans="2:5">
      <c r="B6763" s="1115">
        <v>45200</v>
      </c>
      <c r="C6763" s="242">
        <f t="shared" si="211"/>
        <v>10</v>
      </c>
      <c r="D6763" s="242">
        <v>61.2</v>
      </c>
      <c r="E6763" s="845">
        <f t="shared" si="212"/>
        <v>16.222222222222225</v>
      </c>
    </row>
    <row r="6764" spans="2:5">
      <c r="B6764" s="1115">
        <v>45200</v>
      </c>
      <c r="C6764" s="242">
        <f t="shared" si="211"/>
        <v>10</v>
      </c>
      <c r="D6764" s="242">
        <v>61.3</v>
      </c>
      <c r="E6764" s="845">
        <f t="shared" si="212"/>
        <v>16.277777777777775</v>
      </c>
    </row>
    <row r="6765" spans="2:5">
      <c r="B6765" s="1115">
        <v>45200</v>
      </c>
      <c r="C6765" s="242">
        <f t="shared" si="211"/>
        <v>10</v>
      </c>
      <c r="D6765" s="242">
        <v>61.5</v>
      </c>
      <c r="E6765" s="845">
        <f t="shared" si="212"/>
        <v>16.388888888888889</v>
      </c>
    </row>
    <row r="6766" spans="2:5">
      <c r="B6766" s="1115">
        <v>45200</v>
      </c>
      <c r="C6766" s="242">
        <f t="shared" si="211"/>
        <v>10</v>
      </c>
      <c r="D6766" s="242">
        <v>61.7</v>
      </c>
      <c r="E6766" s="845">
        <f t="shared" si="212"/>
        <v>16.5</v>
      </c>
    </row>
    <row r="6767" spans="2:5">
      <c r="B6767" s="1115">
        <v>45200</v>
      </c>
      <c r="C6767" s="242">
        <f t="shared" si="211"/>
        <v>10</v>
      </c>
      <c r="D6767" s="242">
        <v>61.7</v>
      </c>
      <c r="E6767" s="845">
        <f t="shared" si="212"/>
        <v>16.5</v>
      </c>
    </row>
    <row r="6768" spans="2:5">
      <c r="B6768" s="1115">
        <v>45200</v>
      </c>
      <c r="C6768" s="242">
        <f t="shared" si="211"/>
        <v>10</v>
      </c>
      <c r="D6768" s="242">
        <v>61.2</v>
      </c>
      <c r="E6768" s="845">
        <f t="shared" si="212"/>
        <v>16.222222222222225</v>
      </c>
    </row>
    <row r="6769" spans="2:5">
      <c r="B6769" s="1115">
        <v>45200</v>
      </c>
      <c r="C6769" s="242">
        <f t="shared" si="211"/>
        <v>10</v>
      </c>
      <c r="D6769" s="242">
        <v>60.8</v>
      </c>
      <c r="E6769" s="845">
        <f t="shared" si="212"/>
        <v>15.999999999999998</v>
      </c>
    </row>
    <row r="6770" spans="2:5">
      <c r="B6770" s="1115">
        <v>45200</v>
      </c>
      <c r="C6770" s="242">
        <f t="shared" si="211"/>
        <v>10</v>
      </c>
      <c r="D6770" s="242">
        <v>60.6</v>
      </c>
      <c r="E6770" s="845">
        <f t="shared" si="212"/>
        <v>15.888888888888889</v>
      </c>
    </row>
    <row r="6771" spans="2:5">
      <c r="B6771" s="1115">
        <v>45200</v>
      </c>
      <c r="C6771" s="242">
        <f t="shared" si="211"/>
        <v>10</v>
      </c>
      <c r="D6771" s="242">
        <v>60.6</v>
      </c>
      <c r="E6771" s="845">
        <f t="shared" si="212"/>
        <v>15.888888888888889</v>
      </c>
    </row>
    <row r="6772" spans="2:5">
      <c r="B6772" s="1115">
        <v>45200</v>
      </c>
      <c r="C6772" s="242">
        <f t="shared" si="211"/>
        <v>10</v>
      </c>
      <c r="D6772" s="242">
        <v>60.6</v>
      </c>
      <c r="E6772" s="845">
        <f t="shared" si="212"/>
        <v>15.888888888888889</v>
      </c>
    </row>
    <row r="6773" spans="2:5">
      <c r="B6773" s="1115">
        <v>45200</v>
      </c>
      <c r="C6773" s="242">
        <f t="shared" si="211"/>
        <v>10</v>
      </c>
      <c r="D6773" s="242">
        <v>60.8</v>
      </c>
      <c r="E6773" s="845">
        <f t="shared" si="212"/>
        <v>15.999999999999998</v>
      </c>
    </row>
    <row r="6774" spans="2:5">
      <c r="B6774" s="1115">
        <v>45200</v>
      </c>
      <c r="C6774" s="242">
        <f t="shared" si="211"/>
        <v>10</v>
      </c>
      <c r="D6774" s="242" t="s">
        <v>1850</v>
      </c>
      <c r="E6774" s="845">
        <f t="shared" si="212"/>
        <v>16.111111111111111</v>
      </c>
    </row>
    <row r="6775" spans="2:5">
      <c r="B6775" s="1115">
        <v>45200</v>
      </c>
      <c r="C6775" s="242">
        <f t="shared" si="211"/>
        <v>10</v>
      </c>
      <c r="D6775" s="242">
        <v>61.3</v>
      </c>
      <c r="E6775" s="845">
        <f t="shared" si="212"/>
        <v>16.277777777777775</v>
      </c>
    </row>
    <row r="6776" spans="2:5">
      <c r="B6776" s="1115">
        <v>45200</v>
      </c>
      <c r="C6776" s="242">
        <f t="shared" si="211"/>
        <v>10</v>
      </c>
      <c r="D6776" s="242">
        <v>61.7</v>
      </c>
      <c r="E6776" s="845">
        <f t="shared" si="212"/>
        <v>16.5</v>
      </c>
    </row>
    <row r="6777" spans="2:5">
      <c r="B6777" s="1115">
        <v>45201</v>
      </c>
      <c r="C6777" s="242">
        <f t="shared" si="211"/>
        <v>10</v>
      </c>
      <c r="D6777" s="242">
        <v>61.9</v>
      </c>
      <c r="E6777" s="845">
        <f t="shared" si="212"/>
        <v>16.611111111111111</v>
      </c>
    </row>
    <row r="6778" spans="2:5">
      <c r="B6778" s="1115">
        <v>45201</v>
      </c>
      <c r="C6778" s="242">
        <f t="shared" si="211"/>
        <v>10</v>
      </c>
      <c r="D6778" s="242">
        <v>62.2</v>
      </c>
      <c r="E6778" s="845">
        <f t="shared" si="212"/>
        <v>16.777777777777779</v>
      </c>
    </row>
    <row r="6779" spans="2:5">
      <c r="B6779" s="1115">
        <v>45201</v>
      </c>
      <c r="C6779" s="242">
        <f t="shared" si="211"/>
        <v>10</v>
      </c>
      <c r="D6779" s="242">
        <v>62.2</v>
      </c>
      <c r="E6779" s="845">
        <f t="shared" si="212"/>
        <v>16.777777777777779</v>
      </c>
    </row>
    <row r="6780" spans="2:5">
      <c r="B6780" s="1115">
        <v>45201</v>
      </c>
      <c r="C6780" s="242">
        <f t="shared" si="211"/>
        <v>10</v>
      </c>
      <c r="D6780" s="242">
        <v>62.1</v>
      </c>
      <c r="E6780" s="845">
        <f t="shared" si="212"/>
        <v>16.722222222222221</v>
      </c>
    </row>
    <row r="6781" spans="2:5">
      <c r="B6781" s="1115">
        <v>45201</v>
      </c>
      <c r="C6781" s="242">
        <f t="shared" si="211"/>
        <v>10</v>
      </c>
      <c r="D6781" s="242">
        <v>61.7</v>
      </c>
      <c r="E6781" s="845">
        <f t="shared" si="212"/>
        <v>16.5</v>
      </c>
    </row>
    <row r="6782" spans="2:5">
      <c r="B6782" s="1115">
        <v>45201</v>
      </c>
      <c r="C6782" s="242">
        <f t="shared" si="211"/>
        <v>10</v>
      </c>
      <c r="D6782" s="242">
        <v>61.2</v>
      </c>
      <c r="E6782" s="845">
        <f t="shared" si="212"/>
        <v>16.222222222222225</v>
      </c>
    </row>
    <row r="6783" spans="2:5">
      <c r="B6783" s="1115">
        <v>45201</v>
      </c>
      <c r="C6783" s="242">
        <f t="shared" si="211"/>
        <v>10</v>
      </c>
      <c r="D6783" s="242" t="s">
        <v>1850</v>
      </c>
      <c r="E6783" s="845">
        <f t="shared" si="212"/>
        <v>16.111111111111111</v>
      </c>
    </row>
    <row r="6784" spans="2:5">
      <c r="B6784" s="1115">
        <v>45201</v>
      </c>
      <c r="C6784" s="242">
        <f t="shared" si="211"/>
        <v>10</v>
      </c>
      <c r="D6784" s="242">
        <v>60.8</v>
      </c>
      <c r="E6784" s="845">
        <f t="shared" si="212"/>
        <v>15.999999999999998</v>
      </c>
    </row>
    <row r="6785" spans="2:5">
      <c r="B6785" s="1115">
        <v>45201</v>
      </c>
      <c r="C6785" s="242">
        <f t="shared" si="211"/>
        <v>10</v>
      </c>
      <c r="D6785" s="242">
        <v>60.6</v>
      </c>
      <c r="E6785" s="845">
        <f t="shared" si="212"/>
        <v>15.888888888888889</v>
      </c>
    </row>
    <row r="6786" spans="2:5">
      <c r="B6786" s="1115">
        <v>45201</v>
      </c>
      <c r="C6786" s="242">
        <f t="shared" si="211"/>
        <v>10</v>
      </c>
      <c r="D6786" s="242">
        <v>60.8</v>
      </c>
      <c r="E6786" s="845">
        <f t="shared" si="212"/>
        <v>15.999999999999998</v>
      </c>
    </row>
    <row r="6787" spans="2:5">
      <c r="B6787" s="1115">
        <v>45201</v>
      </c>
      <c r="C6787" s="242">
        <f t="shared" si="211"/>
        <v>10</v>
      </c>
      <c r="D6787" s="242" t="s">
        <v>1850</v>
      </c>
      <c r="E6787" s="845">
        <f t="shared" si="212"/>
        <v>16.111111111111111</v>
      </c>
    </row>
    <row r="6788" spans="2:5">
      <c r="B6788" s="1115">
        <v>45201</v>
      </c>
      <c r="C6788" s="242">
        <f t="shared" si="211"/>
        <v>10</v>
      </c>
      <c r="D6788" s="242">
        <v>61.3</v>
      </c>
      <c r="E6788" s="845">
        <f t="shared" si="212"/>
        <v>16.277777777777775</v>
      </c>
    </row>
    <row r="6789" spans="2:5">
      <c r="B6789" s="1115">
        <v>45201</v>
      </c>
      <c r="C6789" s="242">
        <f t="shared" si="211"/>
        <v>10</v>
      </c>
      <c r="D6789" s="242">
        <v>61.7</v>
      </c>
      <c r="E6789" s="845">
        <f t="shared" si="212"/>
        <v>16.5</v>
      </c>
    </row>
    <row r="6790" spans="2:5">
      <c r="B6790" s="1115">
        <v>45201</v>
      </c>
      <c r="C6790" s="242">
        <f t="shared" si="211"/>
        <v>10</v>
      </c>
      <c r="D6790" s="242">
        <v>61.9</v>
      </c>
      <c r="E6790" s="845">
        <f t="shared" si="212"/>
        <v>16.611111111111111</v>
      </c>
    </row>
    <row r="6791" spans="2:5">
      <c r="B6791" s="1115">
        <v>45201</v>
      </c>
      <c r="C6791" s="242">
        <f t="shared" si="211"/>
        <v>10</v>
      </c>
      <c r="D6791" s="242">
        <v>62.1</v>
      </c>
      <c r="E6791" s="845">
        <f t="shared" si="212"/>
        <v>16.722222222222221</v>
      </c>
    </row>
    <row r="6792" spans="2:5">
      <c r="B6792" s="1115">
        <v>45201</v>
      </c>
      <c r="C6792" s="242">
        <f t="shared" si="211"/>
        <v>10</v>
      </c>
      <c r="D6792" s="242">
        <v>61.9</v>
      </c>
      <c r="E6792" s="845">
        <f t="shared" si="212"/>
        <v>16.611111111111111</v>
      </c>
    </row>
    <row r="6793" spans="2:5">
      <c r="B6793" s="1115">
        <v>45201</v>
      </c>
      <c r="C6793" s="242">
        <f t="shared" si="211"/>
        <v>10</v>
      </c>
      <c r="D6793" s="242">
        <v>61.3</v>
      </c>
      <c r="E6793" s="845">
        <f t="shared" si="212"/>
        <v>16.277777777777775</v>
      </c>
    </row>
    <row r="6794" spans="2:5">
      <c r="B6794" s="1115">
        <v>45201</v>
      </c>
      <c r="C6794" s="242">
        <f t="shared" ref="C6794:C6857" si="213">MONTH(B6794)</f>
        <v>10</v>
      </c>
      <c r="D6794" s="242">
        <v>61.2</v>
      </c>
      <c r="E6794" s="845">
        <f t="shared" ref="E6794:E6857" si="214">CONVERT(D6794,"F","C")</f>
        <v>16.222222222222225</v>
      </c>
    </row>
    <row r="6795" spans="2:5">
      <c r="B6795" s="1115">
        <v>45201</v>
      </c>
      <c r="C6795" s="242">
        <f t="shared" si="213"/>
        <v>10</v>
      </c>
      <c r="D6795" s="242" t="s">
        <v>1850</v>
      </c>
      <c r="E6795" s="845">
        <f t="shared" si="214"/>
        <v>16.111111111111111</v>
      </c>
    </row>
    <row r="6796" spans="2:5">
      <c r="B6796" s="1115">
        <v>45201</v>
      </c>
      <c r="C6796" s="242">
        <f t="shared" si="213"/>
        <v>10</v>
      </c>
      <c r="D6796" s="242" t="s">
        <v>1850</v>
      </c>
      <c r="E6796" s="845">
        <f t="shared" si="214"/>
        <v>16.111111111111111</v>
      </c>
    </row>
    <row r="6797" spans="2:5">
      <c r="B6797" s="1115">
        <v>45201</v>
      </c>
      <c r="C6797" s="242">
        <f t="shared" si="213"/>
        <v>10</v>
      </c>
      <c r="D6797" s="242" t="s">
        <v>1850</v>
      </c>
      <c r="E6797" s="845">
        <f t="shared" si="214"/>
        <v>16.111111111111111</v>
      </c>
    </row>
    <row r="6798" spans="2:5">
      <c r="B6798" s="1115">
        <v>45201</v>
      </c>
      <c r="C6798" s="242">
        <f t="shared" si="213"/>
        <v>10</v>
      </c>
      <c r="D6798" s="242" t="s">
        <v>1850</v>
      </c>
      <c r="E6798" s="845">
        <f t="shared" si="214"/>
        <v>16.111111111111111</v>
      </c>
    </row>
    <row r="6799" spans="2:5">
      <c r="B6799" s="1115">
        <v>45201</v>
      </c>
      <c r="C6799" s="242">
        <f t="shared" si="213"/>
        <v>10</v>
      </c>
      <c r="D6799" s="242">
        <v>61.2</v>
      </c>
      <c r="E6799" s="845">
        <f t="shared" si="214"/>
        <v>16.222222222222225</v>
      </c>
    </row>
    <row r="6800" spans="2:5">
      <c r="B6800" s="1115">
        <v>45201</v>
      </c>
      <c r="C6800" s="242">
        <f t="shared" si="213"/>
        <v>10</v>
      </c>
      <c r="D6800" s="242">
        <v>61.7</v>
      </c>
      <c r="E6800" s="845">
        <f t="shared" si="214"/>
        <v>16.5</v>
      </c>
    </row>
    <row r="6801" spans="2:5">
      <c r="B6801" s="1115">
        <v>45202</v>
      </c>
      <c r="C6801" s="242">
        <f t="shared" si="213"/>
        <v>10</v>
      </c>
      <c r="D6801" s="242">
        <v>61.9</v>
      </c>
      <c r="E6801" s="845">
        <f t="shared" si="214"/>
        <v>16.611111111111111</v>
      </c>
    </row>
    <row r="6802" spans="2:5">
      <c r="B6802" s="1115">
        <v>45202</v>
      </c>
      <c r="C6802" s="242">
        <f t="shared" si="213"/>
        <v>10</v>
      </c>
      <c r="D6802" s="242">
        <v>62.2</v>
      </c>
      <c r="E6802" s="845">
        <f t="shared" si="214"/>
        <v>16.777777777777779</v>
      </c>
    </row>
    <row r="6803" spans="2:5">
      <c r="B6803" s="1115">
        <v>45202</v>
      </c>
      <c r="C6803" s="242">
        <f t="shared" si="213"/>
        <v>10</v>
      </c>
      <c r="D6803" s="242">
        <v>62.4</v>
      </c>
      <c r="E6803" s="845">
        <f t="shared" si="214"/>
        <v>16.888888888888889</v>
      </c>
    </row>
    <row r="6804" spans="2:5">
      <c r="B6804" s="1115">
        <v>45202</v>
      </c>
      <c r="C6804" s="242">
        <f t="shared" si="213"/>
        <v>10</v>
      </c>
      <c r="D6804" s="242">
        <v>62.4</v>
      </c>
      <c r="E6804" s="845">
        <f t="shared" si="214"/>
        <v>16.888888888888889</v>
      </c>
    </row>
    <row r="6805" spans="2:5">
      <c r="B6805" s="1115">
        <v>45202</v>
      </c>
      <c r="C6805" s="242">
        <f t="shared" si="213"/>
        <v>10</v>
      </c>
      <c r="D6805" s="242">
        <v>62.2</v>
      </c>
      <c r="E6805" s="845">
        <f t="shared" si="214"/>
        <v>16.777777777777779</v>
      </c>
    </row>
    <row r="6806" spans="2:5">
      <c r="B6806" s="1115">
        <v>45202</v>
      </c>
      <c r="C6806" s="242">
        <f t="shared" si="213"/>
        <v>10</v>
      </c>
      <c r="D6806" s="242">
        <v>61.9</v>
      </c>
      <c r="E6806" s="845">
        <f t="shared" si="214"/>
        <v>16.611111111111111</v>
      </c>
    </row>
    <row r="6807" spans="2:5">
      <c r="B6807" s="1115">
        <v>45202</v>
      </c>
      <c r="C6807" s="242">
        <f t="shared" si="213"/>
        <v>10</v>
      </c>
      <c r="D6807" s="242">
        <v>61.3</v>
      </c>
      <c r="E6807" s="845">
        <f t="shared" si="214"/>
        <v>16.277777777777775</v>
      </c>
    </row>
    <row r="6808" spans="2:5">
      <c r="B6808" s="1115">
        <v>45202</v>
      </c>
      <c r="C6808" s="242">
        <f t="shared" si="213"/>
        <v>10</v>
      </c>
      <c r="D6808" s="242">
        <v>61.2</v>
      </c>
      <c r="E6808" s="845">
        <f t="shared" si="214"/>
        <v>16.222222222222225</v>
      </c>
    </row>
    <row r="6809" spans="2:5">
      <c r="B6809" s="1115">
        <v>45202</v>
      </c>
      <c r="C6809" s="242">
        <f t="shared" si="213"/>
        <v>10</v>
      </c>
      <c r="D6809" s="242">
        <v>61.2</v>
      </c>
      <c r="E6809" s="845">
        <f t="shared" si="214"/>
        <v>16.222222222222225</v>
      </c>
    </row>
    <row r="6810" spans="2:5">
      <c r="B6810" s="1115">
        <v>45202</v>
      </c>
      <c r="C6810" s="242">
        <f t="shared" si="213"/>
        <v>10</v>
      </c>
      <c r="D6810" s="242" t="s">
        <v>1850</v>
      </c>
      <c r="E6810" s="845">
        <f t="shared" si="214"/>
        <v>16.111111111111111</v>
      </c>
    </row>
    <row r="6811" spans="2:5">
      <c r="B6811" s="1115">
        <v>45202</v>
      </c>
      <c r="C6811" s="242">
        <f t="shared" si="213"/>
        <v>10</v>
      </c>
      <c r="D6811" s="242" t="s">
        <v>1850</v>
      </c>
      <c r="E6811" s="845">
        <f t="shared" si="214"/>
        <v>16.111111111111111</v>
      </c>
    </row>
    <row r="6812" spans="2:5">
      <c r="B6812" s="1115">
        <v>45202</v>
      </c>
      <c r="C6812" s="242">
        <f t="shared" si="213"/>
        <v>10</v>
      </c>
      <c r="D6812" s="242">
        <v>61.2</v>
      </c>
      <c r="E6812" s="845">
        <f t="shared" si="214"/>
        <v>16.222222222222225</v>
      </c>
    </row>
    <row r="6813" spans="2:5">
      <c r="B6813" s="1115">
        <v>45202</v>
      </c>
      <c r="C6813" s="242">
        <f t="shared" si="213"/>
        <v>10</v>
      </c>
      <c r="D6813" s="242">
        <v>61.5</v>
      </c>
      <c r="E6813" s="845">
        <f t="shared" si="214"/>
        <v>16.388888888888889</v>
      </c>
    </row>
    <row r="6814" spans="2:5">
      <c r="B6814" s="1115">
        <v>45202</v>
      </c>
      <c r="C6814" s="242">
        <f t="shared" si="213"/>
        <v>10</v>
      </c>
      <c r="D6814" s="242">
        <v>61.9</v>
      </c>
      <c r="E6814" s="845">
        <f t="shared" si="214"/>
        <v>16.611111111111111</v>
      </c>
    </row>
    <row r="6815" spans="2:5">
      <c r="B6815" s="1115">
        <v>45202</v>
      </c>
      <c r="C6815" s="242">
        <f t="shared" si="213"/>
        <v>10</v>
      </c>
      <c r="D6815" s="242">
        <v>62.1</v>
      </c>
      <c r="E6815" s="845">
        <f t="shared" si="214"/>
        <v>16.722222222222221</v>
      </c>
    </row>
    <row r="6816" spans="2:5">
      <c r="B6816" s="1115">
        <v>45202</v>
      </c>
      <c r="C6816" s="242">
        <f t="shared" si="213"/>
        <v>10</v>
      </c>
      <c r="D6816" s="242">
        <v>62.2</v>
      </c>
      <c r="E6816" s="845">
        <f t="shared" si="214"/>
        <v>16.777777777777779</v>
      </c>
    </row>
    <row r="6817" spans="2:5">
      <c r="B6817" s="1115">
        <v>45202</v>
      </c>
      <c r="C6817" s="242">
        <f t="shared" si="213"/>
        <v>10</v>
      </c>
      <c r="D6817" s="242">
        <v>61.9</v>
      </c>
      <c r="E6817" s="845">
        <f t="shared" si="214"/>
        <v>16.611111111111111</v>
      </c>
    </row>
    <row r="6818" spans="2:5">
      <c r="B6818" s="1115">
        <v>45202</v>
      </c>
      <c r="C6818" s="242">
        <f t="shared" si="213"/>
        <v>10</v>
      </c>
      <c r="D6818" s="242">
        <v>61.5</v>
      </c>
      <c r="E6818" s="845">
        <f t="shared" si="214"/>
        <v>16.388888888888889</v>
      </c>
    </row>
    <row r="6819" spans="2:5">
      <c r="B6819" s="1115">
        <v>45202</v>
      </c>
      <c r="C6819" s="242">
        <f t="shared" si="213"/>
        <v>10</v>
      </c>
      <c r="D6819" s="242">
        <v>61.2</v>
      </c>
      <c r="E6819" s="845">
        <f t="shared" si="214"/>
        <v>16.222222222222225</v>
      </c>
    </row>
    <row r="6820" spans="2:5">
      <c r="B6820" s="1115">
        <v>45202</v>
      </c>
      <c r="C6820" s="242">
        <f t="shared" si="213"/>
        <v>10</v>
      </c>
      <c r="D6820" s="242">
        <v>60.8</v>
      </c>
      <c r="E6820" s="845">
        <f t="shared" si="214"/>
        <v>15.999999999999998</v>
      </c>
    </row>
    <row r="6821" spans="2:5">
      <c r="B6821" s="1115">
        <v>45202</v>
      </c>
      <c r="C6821" s="242">
        <f t="shared" si="213"/>
        <v>10</v>
      </c>
      <c r="D6821" s="242">
        <v>60.6</v>
      </c>
      <c r="E6821" s="845">
        <f t="shared" si="214"/>
        <v>15.888888888888889</v>
      </c>
    </row>
    <row r="6822" spans="2:5">
      <c r="B6822" s="1115">
        <v>45202</v>
      </c>
      <c r="C6822" s="242">
        <f t="shared" si="213"/>
        <v>10</v>
      </c>
      <c r="D6822" s="242">
        <v>60.8</v>
      </c>
      <c r="E6822" s="845">
        <f t="shared" si="214"/>
        <v>15.999999999999998</v>
      </c>
    </row>
    <row r="6823" spans="2:5">
      <c r="B6823" s="1115">
        <v>45202</v>
      </c>
      <c r="C6823" s="242">
        <f t="shared" si="213"/>
        <v>10</v>
      </c>
      <c r="D6823" s="242" t="s">
        <v>1850</v>
      </c>
      <c r="E6823" s="845">
        <f t="shared" si="214"/>
        <v>16.111111111111111</v>
      </c>
    </row>
    <row r="6824" spans="2:5">
      <c r="B6824" s="1115">
        <v>45202</v>
      </c>
      <c r="C6824" s="242">
        <f t="shared" si="213"/>
        <v>10</v>
      </c>
      <c r="D6824" s="242">
        <v>61.3</v>
      </c>
      <c r="E6824" s="845">
        <f t="shared" si="214"/>
        <v>16.277777777777775</v>
      </c>
    </row>
    <row r="6825" spans="2:5">
      <c r="B6825" s="1115">
        <v>45203</v>
      </c>
      <c r="C6825" s="242">
        <f t="shared" si="213"/>
        <v>10</v>
      </c>
      <c r="D6825" s="242">
        <v>61.9</v>
      </c>
      <c r="E6825" s="845">
        <f t="shared" si="214"/>
        <v>16.611111111111111</v>
      </c>
    </row>
    <row r="6826" spans="2:5">
      <c r="B6826" s="1115">
        <v>45203</v>
      </c>
      <c r="C6826" s="242">
        <f t="shared" si="213"/>
        <v>10</v>
      </c>
      <c r="D6826" s="242">
        <v>62.2</v>
      </c>
      <c r="E6826" s="845">
        <f t="shared" si="214"/>
        <v>16.777777777777779</v>
      </c>
    </row>
    <row r="6827" spans="2:5">
      <c r="B6827" s="1115">
        <v>45203</v>
      </c>
      <c r="C6827" s="242">
        <f t="shared" si="213"/>
        <v>10</v>
      </c>
      <c r="D6827" s="242">
        <v>62.6</v>
      </c>
      <c r="E6827" s="845">
        <f t="shared" si="214"/>
        <v>17</v>
      </c>
    </row>
    <row r="6828" spans="2:5">
      <c r="B6828" s="1115">
        <v>45203</v>
      </c>
      <c r="C6828" s="242">
        <f t="shared" si="213"/>
        <v>10</v>
      </c>
      <c r="D6828" s="242">
        <v>62.8</v>
      </c>
      <c r="E6828" s="845">
        <f t="shared" si="214"/>
        <v>17.111111111111111</v>
      </c>
    </row>
    <row r="6829" spans="2:5">
      <c r="B6829" s="1115">
        <v>45203</v>
      </c>
      <c r="C6829" s="242">
        <f t="shared" si="213"/>
        <v>10</v>
      </c>
      <c r="D6829" s="242">
        <v>62.8</v>
      </c>
      <c r="E6829" s="845">
        <f t="shared" si="214"/>
        <v>17.111111111111111</v>
      </c>
    </row>
    <row r="6830" spans="2:5">
      <c r="B6830" s="1115">
        <v>45203</v>
      </c>
      <c r="C6830" s="242">
        <f t="shared" si="213"/>
        <v>10</v>
      </c>
      <c r="D6830" s="242">
        <v>62.4</v>
      </c>
      <c r="E6830" s="845">
        <f t="shared" si="214"/>
        <v>16.888888888888889</v>
      </c>
    </row>
    <row r="6831" spans="2:5">
      <c r="B6831" s="1115">
        <v>45203</v>
      </c>
      <c r="C6831" s="242">
        <f t="shared" si="213"/>
        <v>10</v>
      </c>
      <c r="D6831" s="242">
        <v>61.9</v>
      </c>
      <c r="E6831" s="845">
        <f t="shared" si="214"/>
        <v>16.611111111111111</v>
      </c>
    </row>
    <row r="6832" spans="2:5">
      <c r="B6832" s="1115">
        <v>45203</v>
      </c>
      <c r="C6832" s="242">
        <f t="shared" si="213"/>
        <v>10</v>
      </c>
      <c r="D6832" s="242">
        <v>61.2</v>
      </c>
      <c r="E6832" s="845">
        <f t="shared" si="214"/>
        <v>16.222222222222225</v>
      </c>
    </row>
    <row r="6833" spans="2:5">
      <c r="B6833" s="1115">
        <v>45203</v>
      </c>
      <c r="C6833" s="242">
        <f t="shared" si="213"/>
        <v>10</v>
      </c>
      <c r="D6833" s="242">
        <v>60.8</v>
      </c>
      <c r="E6833" s="845">
        <f t="shared" si="214"/>
        <v>15.999999999999998</v>
      </c>
    </row>
    <row r="6834" spans="2:5">
      <c r="B6834" s="1115">
        <v>45203</v>
      </c>
      <c r="C6834" s="242">
        <f t="shared" si="213"/>
        <v>10</v>
      </c>
      <c r="D6834" s="242">
        <v>60.6</v>
      </c>
      <c r="E6834" s="845">
        <f t="shared" si="214"/>
        <v>15.888888888888889</v>
      </c>
    </row>
    <row r="6835" spans="2:5">
      <c r="B6835" s="1115">
        <v>45203</v>
      </c>
      <c r="C6835" s="242">
        <f t="shared" si="213"/>
        <v>10</v>
      </c>
      <c r="D6835" s="242">
        <v>60.6</v>
      </c>
      <c r="E6835" s="845">
        <f t="shared" si="214"/>
        <v>15.888888888888889</v>
      </c>
    </row>
    <row r="6836" spans="2:5">
      <c r="B6836" s="1115">
        <v>45203</v>
      </c>
      <c r="C6836" s="242">
        <f t="shared" si="213"/>
        <v>10</v>
      </c>
      <c r="D6836" s="242">
        <v>60.6</v>
      </c>
      <c r="E6836" s="845">
        <f t="shared" si="214"/>
        <v>15.888888888888889</v>
      </c>
    </row>
    <row r="6837" spans="2:5">
      <c r="B6837" s="1115">
        <v>45203</v>
      </c>
      <c r="C6837" s="242">
        <f t="shared" si="213"/>
        <v>10</v>
      </c>
      <c r="D6837" s="242">
        <v>61.2</v>
      </c>
      <c r="E6837" s="845">
        <f t="shared" si="214"/>
        <v>16.222222222222225</v>
      </c>
    </row>
    <row r="6838" spans="2:5">
      <c r="B6838" s="1115">
        <v>45203</v>
      </c>
      <c r="C6838" s="242">
        <f t="shared" si="213"/>
        <v>10</v>
      </c>
      <c r="D6838" s="242">
        <v>61.9</v>
      </c>
      <c r="E6838" s="845">
        <f t="shared" si="214"/>
        <v>16.611111111111111</v>
      </c>
    </row>
    <row r="6839" spans="2:5">
      <c r="B6839" s="1115">
        <v>45203</v>
      </c>
      <c r="C6839" s="242">
        <f t="shared" si="213"/>
        <v>10</v>
      </c>
      <c r="D6839" s="242">
        <v>62.2</v>
      </c>
      <c r="E6839" s="845">
        <f t="shared" si="214"/>
        <v>16.777777777777779</v>
      </c>
    </row>
    <row r="6840" spans="2:5">
      <c r="B6840" s="1115">
        <v>45203</v>
      </c>
      <c r="C6840" s="242">
        <f t="shared" si="213"/>
        <v>10</v>
      </c>
      <c r="D6840" s="242">
        <v>62.6</v>
      </c>
      <c r="E6840" s="845">
        <f t="shared" si="214"/>
        <v>17</v>
      </c>
    </row>
    <row r="6841" spans="2:5">
      <c r="B6841" s="1115">
        <v>45203</v>
      </c>
      <c r="C6841" s="242">
        <f t="shared" si="213"/>
        <v>10</v>
      </c>
      <c r="D6841" s="242">
        <v>62.8</v>
      </c>
      <c r="E6841" s="845">
        <f t="shared" si="214"/>
        <v>17.111111111111111</v>
      </c>
    </row>
    <row r="6842" spans="2:5">
      <c r="B6842" s="1115">
        <v>45203</v>
      </c>
      <c r="C6842" s="242">
        <f t="shared" si="213"/>
        <v>10</v>
      </c>
      <c r="D6842" s="242">
        <v>62.1</v>
      </c>
      <c r="E6842" s="845">
        <f t="shared" si="214"/>
        <v>16.722222222222221</v>
      </c>
    </row>
    <row r="6843" spans="2:5">
      <c r="B6843" s="1115">
        <v>45203</v>
      </c>
      <c r="C6843" s="242">
        <f t="shared" si="213"/>
        <v>10</v>
      </c>
      <c r="D6843" s="242">
        <v>61.5</v>
      </c>
      <c r="E6843" s="845">
        <f t="shared" si="214"/>
        <v>16.388888888888889</v>
      </c>
    </row>
    <row r="6844" spans="2:5">
      <c r="B6844" s="1115">
        <v>45203</v>
      </c>
      <c r="C6844" s="242">
        <f t="shared" si="213"/>
        <v>10</v>
      </c>
      <c r="D6844" s="242">
        <v>61.3</v>
      </c>
      <c r="E6844" s="845">
        <f t="shared" si="214"/>
        <v>16.277777777777775</v>
      </c>
    </row>
    <row r="6845" spans="2:5">
      <c r="B6845" s="1115">
        <v>45203</v>
      </c>
      <c r="C6845" s="242">
        <f t="shared" si="213"/>
        <v>10</v>
      </c>
      <c r="D6845" s="242" t="s">
        <v>1850</v>
      </c>
      <c r="E6845" s="845">
        <f t="shared" si="214"/>
        <v>16.111111111111111</v>
      </c>
    </row>
    <row r="6846" spans="2:5">
      <c r="B6846" s="1115">
        <v>45203</v>
      </c>
      <c r="C6846" s="242">
        <f t="shared" si="213"/>
        <v>10</v>
      </c>
      <c r="D6846" s="242">
        <v>60.8</v>
      </c>
      <c r="E6846" s="845">
        <f t="shared" si="214"/>
        <v>15.999999999999998</v>
      </c>
    </row>
    <row r="6847" spans="2:5">
      <c r="B6847" s="1115">
        <v>45203</v>
      </c>
      <c r="C6847" s="242">
        <f t="shared" si="213"/>
        <v>10</v>
      </c>
      <c r="D6847" s="242">
        <v>60.8</v>
      </c>
      <c r="E6847" s="845">
        <f t="shared" si="214"/>
        <v>15.999999999999998</v>
      </c>
    </row>
    <row r="6848" spans="2:5">
      <c r="B6848" s="1115">
        <v>45203</v>
      </c>
      <c r="C6848" s="242">
        <f t="shared" si="213"/>
        <v>10</v>
      </c>
      <c r="D6848" s="242" t="s">
        <v>1850</v>
      </c>
      <c r="E6848" s="845">
        <f t="shared" si="214"/>
        <v>16.111111111111111</v>
      </c>
    </row>
    <row r="6849" spans="2:5">
      <c r="B6849" s="1115">
        <v>45204</v>
      </c>
      <c r="C6849" s="242">
        <f t="shared" si="213"/>
        <v>10</v>
      </c>
      <c r="D6849" s="242">
        <v>61.5</v>
      </c>
      <c r="E6849" s="845">
        <f t="shared" si="214"/>
        <v>16.388888888888889</v>
      </c>
    </row>
    <row r="6850" spans="2:5">
      <c r="B6850" s="1115">
        <v>45204</v>
      </c>
      <c r="C6850" s="242">
        <f t="shared" si="213"/>
        <v>10</v>
      </c>
      <c r="D6850" s="242">
        <v>62.1</v>
      </c>
      <c r="E6850" s="845">
        <f t="shared" si="214"/>
        <v>16.722222222222221</v>
      </c>
    </row>
    <row r="6851" spans="2:5">
      <c r="B6851" s="1115">
        <v>45204</v>
      </c>
      <c r="C6851" s="242">
        <f t="shared" si="213"/>
        <v>10</v>
      </c>
      <c r="D6851" s="242">
        <v>62.4</v>
      </c>
      <c r="E6851" s="845">
        <f t="shared" si="214"/>
        <v>16.888888888888889</v>
      </c>
    </row>
    <row r="6852" spans="2:5">
      <c r="B6852" s="1115">
        <v>45204</v>
      </c>
      <c r="C6852" s="242">
        <f t="shared" si="213"/>
        <v>10</v>
      </c>
      <c r="D6852" s="242">
        <v>62.8</v>
      </c>
      <c r="E6852" s="845">
        <f t="shared" si="214"/>
        <v>17.111111111111111</v>
      </c>
    </row>
    <row r="6853" spans="2:5">
      <c r="B6853" s="1115">
        <v>45204</v>
      </c>
      <c r="C6853" s="242">
        <f t="shared" si="213"/>
        <v>10</v>
      </c>
      <c r="D6853" s="242">
        <v>63.1</v>
      </c>
      <c r="E6853" s="845">
        <f t="shared" si="214"/>
        <v>17.277777777777779</v>
      </c>
    </row>
    <row r="6854" spans="2:5">
      <c r="B6854" s="1115">
        <v>45204</v>
      </c>
      <c r="C6854" s="242">
        <f t="shared" si="213"/>
        <v>10</v>
      </c>
      <c r="D6854" s="242">
        <v>63.1</v>
      </c>
      <c r="E6854" s="845">
        <f t="shared" si="214"/>
        <v>17.277777777777779</v>
      </c>
    </row>
    <row r="6855" spans="2:5">
      <c r="B6855" s="1115">
        <v>45204</v>
      </c>
      <c r="C6855" s="242">
        <f t="shared" si="213"/>
        <v>10</v>
      </c>
      <c r="D6855" s="242">
        <v>62.4</v>
      </c>
      <c r="E6855" s="845">
        <f t="shared" si="214"/>
        <v>16.888888888888889</v>
      </c>
    </row>
    <row r="6856" spans="2:5">
      <c r="B6856" s="1115">
        <v>45204</v>
      </c>
      <c r="C6856" s="242">
        <f t="shared" si="213"/>
        <v>10</v>
      </c>
      <c r="D6856" s="242">
        <v>62.1</v>
      </c>
      <c r="E6856" s="845">
        <f t="shared" si="214"/>
        <v>16.722222222222221</v>
      </c>
    </row>
    <row r="6857" spans="2:5">
      <c r="B6857" s="1115">
        <v>45204</v>
      </c>
      <c r="C6857" s="242">
        <f t="shared" si="213"/>
        <v>10</v>
      </c>
      <c r="D6857" s="242">
        <v>61.9</v>
      </c>
      <c r="E6857" s="845">
        <f t="shared" si="214"/>
        <v>16.611111111111111</v>
      </c>
    </row>
    <row r="6858" spans="2:5">
      <c r="B6858" s="1115">
        <v>45204</v>
      </c>
      <c r="C6858" s="242">
        <f t="shared" ref="C6858:C6921" si="215">MONTH(B6858)</f>
        <v>10</v>
      </c>
      <c r="D6858" s="242">
        <v>61.7</v>
      </c>
      <c r="E6858" s="845">
        <f t="shared" ref="E6858:E6921" si="216">CONVERT(D6858,"F","C")</f>
        <v>16.5</v>
      </c>
    </row>
    <row r="6859" spans="2:5">
      <c r="B6859" s="1115">
        <v>45204</v>
      </c>
      <c r="C6859" s="242">
        <f t="shared" si="215"/>
        <v>10</v>
      </c>
      <c r="D6859" s="242">
        <v>61.5</v>
      </c>
      <c r="E6859" s="845">
        <f t="shared" si="216"/>
        <v>16.388888888888889</v>
      </c>
    </row>
    <row r="6860" spans="2:5">
      <c r="B6860" s="1115">
        <v>45204</v>
      </c>
      <c r="C6860" s="242">
        <f t="shared" si="215"/>
        <v>10</v>
      </c>
      <c r="D6860" s="242">
        <v>61.5</v>
      </c>
      <c r="E6860" s="845">
        <f t="shared" si="216"/>
        <v>16.388888888888889</v>
      </c>
    </row>
    <row r="6861" spans="2:5">
      <c r="B6861" s="1115">
        <v>45204</v>
      </c>
      <c r="C6861" s="242">
        <f t="shared" si="215"/>
        <v>10</v>
      </c>
      <c r="D6861" s="242">
        <v>61.5</v>
      </c>
      <c r="E6861" s="845">
        <f t="shared" si="216"/>
        <v>16.388888888888889</v>
      </c>
    </row>
    <row r="6862" spans="2:5">
      <c r="B6862" s="1115">
        <v>45204</v>
      </c>
      <c r="C6862" s="242">
        <f t="shared" si="215"/>
        <v>10</v>
      </c>
      <c r="D6862" s="242">
        <v>61.9</v>
      </c>
      <c r="E6862" s="845">
        <f t="shared" si="216"/>
        <v>16.611111111111111</v>
      </c>
    </row>
    <row r="6863" spans="2:5">
      <c r="B6863" s="1115">
        <v>45204</v>
      </c>
      <c r="C6863" s="242">
        <f t="shared" si="215"/>
        <v>10</v>
      </c>
      <c r="D6863" s="242">
        <v>62.4</v>
      </c>
      <c r="E6863" s="845">
        <f t="shared" si="216"/>
        <v>16.888888888888889</v>
      </c>
    </row>
    <row r="6864" spans="2:5">
      <c r="B6864" s="1115">
        <v>45204</v>
      </c>
      <c r="C6864" s="242">
        <f t="shared" si="215"/>
        <v>10</v>
      </c>
      <c r="D6864" s="242">
        <v>62.8</v>
      </c>
      <c r="E6864" s="845">
        <f t="shared" si="216"/>
        <v>17.111111111111111</v>
      </c>
    </row>
    <row r="6865" spans="2:5">
      <c r="B6865" s="1115">
        <v>45204</v>
      </c>
      <c r="C6865" s="242">
        <f t="shared" si="215"/>
        <v>10</v>
      </c>
      <c r="D6865" s="242" t="s">
        <v>1851</v>
      </c>
      <c r="E6865" s="845">
        <f t="shared" si="216"/>
        <v>17.222222222222221</v>
      </c>
    </row>
    <row r="6866" spans="2:5">
      <c r="B6866" s="1115">
        <v>45204</v>
      </c>
      <c r="C6866" s="242">
        <f t="shared" si="215"/>
        <v>10</v>
      </c>
      <c r="D6866" s="242" t="s">
        <v>1851</v>
      </c>
      <c r="E6866" s="845">
        <f t="shared" si="216"/>
        <v>17.222222222222221</v>
      </c>
    </row>
    <row r="6867" spans="2:5">
      <c r="B6867" s="1115">
        <v>45204</v>
      </c>
      <c r="C6867" s="242">
        <f t="shared" si="215"/>
        <v>10</v>
      </c>
      <c r="D6867" s="242">
        <v>62.2</v>
      </c>
      <c r="E6867" s="845">
        <f t="shared" si="216"/>
        <v>16.777777777777779</v>
      </c>
    </row>
    <row r="6868" spans="2:5">
      <c r="B6868" s="1115">
        <v>45204</v>
      </c>
      <c r="C6868" s="242">
        <f t="shared" si="215"/>
        <v>10</v>
      </c>
      <c r="D6868" s="242">
        <v>61.9</v>
      </c>
      <c r="E6868" s="845">
        <f t="shared" si="216"/>
        <v>16.611111111111111</v>
      </c>
    </row>
    <row r="6869" spans="2:5">
      <c r="B6869" s="1115">
        <v>45204</v>
      </c>
      <c r="C6869" s="242">
        <f t="shared" si="215"/>
        <v>10</v>
      </c>
      <c r="D6869" s="242">
        <v>61.9</v>
      </c>
      <c r="E6869" s="845">
        <f t="shared" si="216"/>
        <v>16.611111111111111</v>
      </c>
    </row>
    <row r="6870" spans="2:5">
      <c r="B6870" s="1115">
        <v>45204</v>
      </c>
      <c r="C6870" s="242">
        <f t="shared" si="215"/>
        <v>10</v>
      </c>
      <c r="D6870" s="242">
        <v>61.5</v>
      </c>
      <c r="E6870" s="845">
        <f t="shared" si="216"/>
        <v>16.388888888888889</v>
      </c>
    </row>
    <row r="6871" spans="2:5">
      <c r="B6871" s="1115">
        <v>45204</v>
      </c>
      <c r="C6871" s="242">
        <f t="shared" si="215"/>
        <v>10</v>
      </c>
      <c r="D6871" s="242">
        <v>61.3</v>
      </c>
      <c r="E6871" s="845">
        <f t="shared" si="216"/>
        <v>16.277777777777775</v>
      </c>
    </row>
    <row r="6872" spans="2:5">
      <c r="B6872" s="1115">
        <v>45204</v>
      </c>
      <c r="C6872" s="242">
        <f t="shared" si="215"/>
        <v>10</v>
      </c>
      <c r="D6872" s="242">
        <v>61.3</v>
      </c>
      <c r="E6872" s="845">
        <f t="shared" si="216"/>
        <v>16.277777777777775</v>
      </c>
    </row>
    <row r="6873" spans="2:5">
      <c r="B6873" s="1115">
        <v>45205</v>
      </c>
      <c r="C6873" s="242">
        <f t="shared" si="215"/>
        <v>10</v>
      </c>
      <c r="D6873" s="242">
        <v>61.5</v>
      </c>
      <c r="E6873" s="845">
        <f t="shared" si="216"/>
        <v>16.388888888888889</v>
      </c>
    </row>
    <row r="6874" spans="2:5">
      <c r="B6874" s="1115">
        <v>45205</v>
      </c>
      <c r="C6874" s="242">
        <f t="shared" si="215"/>
        <v>10</v>
      </c>
      <c r="D6874" s="242">
        <v>61.9</v>
      </c>
      <c r="E6874" s="845">
        <f t="shared" si="216"/>
        <v>16.611111111111111</v>
      </c>
    </row>
    <row r="6875" spans="2:5">
      <c r="B6875" s="1115">
        <v>45205</v>
      </c>
      <c r="C6875" s="242">
        <f t="shared" si="215"/>
        <v>10</v>
      </c>
      <c r="D6875" s="242">
        <v>62.4</v>
      </c>
      <c r="E6875" s="845">
        <f t="shared" si="216"/>
        <v>16.888888888888889</v>
      </c>
    </row>
    <row r="6876" spans="2:5">
      <c r="B6876" s="1115">
        <v>45205</v>
      </c>
      <c r="C6876" s="242">
        <f t="shared" si="215"/>
        <v>10</v>
      </c>
      <c r="D6876" s="242">
        <v>62.8</v>
      </c>
      <c r="E6876" s="845">
        <f t="shared" si="216"/>
        <v>17.111111111111111</v>
      </c>
    </row>
    <row r="6877" spans="2:5">
      <c r="B6877" s="1115">
        <v>45205</v>
      </c>
      <c r="C6877" s="242">
        <f t="shared" si="215"/>
        <v>10</v>
      </c>
      <c r="D6877" s="242">
        <v>63.1</v>
      </c>
      <c r="E6877" s="845">
        <f t="shared" si="216"/>
        <v>17.277777777777779</v>
      </c>
    </row>
    <row r="6878" spans="2:5">
      <c r="B6878" s="1115">
        <v>45205</v>
      </c>
      <c r="C6878" s="242">
        <f t="shared" si="215"/>
        <v>10</v>
      </c>
      <c r="D6878" s="242">
        <v>63.3</v>
      </c>
      <c r="E6878" s="845">
        <f t="shared" si="216"/>
        <v>17.388888888888886</v>
      </c>
    </row>
    <row r="6879" spans="2:5">
      <c r="B6879" s="1115">
        <v>45205</v>
      </c>
      <c r="C6879" s="242">
        <f t="shared" si="215"/>
        <v>10</v>
      </c>
      <c r="D6879" s="242">
        <v>63.3</v>
      </c>
      <c r="E6879" s="845">
        <f t="shared" si="216"/>
        <v>17.388888888888886</v>
      </c>
    </row>
    <row r="6880" spans="2:5">
      <c r="B6880" s="1115">
        <v>45205</v>
      </c>
      <c r="C6880" s="242">
        <f t="shared" si="215"/>
        <v>10</v>
      </c>
      <c r="D6880" s="242">
        <v>62.8</v>
      </c>
      <c r="E6880" s="845">
        <f t="shared" si="216"/>
        <v>17.111111111111111</v>
      </c>
    </row>
    <row r="6881" spans="2:5">
      <c r="B6881" s="1115">
        <v>45205</v>
      </c>
      <c r="C6881" s="242">
        <f t="shared" si="215"/>
        <v>10</v>
      </c>
      <c r="D6881" s="242">
        <v>62.4</v>
      </c>
      <c r="E6881" s="845">
        <f t="shared" si="216"/>
        <v>16.888888888888889</v>
      </c>
    </row>
    <row r="6882" spans="2:5">
      <c r="B6882" s="1115">
        <v>45205</v>
      </c>
      <c r="C6882" s="242">
        <f t="shared" si="215"/>
        <v>10</v>
      </c>
      <c r="D6882" s="242">
        <v>61.9</v>
      </c>
      <c r="E6882" s="845">
        <f t="shared" si="216"/>
        <v>16.611111111111111</v>
      </c>
    </row>
    <row r="6883" spans="2:5">
      <c r="B6883" s="1115">
        <v>45205</v>
      </c>
      <c r="C6883" s="242">
        <f t="shared" si="215"/>
        <v>10</v>
      </c>
      <c r="D6883" s="242">
        <v>61.5</v>
      </c>
      <c r="E6883" s="845">
        <f t="shared" si="216"/>
        <v>16.388888888888889</v>
      </c>
    </row>
    <row r="6884" spans="2:5">
      <c r="B6884" s="1115">
        <v>45205</v>
      </c>
      <c r="C6884" s="242">
        <f t="shared" si="215"/>
        <v>10</v>
      </c>
      <c r="D6884" s="242">
        <v>61.3</v>
      </c>
      <c r="E6884" s="845">
        <f t="shared" si="216"/>
        <v>16.277777777777775</v>
      </c>
    </row>
    <row r="6885" spans="2:5">
      <c r="B6885" s="1115">
        <v>45205</v>
      </c>
      <c r="C6885" s="242">
        <f t="shared" si="215"/>
        <v>10</v>
      </c>
      <c r="D6885" s="242">
        <v>61.2</v>
      </c>
      <c r="E6885" s="845">
        <f t="shared" si="216"/>
        <v>16.222222222222225</v>
      </c>
    </row>
    <row r="6886" spans="2:5">
      <c r="B6886" s="1115">
        <v>45205</v>
      </c>
      <c r="C6886" s="242">
        <f t="shared" si="215"/>
        <v>10</v>
      </c>
      <c r="D6886" s="242">
        <v>61.5</v>
      </c>
      <c r="E6886" s="845">
        <f t="shared" si="216"/>
        <v>16.388888888888889</v>
      </c>
    </row>
    <row r="6887" spans="2:5">
      <c r="B6887" s="1115">
        <v>45205</v>
      </c>
      <c r="C6887" s="242">
        <f t="shared" si="215"/>
        <v>10</v>
      </c>
      <c r="D6887" s="242">
        <v>61.9</v>
      </c>
      <c r="E6887" s="845">
        <f t="shared" si="216"/>
        <v>16.611111111111111</v>
      </c>
    </row>
    <row r="6888" spans="2:5">
      <c r="B6888" s="1115">
        <v>45205</v>
      </c>
      <c r="C6888" s="242">
        <f t="shared" si="215"/>
        <v>10</v>
      </c>
      <c r="D6888" s="242">
        <v>62.6</v>
      </c>
      <c r="E6888" s="845">
        <f t="shared" si="216"/>
        <v>17</v>
      </c>
    </row>
    <row r="6889" spans="2:5">
      <c r="B6889" s="1115">
        <v>45205</v>
      </c>
      <c r="C6889" s="242">
        <f t="shared" si="215"/>
        <v>10</v>
      </c>
      <c r="D6889" s="242" t="s">
        <v>1851</v>
      </c>
      <c r="E6889" s="845">
        <f t="shared" si="216"/>
        <v>17.222222222222221</v>
      </c>
    </row>
    <row r="6890" spans="2:5">
      <c r="B6890" s="1115">
        <v>45205</v>
      </c>
      <c r="C6890" s="242">
        <f t="shared" si="215"/>
        <v>10</v>
      </c>
      <c r="D6890" s="242">
        <v>63.3</v>
      </c>
      <c r="E6890" s="845">
        <f t="shared" si="216"/>
        <v>17.388888888888886</v>
      </c>
    </row>
    <row r="6891" spans="2:5">
      <c r="B6891" s="1115">
        <v>45205</v>
      </c>
      <c r="C6891" s="242">
        <f t="shared" si="215"/>
        <v>10</v>
      </c>
      <c r="D6891" s="242">
        <v>63.3</v>
      </c>
      <c r="E6891" s="845">
        <f t="shared" si="216"/>
        <v>17.388888888888886</v>
      </c>
    </row>
    <row r="6892" spans="2:5">
      <c r="B6892" s="1115">
        <v>45205</v>
      </c>
      <c r="C6892" s="242">
        <f t="shared" si="215"/>
        <v>10</v>
      </c>
      <c r="D6892" s="242">
        <v>62.4</v>
      </c>
      <c r="E6892" s="845">
        <f t="shared" si="216"/>
        <v>16.888888888888889</v>
      </c>
    </row>
    <row r="6893" spans="2:5">
      <c r="B6893" s="1115">
        <v>45205</v>
      </c>
      <c r="C6893" s="242">
        <f t="shared" si="215"/>
        <v>10</v>
      </c>
      <c r="D6893" s="242">
        <v>61.7</v>
      </c>
      <c r="E6893" s="845">
        <f t="shared" si="216"/>
        <v>16.5</v>
      </c>
    </row>
    <row r="6894" spans="2:5">
      <c r="B6894" s="1115">
        <v>45205</v>
      </c>
      <c r="C6894" s="242">
        <f t="shared" si="215"/>
        <v>10</v>
      </c>
      <c r="D6894" s="242">
        <v>60.8</v>
      </c>
      <c r="E6894" s="845">
        <f t="shared" si="216"/>
        <v>15.999999999999998</v>
      </c>
    </row>
    <row r="6895" spans="2:5">
      <c r="B6895" s="1115">
        <v>45205</v>
      </c>
      <c r="C6895" s="242">
        <f t="shared" si="215"/>
        <v>10</v>
      </c>
      <c r="D6895" s="242">
        <v>60.3</v>
      </c>
      <c r="E6895" s="845">
        <f t="shared" si="216"/>
        <v>15.72222222222222</v>
      </c>
    </row>
    <row r="6896" spans="2:5">
      <c r="B6896" s="1115">
        <v>45205</v>
      </c>
      <c r="C6896" s="242">
        <f t="shared" si="215"/>
        <v>10</v>
      </c>
      <c r="D6896" s="242">
        <v>60.3</v>
      </c>
      <c r="E6896" s="845">
        <f t="shared" si="216"/>
        <v>15.72222222222222</v>
      </c>
    </row>
    <row r="6897" spans="2:5">
      <c r="B6897" s="1115">
        <v>45206</v>
      </c>
      <c r="C6897" s="242">
        <f t="shared" si="215"/>
        <v>10</v>
      </c>
      <c r="D6897" s="242">
        <v>60.4</v>
      </c>
      <c r="E6897" s="845">
        <f t="shared" si="216"/>
        <v>15.777777777777777</v>
      </c>
    </row>
    <row r="6898" spans="2:5">
      <c r="B6898" s="1115">
        <v>45206</v>
      </c>
      <c r="C6898" s="242">
        <f t="shared" si="215"/>
        <v>10</v>
      </c>
      <c r="D6898" s="242">
        <v>60.4</v>
      </c>
      <c r="E6898" s="845">
        <f t="shared" si="216"/>
        <v>15.777777777777777</v>
      </c>
    </row>
    <row r="6899" spans="2:5">
      <c r="B6899" s="1115">
        <v>45206</v>
      </c>
      <c r="C6899" s="242">
        <f t="shared" si="215"/>
        <v>10</v>
      </c>
      <c r="D6899" s="242">
        <v>61.2</v>
      </c>
      <c r="E6899" s="845">
        <f t="shared" si="216"/>
        <v>16.222222222222225</v>
      </c>
    </row>
    <row r="6900" spans="2:5">
      <c r="B6900" s="1115">
        <v>45206</v>
      </c>
      <c r="C6900" s="242">
        <f t="shared" si="215"/>
        <v>10</v>
      </c>
      <c r="D6900" s="242">
        <v>62.1</v>
      </c>
      <c r="E6900" s="845">
        <f t="shared" si="216"/>
        <v>16.722222222222221</v>
      </c>
    </row>
    <row r="6901" spans="2:5">
      <c r="B6901" s="1115">
        <v>45206</v>
      </c>
      <c r="C6901" s="242">
        <f t="shared" si="215"/>
        <v>10</v>
      </c>
      <c r="D6901" s="242">
        <v>62.8</v>
      </c>
      <c r="E6901" s="845">
        <f t="shared" si="216"/>
        <v>17.111111111111111</v>
      </c>
    </row>
    <row r="6902" spans="2:5">
      <c r="B6902" s="1115">
        <v>45206</v>
      </c>
      <c r="C6902" s="242">
        <f t="shared" si="215"/>
        <v>10</v>
      </c>
      <c r="D6902" s="242">
        <v>63.1</v>
      </c>
      <c r="E6902" s="845">
        <f t="shared" si="216"/>
        <v>17.277777777777779</v>
      </c>
    </row>
    <row r="6903" spans="2:5">
      <c r="B6903" s="1115">
        <v>45206</v>
      </c>
      <c r="C6903" s="242">
        <f t="shared" si="215"/>
        <v>10</v>
      </c>
      <c r="D6903" s="242">
        <v>63.5</v>
      </c>
      <c r="E6903" s="845">
        <f t="shared" si="216"/>
        <v>17.5</v>
      </c>
    </row>
    <row r="6904" spans="2:5">
      <c r="B6904" s="1115">
        <v>45206</v>
      </c>
      <c r="C6904" s="242">
        <f t="shared" si="215"/>
        <v>10</v>
      </c>
      <c r="D6904" s="242">
        <v>63.3</v>
      </c>
      <c r="E6904" s="845">
        <f t="shared" si="216"/>
        <v>17.388888888888886</v>
      </c>
    </row>
    <row r="6905" spans="2:5">
      <c r="B6905" s="1115">
        <v>45206</v>
      </c>
      <c r="C6905" s="242">
        <f t="shared" si="215"/>
        <v>10</v>
      </c>
      <c r="D6905" s="242">
        <v>62.4</v>
      </c>
      <c r="E6905" s="845">
        <f t="shared" si="216"/>
        <v>16.888888888888889</v>
      </c>
    </row>
    <row r="6906" spans="2:5">
      <c r="B6906" s="1115">
        <v>45206</v>
      </c>
      <c r="C6906" s="242">
        <f t="shared" si="215"/>
        <v>10</v>
      </c>
      <c r="D6906" s="242">
        <v>61.9</v>
      </c>
      <c r="E6906" s="845">
        <f t="shared" si="216"/>
        <v>16.611111111111111</v>
      </c>
    </row>
    <row r="6907" spans="2:5">
      <c r="B6907" s="1115">
        <v>45206</v>
      </c>
      <c r="C6907" s="242">
        <f t="shared" si="215"/>
        <v>10</v>
      </c>
      <c r="D6907" s="242">
        <v>61.2</v>
      </c>
      <c r="E6907" s="845">
        <f t="shared" si="216"/>
        <v>16.222222222222225</v>
      </c>
    </row>
    <row r="6908" spans="2:5">
      <c r="B6908" s="1115">
        <v>45206</v>
      </c>
      <c r="C6908" s="242">
        <f t="shared" si="215"/>
        <v>10</v>
      </c>
      <c r="D6908" s="242" t="s">
        <v>1850</v>
      </c>
      <c r="E6908" s="845">
        <f t="shared" si="216"/>
        <v>16.111111111111111</v>
      </c>
    </row>
    <row r="6909" spans="2:5">
      <c r="B6909" s="1115">
        <v>45206</v>
      </c>
      <c r="C6909" s="242">
        <f t="shared" si="215"/>
        <v>10</v>
      </c>
      <c r="D6909" s="242">
        <v>60.8</v>
      </c>
      <c r="E6909" s="845">
        <f t="shared" si="216"/>
        <v>15.999999999999998</v>
      </c>
    </row>
    <row r="6910" spans="2:5">
      <c r="B6910" s="1115">
        <v>45206</v>
      </c>
      <c r="C6910" s="242">
        <f t="shared" si="215"/>
        <v>10</v>
      </c>
      <c r="D6910" s="242">
        <v>60.6</v>
      </c>
      <c r="E6910" s="845">
        <f t="shared" si="216"/>
        <v>15.888888888888889</v>
      </c>
    </row>
    <row r="6911" spans="2:5">
      <c r="B6911" s="1115">
        <v>45206</v>
      </c>
      <c r="C6911" s="242">
        <f t="shared" si="215"/>
        <v>10</v>
      </c>
      <c r="D6911" s="242">
        <v>60.8</v>
      </c>
      <c r="E6911" s="845">
        <f t="shared" si="216"/>
        <v>15.999999999999998</v>
      </c>
    </row>
    <row r="6912" spans="2:5">
      <c r="B6912" s="1115">
        <v>45206</v>
      </c>
      <c r="C6912" s="242">
        <f t="shared" si="215"/>
        <v>10</v>
      </c>
      <c r="D6912" s="242">
        <v>61.5</v>
      </c>
      <c r="E6912" s="845">
        <f t="shared" si="216"/>
        <v>16.388888888888889</v>
      </c>
    </row>
    <row r="6913" spans="2:5">
      <c r="B6913" s="1115">
        <v>45206</v>
      </c>
      <c r="C6913" s="242">
        <f t="shared" si="215"/>
        <v>10</v>
      </c>
      <c r="D6913" s="242">
        <v>62.1</v>
      </c>
      <c r="E6913" s="845">
        <f t="shared" si="216"/>
        <v>16.722222222222221</v>
      </c>
    </row>
    <row r="6914" spans="2:5">
      <c r="B6914" s="1115">
        <v>45206</v>
      </c>
      <c r="C6914" s="242">
        <f t="shared" si="215"/>
        <v>10</v>
      </c>
      <c r="D6914" s="242">
        <v>62.8</v>
      </c>
      <c r="E6914" s="845">
        <f t="shared" si="216"/>
        <v>17.111111111111111</v>
      </c>
    </row>
    <row r="6915" spans="2:5">
      <c r="B6915" s="1115">
        <v>45206</v>
      </c>
      <c r="C6915" s="242">
        <f t="shared" si="215"/>
        <v>10</v>
      </c>
      <c r="D6915" s="242" t="s">
        <v>1851</v>
      </c>
      <c r="E6915" s="845">
        <f t="shared" si="216"/>
        <v>17.222222222222221</v>
      </c>
    </row>
    <row r="6916" spans="2:5">
      <c r="B6916" s="1115">
        <v>45206</v>
      </c>
      <c r="C6916" s="242">
        <f t="shared" si="215"/>
        <v>10</v>
      </c>
      <c r="D6916" s="242" t="s">
        <v>1851</v>
      </c>
      <c r="E6916" s="845">
        <f t="shared" si="216"/>
        <v>17.222222222222221</v>
      </c>
    </row>
    <row r="6917" spans="2:5">
      <c r="B6917" s="1115">
        <v>45206</v>
      </c>
      <c r="C6917" s="242">
        <f t="shared" si="215"/>
        <v>10</v>
      </c>
      <c r="D6917" s="242">
        <v>62.1</v>
      </c>
      <c r="E6917" s="845">
        <f t="shared" si="216"/>
        <v>16.722222222222221</v>
      </c>
    </row>
    <row r="6918" spans="2:5">
      <c r="B6918" s="1115">
        <v>45206</v>
      </c>
      <c r="C6918" s="242">
        <f t="shared" si="215"/>
        <v>10</v>
      </c>
      <c r="D6918" s="242">
        <v>61.5</v>
      </c>
      <c r="E6918" s="845">
        <f t="shared" si="216"/>
        <v>16.388888888888889</v>
      </c>
    </row>
    <row r="6919" spans="2:5">
      <c r="B6919" s="1115">
        <v>45206</v>
      </c>
      <c r="C6919" s="242">
        <f t="shared" si="215"/>
        <v>10</v>
      </c>
      <c r="D6919" s="242">
        <v>61.3</v>
      </c>
      <c r="E6919" s="845">
        <f t="shared" si="216"/>
        <v>16.277777777777775</v>
      </c>
    </row>
    <row r="6920" spans="2:5">
      <c r="B6920" s="1115">
        <v>45206</v>
      </c>
      <c r="C6920" s="242">
        <f t="shared" si="215"/>
        <v>10</v>
      </c>
      <c r="D6920" s="242">
        <v>61.2</v>
      </c>
      <c r="E6920" s="845">
        <f t="shared" si="216"/>
        <v>16.222222222222225</v>
      </c>
    </row>
    <row r="6921" spans="2:5">
      <c r="B6921" s="1115">
        <v>45207</v>
      </c>
      <c r="C6921" s="242">
        <f t="shared" si="215"/>
        <v>10</v>
      </c>
      <c r="D6921" s="242">
        <v>60.8</v>
      </c>
      <c r="E6921" s="845">
        <f t="shared" si="216"/>
        <v>15.999999999999998</v>
      </c>
    </row>
    <row r="6922" spans="2:5">
      <c r="B6922" s="1115">
        <v>45207</v>
      </c>
      <c r="C6922" s="242">
        <f t="shared" ref="C6922:C6985" si="217">MONTH(B6922)</f>
        <v>10</v>
      </c>
      <c r="D6922" s="242">
        <v>60.6</v>
      </c>
      <c r="E6922" s="845">
        <f t="shared" ref="E6922:E6985" si="218">CONVERT(D6922,"F","C")</f>
        <v>15.888888888888889</v>
      </c>
    </row>
    <row r="6923" spans="2:5">
      <c r="B6923" s="1115">
        <v>45207</v>
      </c>
      <c r="C6923" s="242">
        <f t="shared" si="217"/>
        <v>10</v>
      </c>
      <c r="D6923" s="242" t="s">
        <v>1850</v>
      </c>
      <c r="E6923" s="845">
        <f t="shared" si="218"/>
        <v>16.111111111111111</v>
      </c>
    </row>
    <row r="6924" spans="2:5">
      <c r="B6924" s="1115">
        <v>45207</v>
      </c>
      <c r="C6924" s="242">
        <f t="shared" si="217"/>
        <v>10</v>
      </c>
      <c r="D6924" s="242">
        <v>61.3</v>
      </c>
      <c r="E6924" s="845">
        <f t="shared" si="218"/>
        <v>16.277777777777775</v>
      </c>
    </row>
    <row r="6925" spans="2:5">
      <c r="B6925" s="1115">
        <v>45207</v>
      </c>
      <c r="C6925" s="242">
        <f t="shared" si="217"/>
        <v>10</v>
      </c>
      <c r="D6925" s="242">
        <v>61.7</v>
      </c>
      <c r="E6925" s="845">
        <f t="shared" si="218"/>
        <v>16.5</v>
      </c>
    </row>
    <row r="6926" spans="2:5">
      <c r="B6926" s="1115">
        <v>45207</v>
      </c>
      <c r="C6926" s="242">
        <f t="shared" si="217"/>
        <v>10</v>
      </c>
      <c r="D6926" s="242">
        <v>62.2</v>
      </c>
      <c r="E6926" s="845">
        <f t="shared" si="218"/>
        <v>16.777777777777779</v>
      </c>
    </row>
    <row r="6927" spans="2:5">
      <c r="B6927" s="1115">
        <v>45207</v>
      </c>
      <c r="C6927" s="242">
        <f t="shared" si="217"/>
        <v>10</v>
      </c>
      <c r="D6927" s="242">
        <v>62.6</v>
      </c>
      <c r="E6927" s="845">
        <f t="shared" si="218"/>
        <v>17</v>
      </c>
    </row>
    <row r="6928" spans="2:5">
      <c r="B6928" s="1115">
        <v>45207</v>
      </c>
      <c r="C6928" s="242">
        <f t="shared" si="217"/>
        <v>10</v>
      </c>
      <c r="D6928" s="242" t="s">
        <v>1851</v>
      </c>
      <c r="E6928" s="845">
        <f t="shared" si="218"/>
        <v>17.222222222222221</v>
      </c>
    </row>
    <row r="6929" spans="2:5">
      <c r="B6929" s="1115">
        <v>45207</v>
      </c>
      <c r="C6929" s="242">
        <f t="shared" si="217"/>
        <v>10</v>
      </c>
      <c r="D6929" s="242" t="s">
        <v>1851</v>
      </c>
      <c r="E6929" s="845">
        <f t="shared" si="218"/>
        <v>17.222222222222221</v>
      </c>
    </row>
    <row r="6930" spans="2:5">
      <c r="B6930" s="1115">
        <v>45207</v>
      </c>
      <c r="C6930" s="242">
        <f t="shared" si="217"/>
        <v>10</v>
      </c>
      <c r="D6930" s="242">
        <v>62.4</v>
      </c>
      <c r="E6930" s="845">
        <f t="shared" si="218"/>
        <v>16.888888888888889</v>
      </c>
    </row>
    <row r="6931" spans="2:5">
      <c r="B6931" s="1115">
        <v>45207</v>
      </c>
      <c r="C6931" s="242">
        <f t="shared" si="217"/>
        <v>10</v>
      </c>
      <c r="D6931" s="242">
        <v>61.9</v>
      </c>
      <c r="E6931" s="845">
        <f t="shared" si="218"/>
        <v>16.611111111111111</v>
      </c>
    </row>
    <row r="6932" spans="2:5">
      <c r="B6932" s="1115">
        <v>45207</v>
      </c>
      <c r="C6932" s="242">
        <f t="shared" si="217"/>
        <v>10</v>
      </c>
      <c r="D6932" s="242">
        <v>61.5</v>
      </c>
      <c r="E6932" s="845">
        <f t="shared" si="218"/>
        <v>16.388888888888889</v>
      </c>
    </row>
    <row r="6933" spans="2:5">
      <c r="B6933" s="1115">
        <v>45207</v>
      </c>
      <c r="C6933" s="242">
        <f t="shared" si="217"/>
        <v>10</v>
      </c>
      <c r="D6933" s="242">
        <v>61.3</v>
      </c>
      <c r="E6933" s="845">
        <f t="shared" si="218"/>
        <v>16.277777777777775</v>
      </c>
    </row>
    <row r="6934" spans="2:5">
      <c r="B6934" s="1115">
        <v>45207</v>
      </c>
      <c r="C6934" s="242">
        <f t="shared" si="217"/>
        <v>10</v>
      </c>
      <c r="D6934" s="242">
        <v>61.3</v>
      </c>
      <c r="E6934" s="845">
        <f t="shared" si="218"/>
        <v>16.277777777777775</v>
      </c>
    </row>
    <row r="6935" spans="2:5">
      <c r="B6935" s="1115">
        <v>45207</v>
      </c>
      <c r="C6935" s="242">
        <f t="shared" si="217"/>
        <v>10</v>
      </c>
      <c r="D6935" s="242">
        <v>61.2</v>
      </c>
      <c r="E6935" s="845">
        <f t="shared" si="218"/>
        <v>16.222222222222225</v>
      </c>
    </row>
    <row r="6936" spans="2:5">
      <c r="B6936" s="1115">
        <v>45207</v>
      </c>
      <c r="C6936" s="242">
        <f t="shared" si="217"/>
        <v>10</v>
      </c>
      <c r="D6936" s="242">
        <v>61.3</v>
      </c>
      <c r="E6936" s="845">
        <f t="shared" si="218"/>
        <v>16.277777777777775</v>
      </c>
    </row>
    <row r="6937" spans="2:5">
      <c r="B6937" s="1115">
        <v>45207</v>
      </c>
      <c r="C6937" s="242">
        <f t="shared" si="217"/>
        <v>10</v>
      </c>
      <c r="D6937" s="242">
        <v>61.7</v>
      </c>
      <c r="E6937" s="845">
        <f t="shared" si="218"/>
        <v>16.5</v>
      </c>
    </row>
    <row r="6938" spans="2:5">
      <c r="B6938" s="1115">
        <v>45207</v>
      </c>
      <c r="C6938" s="242">
        <f t="shared" si="217"/>
        <v>10</v>
      </c>
      <c r="D6938" s="242">
        <v>62.2</v>
      </c>
      <c r="E6938" s="845">
        <f t="shared" si="218"/>
        <v>16.777777777777779</v>
      </c>
    </row>
    <row r="6939" spans="2:5">
      <c r="B6939" s="1115">
        <v>45207</v>
      </c>
      <c r="C6939" s="242">
        <f t="shared" si="217"/>
        <v>10</v>
      </c>
      <c r="D6939" s="242">
        <v>62.6</v>
      </c>
      <c r="E6939" s="845">
        <f t="shared" si="218"/>
        <v>17</v>
      </c>
    </row>
    <row r="6940" spans="2:5">
      <c r="B6940" s="1115">
        <v>45207</v>
      </c>
      <c r="C6940" s="242">
        <f t="shared" si="217"/>
        <v>10</v>
      </c>
      <c r="D6940" s="242" t="s">
        <v>1851</v>
      </c>
      <c r="E6940" s="845">
        <f t="shared" si="218"/>
        <v>17.222222222222221</v>
      </c>
    </row>
    <row r="6941" spans="2:5">
      <c r="B6941" s="1115">
        <v>45207</v>
      </c>
      <c r="C6941" s="242">
        <f t="shared" si="217"/>
        <v>10</v>
      </c>
      <c r="D6941" s="242" t="s">
        <v>1851</v>
      </c>
      <c r="E6941" s="845">
        <f t="shared" si="218"/>
        <v>17.222222222222221</v>
      </c>
    </row>
    <row r="6942" spans="2:5">
      <c r="B6942" s="1115">
        <v>45207</v>
      </c>
      <c r="C6942" s="242">
        <f t="shared" si="217"/>
        <v>10</v>
      </c>
      <c r="D6942" s="242">
        <v>62.1</v>
      </c>
      <c r="E6942" s="845">
        <f t="shared" si="218"/>
        <v>16.722222222222221</v>
      </c>
    </row>
    <row r="6943" spans="2:5">
      <c r="B6943" s="1115">
        <v>45207</v>
      </c>
      <c r="C6943" s="242">
        <f t="shared" si="217"/>
        <v>10</v>
      </c>
      <c r="D6943" s="242">
        <v>61.7</v>
      </c>
      <c r="E6943" s="845">
        <f t="shared" si="218"/>
        <v>16.5</v>
      </c>
    </row>
    <row r="6944" spans="2:5">
      <c r="B6944" s="1115">
        <v>45207</v>
      </c>
      <c r="C6944" s="242">
        <f t="shared" si="217"/>
        <v>10</v>
      </c>
      <c r="D6944" s="242" t="s">
        <v>1850</v>
      </c>
      <c r="E6944" s="845">
        <f t="shared" si="218"/>
        <v>16.111111111111111</v>
      </c>
    </row>
    <row r="6945" spans="2:5">
      <c r="B6945" s="1115">
        <v>45208</v>
      </c>
      <c r="C6945" s="242">
        <f t="shared" si="217"/>
        <v>10</v>
      </c>
      <c r="D6945" s="242">
        <v>60.1</v>
      </c>
      <c r="E6945" s="845">
        <f t="shared" si="218"/>
        <v>15.611111111111111</v>
      </c>
    </row>
    <row r="6946" spans="2:5">
      <c r="B6946" s="1115">
        <v>45208</v>
      </c>
      <c r="C6946" s="242">
        <f t="shared" si="217"/>
        <v>10</v>
      </c>
      <c r="D6946" s="242">
        <v>59.5</v>
      </c>
      <c r="E6946" s="845">
        <f t="shared" si="218"/>
        <v>15.277777777777777</v>
      </c>
    </row>
    <row r="6947" spans="2:5">
      <c r="B6947" s="1115">
        <v>45208</v>
      </c>
      <c r="C6947" s="242">
        <f t="shared" si="217"/>
        <v>10</v>
      </c>
      <c r="D6947" s="242">
        <v>59.7</v>
      </c>
      <c r="E6947" s="845">
        <f t="shared" si="218"/>
        <v>15.388888888888889</v>
      </c>
    </row>
    <row r="6948" spans="2:5">
      <c r="B6948" s="1115">
        <v>45208</v>
      </c>
      <c r="C6948" s="242">
        <f t="shared" si="217"/>
        <v>10</v>
      </c>
      <c r="D6948" s="242">
        <v>59.5</v>
      </c>
      <c r="E6948" s="845">
        <f t="shared" si="218"/>
        <v>15.277777777777777</v>
      </c>
    </row>
    <row r="6949" spans="2:5">
      <c r="B6949" s="1115">
        <v>45208</v>
      </c>
      <c r="C6949" s="242">
        <f t="shared" si="217"/>
        <v>10</v>
      </c>
      <c r="D6949" s="242">
        <v>60.4</v>
      </c>
      <c r="E6949" s="845">
        <f t="shared" si="218"/>
        <v>15.777777777777777</v>
      </c>
    </row>
    <row r="6950" spans="2:5">
      <c r="B6950" s="1115">
        <v>45208</v>
      </c>
      <c r="C6950" s="242">
        <f t="shared" si="217"/>
        <v>10</v>
      </c>
      <c r="D6950" s="242">
        <v>61.3</v>
      </c>
      <c r="E6950" s="845">
        <f t="shared" si="218"/>
        <v>16.277777777777775</v>
      </c>
    </row>
    <row r="6951" spans="2:5">
      <c r="B6951" s="1115">
        <v>45208</v>
      </c>
      <c r="C6951" s="242">
        <f t="shared" si="217"/>
        <v>10</v>
      </c>
      <c r="D6951" s="242">
        <v>62.1</v>
      </c>
      <c r="E6951" s="845">
        <f t="shared" si="218"/>
        <v>16.722222222222221</v>
      </c>
    </row>
    <row r="6952" spans="2:5">
      <c r="B6952" s="1115">
        <v>45208</v>
      </c>
      <c r="C6952" s="242">
        <f t="shared" si="217"/>
        <v>10</v>
      </c>
      <c r="D6952" s="242">
        <v>62.4</v>
      </c>
      <c r="E6952" s="845">
        <f t="shared" si="218"/>
        <v>16.888888888888889</v>
      </c>
    </row>
    <row r="6953" spans="2:5">
      <c r="B6953" s="1115">
        <v>45208</v>
      </c>
      <c r="C6953" s="242">
        <f t="shared" si="217"/>
        <v>10</v>
      </c>
      <c r="D6953" s="242">
        <v>62.6</v>
      </c>
      <c r="E6953" s="845">
        <f t="shared" si="218"/>
        <v>17</v>
      </c>
    </row>
    <row r="6954" spans="2:5">
      <c r="B6954" s="1115">
        <v>45208</v>
      </c>
      <c r="C6954" s="242">
        <f t="shared" si="217"/>
        <v>10</v>
      </c>
      <c r="D6954" s="242">
        <v>62.4</v>
      </c>
      <c r="E6954" s="845">
        <f t="shared" si="218"/>
        <v>16.888888888888889</v>
      </c>
    </row>
    <row r="6955" spans="2:5">
      <c r="B6955" s="1115">
        <v>45208</v>
      </c>
      <c r="C6955" s="242">
        <f t="shared" si="217"/>
        <v>10</v>
      </c>
      <c r="D6955" s="242">
        <v>61.7</v>
      </c>
      <c r="E6955" s="845">
        <f t="shared" si="218"/>
        <v>16.5</v>
      </c>
    </row>
    <row r="6956" spans="2:5">
      <c r="B6956" s="1115">
        <v>45208</v>
      </c>
      <c r="C6956" s="242">
        <f t="shared" si="217"/>
        <v>10</v>
      </c>
      <c r="D6956" s="242">
        <v>61.2</v>
      </c>
      <c r="E6956" s="845">
        <f t="shared" si="218"/>
        <v>16.222222222222225</v>
      </c>
    </row>
    <row r="6957" spans="2:5">
      <c r="B6957" s="1115">
        <v>45208</v>
      </c>
      <c r="C6957" s="242">
        <f t="shared" si="217"/>
        <v>10</v>
      </c>
      <c r="D6957" s="242">
        <v>59.9</v>
      </c>
      <c r="E6957" s="845">
        <f t="shared" si="218"/>
        <v>15.499999999999998</v>
      </c>
    </row>
    <row r="6958" spans="2:5">
      <c r="B6958" s="1115">
        <v>45208</v>
      </c>
      <c r="C6958" s="242">
        <f t="shared" si="217"/>
        <v>10</v>
      </c>
      <c r="D6958" s="242">
        <v>58.8</v>
      </c>
      <c r="E6958" s="845">
        <f t="shared" si="218"/>
        <v>14.888888888888888</v>
      </c>
    </row>
    <row r="6959" spans="2:5">
      <c r="B6959" s="1115">
        <v>45208</v>
      </c>
      <c r="C6959" s="242">
        <f t="shared" si="217"/>
        <v>10</v>
      </c>
      <c r="D6959" s="242">
        <v>58.3</v>
      </c>
      <c r="E6959" s="845">
        <f t="shared" si="218"/>
        <v>14.611111111111109</v>
      </c>
    </row>
    <row r="6960" spans="2:5">
      <c r="B6960" s="1115">
        <v>45208</v>
      </c>
      <c r="C6960" s="242">
        <f t="shared" si="217"/>
        <v>10</v>
      </c>
      <c r="D6960" s="242">
        <v>58.8</v>
      </c>
      <c r="E6960" s="845">
        <f t="shared" si="218"/>
        <v>14.888888888888888</v>
      </c>
    </row>
    <row r="6961" spans="2:5">
      <c r="B6961" s="1115">
        <v>45208</v>
      </c>
      <c r="C6961" s="242">
        <f t="shared" si="217"/>
        <v>10</v>
      </c>
      <c r="D6961" s="242">
        <v>58.8</v>
      </c>
      <c r="E6961" s="845">
        <f t="shared" si="218"/>
        <v>14.888888888888888</v>
      </c>
    </row>
    <row r="6962" spans="2:5">
      <c r="B6962" s="1115">
        <v>45208</v>
      </c>
      <c r="C6962" s="242">
        <f t="shared" si="217"/>
        <v>10</v>
      </c>
      <c r="D6962" s="242">
        <v>59.7</v>
      </c>
      <c r="E6962" s="845">
        <f t="shared" si="218"/>
        <v>15.388888888888889</v>
      </c>
    </row>
    <row r="6963" spans="2:5">
      <c r="B6963" s="1115">
        <v>45208</v>
      </c>
      <c r="C6963" s="242">
        <f t="shared" si="217"/>
        <v>10</v>
      </c>
      <c r="D6963" s="242" t="s">
        <v>1850</v>
      </c>
      <c r="E6963" s="845">
        <f t="shared" si="218"/>
        <v>16.111111111111111</v>
      </c>
    </row>
    <row r="6964" spans="2:5">
      <c r="B6964" s="1115">
        <v>45208</v>
      </c>
      <c r="C6964" s="242">
        <f t="shared" si="217"/>
        <v>10</v>
      </c>
      <c r="D6964" s="242">
        <v>61.7</v>
      </c>
      <c r="E6964" s="845">
        <f t="shared" si="218"/>
        <v>16.5</v>
      </c>
    </row>
    <row r="6965" spans="2:5">
      <c r="B6965" s="1115">
        <v>45208</v>
      </c>
      <c r="C6965" s="242">
        <f t="shared" si="217"/>
        <v>10</v>
      </c>
      <c r="D6965" s="242">
        <v>62.1</v>
      </c>
      <c r="E6965" s="845">
        <f t="shared" si="218"/>
        <v>16.722222222222221</v>
      </c>
    </row>
    <row r="6966" spans="2:5">
      <c r="B6966" s="1115">
        <v>45208</v>
      </c>
      <c r="C6966" s="242">
        <f t="shared" si="217"/>
        <v>10</v>
      </c>
      <c r="D6966" s="242">
        <v>62.2</v>
      </c>
      <c r="E6966" s="845">
        <f t="shared" si="218"/>
        <v>16.777777777777779</v>
      </c>
    </row>
    <row r="6967" spans="2:5">
      <c r="B6967" s="1115">
        <v>45208</v>
      </c>
      <c r="C6967" s="242">
        <f t="shared" si="217"/>
        <v>10</v>
      </c>
      <c r="D6967" s="242" t="s">
        <v>1850</v>
      </c>
      <c r="E6967" s="845">
        <f t="shared" si="218"/>
        <v>16.111111111111111</v>
      </c>
    </row>
    <row r="6968" spans="2:5">
      <c r="B6968" s="1115">
        <v>45208</v>
      </c>
      <c r="C6968" s="242">
        <f t="shared" si="217"/>
        <v>10</v>
      </c>
      <c r="D6968" s="242">
        <v>60.3</v>
      </c>
      <c r="E6968" s="845">
        <f t="shared" si="218"/>
        <v>15.72222222222222</v>
      </c>
    </row>
    <row r="6969" spans="2:5">
      <c r="B6969" s="1115">
        <v>45209</v>
      </c>
      <c r="C6969" s="242">
        <f t="shared" si="217"/>
        <v>10</v>
      </c>
      <c r="D6969" s="242">
        <v>59.4</v>
      </c>
      <c r="E6969" s="845">
        <f t="shared" si="218"/>
        <v>15.222222222222221</v>
      </c>
    </row>
    <row r="6970" spans="2:5">
      <c r="B6970" s="1115">
        <v>45209</v>
      </c>
      <c r="C6970" s="242">
        <f t="shared" si="217"/>
        <v>10</v>
      </c>
      <c r="D6970" s="242">
        <v>58.6</v>
      </c>
      <c r="E6970" s="845">
        <f t="shared" si="218"/>
        <v>14.777777777777779</v>
      </c>
    </row>
    <row r="6971" spans="2:5">
      <c r="B6971" s="1115">
        <v>45209</v>
      </c>
      <c r="C6971" s="242">
        <f t="shared" si="217"/>
        <v>10</v>
      </c>
      <c r="D6971" s="242">
        <v>58.1</v>
      </c>
      <c r="E6971" s="845">
        <f t="shared" si="218"/>
        <v>14.5</v>
      </c>
    </row>
    <row r="6972" spans="2:5">
      <c r="B6972" s="1115">
        <v>45209</v>
      </c>
      <c r="C6972" s="242">
        <f t="shared" si="217"/>
        <v>10</v>
      </c>
      <c r="D6972" s="242">
        <v>58.1</v>
      </c>
      <c r="E6972" s="845">
        <f t="shared" si="218"/>
        <v>14.5</v>
      </c>
    </row>
    <row r="6973" spans="2:5">
      <c r="B6973" s="1115">
        <v>45209</v>
      </c>
      <c r="C6973" s="242">
        <f t="shared" si="217"/>
        <v>10</v>
      </c>
      <c r="D6973" s="242">
        <v>58.1</v>
      </c>
      <c r="E6973" s="845">
        <f t="shared" si="218"/>
        <v>14.5</v>
      </c>
    </row>
    <row r="6974" spans="2:5">
      <c r="B6974" s="1115">
        <v>45209</v>
      </c>
      <c r="C6974" s="242">
        <f t="shared" si="217"/>
        <v>10</v>
      </c>
      <c r="D6974" s="242" t="s">
        <v>1849</v>
      </c>
      <c r="E6974" s="845">
        <f t="shared" si="218"/>
        <v>15</v>
      </c>
    </row>
    <row r="6975" spans="2:5">
      <c r="B6975" s="1115">
        <v>45209</v>
      </c>
      <c r="C6975" s="242">
        <f t="shared" si="217"/>
        <v>10</v>
      </c>
      <c r="D6975" s="242">
        <v>59.9</v>
      </c>
      <c r="E6975" s="845">
        <f t="shared" si="218"/>
        <v>15.499999999999998</v>
      </c>
    </row>
    <row r="6976" spans="2:5">
      <c r="B6976" s="1115">
        <v>45209</v>
      </c>
      <c r="C6976" s="242">
        <f t="shared" si="217"/>
        <v>10</v>
      </c>
      <c r="D6976" s="242">
        <v>60.8</v>
      </c>
      <c r="E6976" s="845">
        <f t="shared" si="218"/>
        <v>15.999999999999998</v>
      </c>
    </row>
    <row r="6977" spans="2:5">
      <c r="B6977" s="1115">
        <v>45209</v>
      </c>
      <c r="C6977" s="242">
        <f t="shared" si="217"/>
        <v>10</v>
      </c>
      <c r="D6977" s="242">
        <v>61.3</v>
      </c>
      <c r="E6977" s="845">
        <f t="shared" si="218"/>
        <v>16.277777777777775</v>
      </c>
    </row>
    <row r="6978" spans="2:5">
      <c r="B6978" s="1115">
        <v>45209</v>
      </c>
      <c r="C6978" s="242">
        <f t="shared" si="217"/>
        <v>10</v>
      </c>
      <c r="D6978" s="242">
        <v>61.5</v>
      </c>
      <c r="E6978" s="845">
        <f t="shared" si="218"/>
        <v>16.388888888888889</v>
      </c>
    </row>
    <row r="6979" spans="2:5">
      <c r="B6979" s="1115">
        <v>45209</v>
      </c>
      <c r="C6979" s="242">
        <f t="shared" si="217"/>
        <v>10</v>
      </c>
      <c r="D6979" s="242">
        <v>61.5</v>
      </c>
      <c r="E6979" s="845">
        <f t="shared" si="218"/>
        <v>16.388888888888889</v>
      </c>
    </row>
    <row r="6980" spans="2:5">
      <c r="B6980" s="1115">
        <v>45209</v>
      </c>
      <c r="C6980" s="242">
        <f t="shared" si="217"/>
        <v>10</v>
      </c>
      <c r="D6980" s="242">
        <v>60.3</v>
      </c>
      <c r="E6980" s="845">
        <f t="shared" si="218"/>
        <v>15.72222222222222</v>
      </c>
    </row>
    <row r="6981" spans="2:5">
      <c r="B6981" s="1115">
        <v>45209</v>
      </c>
      <c r="C6981" s="242">
        <f t="shared" si="217"/>
        <v>10</v>
      </c>
      <c r="D6981" s="242">
        <v>59.5</v>
      </c>
      <c r="E6981" s="845">
        <f t="shared" si="218"/>
        <v>15.277777777777777</v>
      </c>
    </row>
    <row r="6982" spans="2:5">
      <c r="B6982" s="1115">
        <v>45209</v>
      </c>
      <c r="C6982" s="242">
        <f t="shared" si="217"/>
        <v>10</v>
      </c>
      <c r="D6982" s="242">
        <v>58.6</v>
      </c>
      <c r="E6982" s="845">
        <f t="shared" si="218"/>
        <v>14.777777777777779</v>
      </c>
    </row>
    <row r="6983" spans="2:5">
      <c r="B6983" s="1115">
        <v>45209</v>
      </c>
      <c r="C6983" s="242">
        <f t="shared" si="217"/>
        <v>10</v>
      </c>
      <c r="D6983" s="242">
        <v>57.9</v>
      </c>
      <c r="E6983" s="845">
        <f t="shared" si="218"/>
        <v>14.388888888888888</v>
      </c>
    </row>
    <row r="6984" spans="2:5">
      <c r="B6984" s="1115">
        <v>45209</v>
      </c>
      <c r="C6984" s="242">
        <f t="shared" si="217"/>
        <v>10</v>
      </c>
      <c r="D6984" s="242">
        <v>57.7</v>
      </c>
      <c r="E6984" s="845">
        <f t="shared" si="218"/>
        <v>14.277777777777779</v>
      </c>
    </row>
    <row r="6985" spans="2:5">
      <c r="B6985" s="1115">
        <v>45209</v>
      </c>
      <c r="C6985" s="242">
        <f t="shared" si="217"/>
        <v>10</v>
      </c>
      <c r="D6985" s="242">
        <v>57.7</v>
      </c>
      <c r="E6985" s="845">
        <f t="shared" si="218"/>
        <v>14.277777777777779</v>
      </c>
    </row>
    <row r="6986" spans="2:5">
      <c r="B6986" s="1115">
        <v>45209</v>
      </c>
      <c r="C6986" s="242">
        <f t="shared" ref="C6986:C7049" si="219">MONTH(B6986)</f>
        <v>10</v>
      </c>
      <c r="D6986" s="242">
        <v>58.1</v>
      </c>
      <c r="E6986" s="845">
        <f t="shared" ref="E6986:E7049" si="220">CONVERT(D6986,"F","C")</f>
        <v>14.5</v>
      </c>
    </row>
    <row r="6987" spans="2:5">
      <c r="B6987" s="1115">
        <v>45209</v>
      </c>
      <c r="C6987" s="242">
        <f t="shared" si="219"/>
        <v>10</v>
      </c>
      <c r="D6987" s="242">
        <v>58.8</v>
      </c>
      <c r="E6987" s="845">
        <f t="shared" si="220"/>
        <v>14.888888888888888</v>
      </c>
    </row>
    <row r="6988" spans="2:5">
      <c r="B6988" s="1115">
        <v>45209</v>
      </c>
      <c r="C6988" s="242">
        <f t="shared" si="219"/>
        <v>10</v>
      </c>
      <c r="D6988" s="242">
        <v>59.9</v>
      </c>
      <c r="E6988" s="845">
        <f t="shared" si="220"/>
        <v>15.499999999999998</v>
      </c>
    </row>
    <row r="6989" spans="2:5">
      <c r="B6989" s="1115">
        <v>45209</v>
      </c>
      <c r="C6989" s="242">
        <f t="shared" si="219"/>
        <v>10</v>
      </c>
      <c r="D6989" s="242">
        <v>60.8</v>
      </c>
      <c r="E6989" s="845">
        <f t="shared" si="220"/>
        <v>15.999999999999998</v>
      </c>
    </row>
    <row r="6990" spans="2:5">
      <c r="B6990" s="1115">
        <v>45209</v>
      </c>
      <c r="C6990" s="242">
        <f t="shared" si="219"/>
        <v>10</v>
      </c>
      <c r="D6990" s="242" t="s">
        <v>1850</v>
      </c>
      <c r="E6990" s="845">
        <f t="shared" si="220"/>
        <v>16.111111111111111</v>
      </c>
    </row>
    <row r="6991" spans="2:5">
      <c r="B6991" s="1115">
        <v>45209</v>
      </c>
      <c r="C6991" s="242">
        <f t="shared" si="219"/>
        <v>10</v>
      </c>
      <c r="D6991" s="242" t="s">
        <v>1850</v>
      </c>
      <c r="E6991" s="845">
        <f t="shared" si="220"/>
        <v>16.111111111111111</v>
      </c>
    </row>
    <row r="6992" spans="2:5">
      <c r="B6992" s="1115">
        <v>45209</v>
      </c>
      <c r="C6992" s="242">
        <f t="shared" si="219"/>
        <v>10</v>
      </c>
      <c r="D6992" s="242">
        <v>59.5</v>
      </c>
      <c r="E6992" s="845">
        <f t="shared" si="220"/>
        <v>15.277777777777777</v>
      </c>
    </row>
    <row r="6993" spans="2:5">
      <c r="B6993" s="1115">
        <v>45210</v>
      </c>
      <c r="C6993" s="242">
        <f t="shared" si="219"/>
        <v>10</v>
      </c>
      <c r="D6993" s="242" t="s">
        <v>1849</v>
      </c>
      <c r="E6993" s="845">
        <f t="shared" si="220"/>
        <v>15</v>
      </c>
    </row>
    <row r="6994" spans="2:5">
      <c r="B6994" s="1115">
        <v>45210</v>
      </c>
      <c r="C6994" s="242">
        <f t="shared" si="219"/>
        <v>10</v>
      </c>
      <c r="D6994" s="242">
        <v>58.1</v>
      </c>
      <c r="E6994" s="845">
        <f t="shared" si="220"/>
        <v>14.5</v>
      </c>
    </row>
    <row r="6995" spans="2:5">
      <c r="B6995" s="1115">
        <v>45210</v>
      </c>
      <c r="C6995" s="242">
        <f t="shared" si="219"/>
        <v>10</v>
      </c>
      <c r="D6995" s="242">
        <v>57.6</v>
      </c>
      <c r="E6995" s="845">
        <f t="shared" si="220"/>
        <v>14.222222222222223</v>
      </c>
    </row>
    <row r="6996" spans="2:5">
      <c r="B6996" s="1115">
        <v>45210</v>
      </c>
      <c r="C6996" s="242">
        <f t="shared" si="219"/>
        <v>10</v>
      </c>
      <c r="D6996" s="242">
        <v>57.4</v>
      </c>
      <c r="E6996" s="845">
        <f t="shared" si="220"/>
        <v>14.111111111111111</v>
      </c>
    </row>
    <row r="6997" spans="2:5">
      <c r="B6997" s="1115">
        <v>45210</v>
      </c>
      <c r="C6997" s="242">
        <f t="shared" si="219"/>
        <v>10</v>
      </c>
      <c r="D6997" s="242">
        <v>57.6</v>
      </c>
      <c r="E6997" s="845">
        <f t="shared" si="220"/>
        <v>14.222222222222223</v>
      </c>
    </row>
    <row r="6998" spans="2:5">
      <c r="B6998" s="1115">
        <v>45210</v>
      </c>
      <c r="C6998" s="242">
        <f t="shared" si="219"/>
        <v>10</v>
      </c>
      <c r="D6998" s="242">
        <v>57.6</v>
      </c>
      <c r="E6998" s="845">
        <f t="shared" si="220"/>
        <v>14.222222222222223</v>
      </c>
    </row>
    <row r="6999" spans="2:5">
      <c r="B6999" s="1115">
        <v>45210</v>
      </c>
      <c r="C6999" s="242">
        <f t="shared" si="219"/>
        <v>10</v>
      </c>
      <c r="D6999" s="242">
        <v>58.3</v>
      </c>
      <c r="E6999" s="845">
        <f t="shared" si="220"/>
        <v>14.611111111111109</v>
      </c>
    </row>
    <row r="7000" spans="2:5">
      <c r="B7000" s="1115">
        <v>45210</v>
      </c>
      <c r="C7000" s="242">
        <f t="shared" si="219"/>
        <v>10</v>
      </c>
      <c r="D7000" s="242">
        <v>59.2</v>
      </c>
      <c r="E7000" s="845">
        <f t="shared" si="220"/>
        <v>15.111111111111112</v>
      </c>
    </row>
    <row r="7001" spans="2:5">
      <c r="B7001" s="1115">
        <v>45210</v>
      </c>
      <c r="C7001" s="242">
        <f t="shared" si="219"/>
        <v>10</v>
      </c>
      <c r="D7001" s="242">
        <v>60.1</v>
      </c>
      <c r="E7001" s="845">
        <f t="shared" si="220"/>
        <v>15.611111111111111</v>
      </c>
    </row>
    <row r="7002" spans="2:5">
      <c r="B7002" s="1115">
        <v>45210</v>
      </c>
      <c r="C7002" s="242">
        <f t="shared" si="219"/>
        <v>10</v>
      </c>
      <c r="D7002" s="242">
        <v>60.4</v>
      </c>
      <c r="E7002" s="845">
        <f t="shared" si="220"/>
        <v>15.777777777777777</v>
      </c>
    </row>
    <row r="7003" spans="2:5">
      <c r="B7003" s="1115">
        <v>45210</v>
      </c>
      <c r="C7003" s="242">
        <f t="shared" si="219"/>
        <v>10</v>
      </c>
      <c r="D7003" s="242">
        <v>60.4</v>
      </c>
      <c r="E7003" s="845">
        <f t="shared" si="220"/>
        <v>15.777777777777777</v>
      </c>
    </row>
    <row r="7004" spans="2:5">
      <c r="B7004" s="1115">
        <v>45210</v>
      </c>
      <c r="C7004" s="242">
        <f t="shared" si="219"/>
        <v>10</v>
      </c>
      <c r="D7004" s="242">
        <v>60.3</v>
      </c>
      <c r="E7004" s="845">
        <f t="shared" si="220"/>
        <v>15.72222222222222</v>
      </c>
    </row>
    <row r="7005" spans="2:5">
      <c r="B7005" s="1115">
        <v>45210</v>
      </c>
      <c r="C7005" s="242">
        <f t="shared" si="219"/>
        <v>10</v>
      </c>
      <c r="D7005" s="242">
        <v>59.2</v>
      </c>
      <c r="E7005" s="845">
        <f t="shared" si="220"/>
        <v>15.111111111111112</v>
      </c>
    </row>
    <row r="7006" spans="2:5">
      <c r="B7006" s="1115">
        <v>45210</v>
      </c>
      <c r="C7006" s="242">
        <f t="shared" si="219"/>
        <v>10</v>
      </c>
      <c r="D7006" s="242">
        <v>58.6</v>
      </c>
      <c r="E7006" s="845">
        <f t="shared" si="220"/>
        <v>14.777777777777779</v>
      </c>
    </row>
    <row r="7007" spans="2:5">
      <c r="B7007" s="1115">
        <v>45210</v>
      </c>
      <c r="C7007" s="242">
        <f t="shared" si="219"/>
        <v>10</v>
      </c>
      <c r="D7007" s="242">
        <v>57.9</v>
      </c>
      <c r="E7007" s="845">
        <f t="shared" si="220"/>
        <v>14.388888888888888</v>
      </c>
    </row>
    <row r="7008" spans="2:5">
      <c r="B7008" s="1115">
        <v>45210</v>
      </c>
      <c r="C7008" s="242">
        <f t="shared" si="219"/>
        <v>10</v>
      </c>
      <c r="D7008" s="242">
        <v>57.6</v>
      </c>
      <c r="E7008" s="845">
        <f t="shared" si="220"/>
        <v>14.222222222222223</v>
      </c>
    </row>
    <row r="7009" spans="2:5">
      <c r="B7009" s="1115">
        <v>45210</v>
      </c>
      <c r="C7009" s="242">
        <f t="shared" si="219"/>
        <v>10</v>
      </c>
      <c r="D7009" s="242">
        <v>57.6</v>
      </c>
      <c r="E7009" s="845">
        <f t="shared" si="220"/>
        <v>14.222222222222223</v>
      </c>
    </row>
    <row r="7010" spans="2:5">
      <c r="B7010" s="1115">
        <v>45210</v>
      </c>
      <c r="C7010" s="242">
        <f t="shared" si="219"/>
        <v>10</v>
      </c>
      <c r="D7010" s="242">
        <v>57.6</v>
      </c>
      <c r="E7010" s="845">
        <f t="shared" si="220"/>
        <v>14.222222222222223</v>
      </c>
    </row>
    <row r="7011" spans="2:5">
      <c r="B7011" s="1115">
        <v>45210</v>
      </c>
      <c r="C7011" s="242">
        <f t="shared" si="219"/>
        <v>10</v>
      </c>
      <c r="D7011" s="242">
        <v>58.1</v>
      </c>
      <c r="E7011" s="845">
        <f t="shared" si="220"/>
        <v>14.5</v>
      </c>
    </row>
    <row r="7012" spans="2:5">
      <c r="B7012" s="1115">
        <v>45210</v>
      </c>
      <c r="C7012" s="242">
        <f t="shared" si="219"/>
        <v>10</v>
      </c>
      <c r="D7012" s="242">
        <v>58.8</v>
      </c>
      <c r="E7012" s="845">
        <f t="shared" si="220"/>
        <v>14.888888888888888</v>
      </c>
    </row>
    <row r="7013" spans="2:5">
      <c r="B7013" s="1115">
        <v>45210</v>
      </c>
      <c r="C7013" s="242">
        <f t="shared" si="219"/>
        <v>10</v>
      </c>
      <c r="D7013" s="242">
        <v>59.7</v>
      </c>
      <c r="E7013" s="845">
        <f t="shared" si="220"/>
        <v>15.388888888888889</v>
      </c>
    </row>
    <row r="7014" spans="2:5">
      <c r="B7014" s="1115">
        <v>45210</v>
      </c>
      <c r="C7014" s="242">
        <f t="shared" si="219"/>
        <v>10</v>
      </c>
      <c r="D7014" s="242">
        <v>60.1</v>
      </c>
      <c r="E7014" s="845">
        <f t="shared" si="220"/>
        <v>15.611111111111111</v>
      </c>
    </row>
    <row r="7015" spans="2:5">
      <c r="B7015" s="1115">
        <v>45210</v>
      </c>
      <c r="C7015" s="242">
        <f t="shared" si="219"/>
        <v>10</v>
      </c>
      <c r="D7015" s="242">
        <v>60.3</v>
      </c>
      <c r="E7015" s="845">
        <f t="shared" si="220"/>
        <v>15.72222222222222</v>
      </c>
    </row>
    <row r="7016" spans="2:5">
      <c r="B7016" s="1115">
        <v>45210</v>
      </c>
      <c r="C7016" s="242">
        <f t="shared" si="219"/>
        <v>10</v>
      </c>
      <c r="D7016" s="242">
        <v>60.3</v>
      </c>
      <c r="E7016" s="845">
        <f t="shared" si="220"/>
        <v>15.72222222222222</v>
      </c>
    </row>
    <row r="7017" spans="2:5">
      <c r="B7017" s="1115">
        <v>45211</v>
      </c>
      <c r="C7017" s="242">
        <f t="shared" si="219"/>
        <v>10</v>
      </c>
      <c r="D7017" s="242">
        <v>59.2</v>
      </c>
      <c r="E7017" s="845">
        <f t="shared" si="220"/>
        <v>15.111111111111112</v>
      </c>
    </row>
    <row r="7018" spans="2:5">
      <c r="B7018" s="1115">
        <v>45211</v>
      </c>
      <c r="C7018" s="242">
        <f t="shared" si="219"/>
        <v>10</v>
      </c>
      <c r="D7018" s="242">
        <v>58.6</v>
      </c>
      <c r="E7018" s="845">
        <f t="shared" si="220"/>
        <v>14.777777777777779</v>
      </c>
    </row>
    <row r="7019" spans="2:5">
      <c r="B7019" s="1115">
        <v>45211</v>
      </c>
      <c r="C7019" s="242">
        <f t="shared" si="219"/>
        <v>10</v>
      </c>
      <c r="D7019" s="242">
        <v>57.7</v>
      </c>
      <c r="E7019" s="845">
        <f t="shared" si="220"/>
        <v>14.277777777777779</v>
      </c>
    </row>
    <row r="7020" spans="2:5">
      <c r="B7020" s="1115">
        <v>45211</v>
      </c>
      <c r="C7020" s="242">
        <f t="shared" si="219"/>
        <v>10</v>
      </c>
      <c r="D7020" s="242">
        <v>57.6</v>
      </c>
      <c r="E7020" s="845">
        <f t="shared" si="220"/>
        <v>14.222222222222223</v>
      </c>
    </row>
    <row r="7021" spans="2:5">
      <c r="B7021" s="1115">
        <v>45211</v>
      </c>
      <c r="C7021" s="242">
        <f t="shared" si="219"/>
        <v>10</v>
      </c>
      <c r="D7021" s="242">
        <v>57.6</v>
      </c>
      <c r="E7021" s="845">
        <f t="shared" si="220"/>
        <v>14.222222222222223</v>
      </c>
    </row>
    <row r="7022" spans="2:5">
      <c r="B7022" s="1115">
        <v>45211</v>
      </c>
      <c r="C7022" s="242">
        <f t="shared" si="219"/>
        <v>10</v>
      </c>
      <c r="D7022" s="242">
        <v>57.7</v>
      </c>
      <c r="E7022" s="845">
        <f t="shared" si="220"/>
        <v>14.277777777777779</v>
      </c>
    </row>
    <row r="7023" spans="2:5">
      <c r="B7023" s="1115">
        <v>45211</v>
      </c>
      <c r="C7023" s="242">
        <f t="shared" si="219"/>
        <v>10</v>
      </c>
      <c r="D7023" s="242">
        <v>57.9</v>
      </c>
      <c r="E7023" s="845">
        <f t="shared" si="220"/>
        <v>14.388888888888888</v>
      </c>
    </row>
    <row r="7024" spans="2:5">
      <c r="B7024" s="1115">
        <v>45211</v>
      </c>
      <c r="C7024" s="242">
        <f t="shared" si="219"/>
        <v>10</v>
      </c>
      <c r="D7024" s="242">
        <v>58.5</v>
      </c>
      <c r="E7024" s="845">
        <f t="shared" si="220"/>
        <v>14.722222222222221</v>
      </c>
    </row>
    <row r="7025" spans="2:5">
      <c r="B7025" s="1115">
        <v>45211</v>
      </c>
      <c r="C7025" s="242">
        <f t="shared" si="219"/>
        <v>10</v>
      </c>
      <c r="D7025" s="242">
        <v>59.4</v>
      </c>
      <c r="E7025" s="845">
        <f t="shared" si="220"/>
        <v>15.222222222222221</v>
      </c>
    </row>
    <row r="7026" spans="2:5">
      <c r="B7026" s="1115">
        <v>45211</v>
      </c>
      <c r="C7026" s="242">
        <f t="shared" si="219"/>
        <v>10</v>
      </c>
      <c r="D7026" s="242">
        <v>59.7</v>
      </c>
      <c r="E7026" s="845">
        <f t="shared" si="220"/>
        <v>15.388888888888889</v>
      </c>
    </row>
    <row r="7027" spans="2:5">
      <c r="B7027" s="1115">
        <v>45211</v>
      </c>
      <c r="C7027" s="242">
        <f t="shared" si="219"/>
        <v>10</v>
      </c>
      <c r="D7027" s="242">
        <v>60.1</v>
      </c>
      <c r="E7027" s="845">
        <f t="shared" si="220"/>
        <v>15.611111111111111</v>
      </c>
    </row>
    <row r="7028" spans="2:5">
      <c r="B7028" s="1115">
        <v>45211</v>
      </c>
      <c r="C7028" s="242">
        <f t="shared" si="219"/>
        <v>10</v>
      </c>
      <c r="D7028" s="242">
        <v>60.1</v>
      </c>
      <c r="E7028" s="845">
        <f t="shared" si="220"/>
        <v>15.611111111111111</v>
      </c>
    </row>
    <row r="7029" spans="2:5">
      <c r="B7029" s="1115">
        <v>45211</v>
      </c>
      <c r="C7029" s="242">
        <f t="shared" si="219"/>
        <v>10</v>
      </c>
      <c r="D7029" s="242">
        <v>59.7</v>
      </c>
      <c r="E7029" s="845">
        <f t="shared" si="220"/>
        <v>15.388888888888889</v>
      </c>
    </row>
    <row r="7030" spans="2:5">
      <c r="B7030" s="1115">
        <v>45211</v>
      </c>
      <c r="C7030" s="242">
        <f t="shared" si="219"/>
        <v>10</v>
      </c>
      <c r="D7030" s="242" t="s">
        <v>1849</v>
      </c>
      <c r="E7030" s="845">
        <f t="shared" si="220"/>
        <v>15</v>
      </c>
    </row>
    <row r="7031" spans="2:5">
      <c r="B7031" s="1115">
        <v>45211</v>
      </c>
      <c r="C7031" s="242">
        <f t="shared" si="219"/>
        <v>10</v>
      </c>
      <c r="D7031" s="242">
        <v>58.1</v>
      </c>
      <c r="E7031" s="845">
        <f t="shared" si="220"/>
        <v>14.5</v>
      </c>
    </row>
    <row r="7032" spans="2:5">
      <c r="B7032" s="1115">
        <v>45211</v>
      </c>
      <c r="C7032" s="242">
        <f t="shared" si="219"/>
        <v>10</v>
      </c>
      <c r="D7032" s="242">
        <v>57.6</v>
      </c>
      <c r="E7032" s="845">
        <f t="shared" si="220"/>
        <v>14.222222222222223</v>
      </c>
    </row>
    <row r="7033" spans="2:5">
      <c r="B7033" s="1115">
        <v>45211</v>
      </c>
      <c r="C7033" s="242">
        <f t="shared" si="219"/>
        <v>10</v>
      </c>
      <c r="D7033" s="242">
        <v>57.4</v>
      </c>
      <c r="E7033" s="845">
        <f t="shared" si="220"/>
        <v>14.111111111111111</v>
      </c>
    </row>
    <row r="7034" spans="2:5">
      <c r="B7034" s="1115">
        <v>45211</v>
      </c>
      <c r="C7034" s="242">
        <f t="shared" si="219"/>
        <v>10</v>
      </c>
      <c r="D7034" s="242">
        <v>57.4</v>
      </c>
      <c r="E7034" s="845">
        <f t="shared" si="220"/>
        <v>14.111111111111111</v>
      </c>
    </row>
    <row r="7035" spans="2:5">
      <c r="B7035" s="1115">
        <v>45211</v>
      </c>
      <c r="C7035" s="242">
        <f t="shared" si="219"/>
        <v>10</v>
      </c>
      <c r="D7035" s="242">
        <v>57.6</v>
      </c>
      <c r="E7035" s="845">
        <f t="shared" si="220"/>
        <v>14.222222222222223</v>
      </c>
    </row>
    <row r="7036" spans="2:5">
      <c r="B7036" s="1115">
        <v>45211</v>
      </c>
      <c r="C7036" s="242">
        <f t="shared" si="219"/>
        <v>10</v>
      </c>
      <c r="D7036" s="242">
        <v>58.1</v>
      </c>
      <c r="E7036" s="845">
        <f t="shared" si="220"/>
        <v>14.5</v>
      </c>
    </row>
    <row r="7037" spans="2:5">
      <c r="B7037" s="1115">
        <v>45211</v>
      </c>
      <c r="C7037" s="242">
        <f t="shared" si="219"/>
        <v>10</v>
      </c>
      <c r="D7037" s="242" t="s">
        <v>1849</v>
      </c>
      <c r="E7037" s="845">
        <f t="shared" si="220"/>
        <v>15</v>
      </c>
    </row>
    <row r="7038" spans="2:5">
      <c r="B7038" s="1115">
        <v>45211</v>
      </c>
      <c r="C7038" s="242">
        <f t="shared" si="219"/>
        <v>10</v>
      </c>
      <c r="D7038" s="242">
        <v>59.7</v>
      </c>
      <c r="E7038" s="845">
        <f t="shared" si="220"/>
        <v>15.388888888888889</v>
      </c>
    </row>
    <row r="7039" spans="2:5">
      <c r="B7039" s="1115">
        <v>45211</v>
      </c>
      <c r="C7039" s="242">
        <f t="shared" si="219"/>
        <v>10</v>
      </c>
      <c r="D7039" s="242">
        <v>60.1</v>
      </c>
      <c r="E7039" s="845">
        <f t="shared" si="220"/>
        <v>15.611111111111111</v>
      </c>
    </row>
    <row r="7040" spans="2:5">
      <c r="B7040" s="1115">
        <v>45211</v>
      </c>
      <c r="C7040" s="242">
        <f t="shared" si="219"/>
        <v>10</v>
      </c>
      <c r="D7040" s="242">
        <v>60.3</v>
      </c>
      <c r="E7040" s="845">
        <f t="shared" si="220"/>
        <v>15.72222222222222</v>
      </c>
    </row>
    <row r="7041" spans="2:5">
      <c r="B7041" s="1115">
        <v>45212</v>
      </c>
      <c r="C7041" s="242">
        <f t="shared" si="219"/>
        <v>10</v>
      </c>
      <c r="D7041" s="242">
        <v>59.9</v>
      </c>
      <c r="E7041" s="845">
        <f t="shared" si="220"/>
        <v>15.499999999999998</v>
      </c>
    </row>
    <row r="7042" spans="2:5">
      <c r="B7042" s="1115">
        <v>45212</v>
      </c>
      <c r="C7042" s="242">
        <f t="shared" si="219"/>
        <v>10</v>
      </c>
      <c r="D7042" s="242">
        <v>59.2</v>
      </c>
      <c r="E7042" s="845">
        <f t="shared" si="220"/>
        <v>15.111111111111112</v>
      </c>
    </row>
    <row r="7043" spans="2:5">
      <c r="B7043" s="1115">
        <v>45212</v>
      </c>
      <c r="C7043" s="242">
        <f t="shared" si="219"/>
        <v>10</v>
      </c>
      <c r="D7043" s="242">
        <v>58.3</v>
      </c>
      <c r="E7043" s="845">
        <f t="shared" si="220"/>
        <v>14.611111111111109</v>
      </c>
    </row>
    <row r="7044" spans="2:5">
      <c r="B7044" s="1115">
        <v>45212</v>
      </c>
      <c r="C7044" s="242">
        <f t="shared" si="219"/>
        <v>10</v>
      </c>
      <c r="D7044" s="242">
        <v>57.7</v>
      </c>
      <c r="E7044" s="845">
        <f t="shared" si="220"/>
        <v>14.277777777777779</v>
      </c>
    </row>
    <row r="7045" spans="2:5">
      <c r="B7045" s="1115">
        <v>45212</v>
      </c>
      <c r="C7045" s="242">
        <f t="shared" si="219"/>
        <v>10</v>
      </c>
      <c r="D7045" s="242">
        <v>57.4</v>
      </c>
      <c r="E7045" s="845">
        <f t="shared" si="220"/>
        <v>14.111111111111111</v>
      </c>
    </row>
    <row r="7046" spans="2:5">
      <c r="B7046" s="1115">
        <v>45212</v>
      </c>
      <c r="C7046" s="242">
        <f t="shared" si="219"/>
        <v>10</v>
      </c>
      <c r="D7046" s="242">
        <v>57.4</v>
      </c>
      <c r="E7046" s="845">
        <f t="shared" si="220"/>
        <v>14.111111111111111</v>
      </c>
    </row>
    <row r="7047" spans="2:5">
      <c r="B7047" s="1115">
        <v>45212</v>
      </c>
      <c r="C7047" s="242">
        <f t="shared" si="219"/>
        <v>10</v>
      </c>
      <c r="D7047" s="242">
        <v>57.4</v>
      </c>
      <c r="E7047" s="845">
        <f t="shared" si="220"/>
        <v>14.111111111111111</v>
      </c>
    </row>
    <row r="7048" spans="2:5">
      <c r="B7048" s="1115">
        <v>45212</v>
      </c>
      <c r="C7048" s="242">
        <f t="shared" si="219"/>
        <v>10</v>
      </c>
      <c r="D7048" s="242">
        <v>57.7</v>
      </c>
      <c r="E7048" s="845">
        <f t="shared" si="220"/>
        <v>14.277777777777779</v>
      </c>
    </row>
    <row r="7049" spans="2:5">
      <c r="B7049" s="1115">
        <v>45212</v>
      </c>
      <c r="C7049" s="242">
        <f t="shared" si="219"/>
        <v>10</v>
      </c>
      <c r="D7049" s="242">
        <v>58.3</v>
      </c>
      <c r="E7049" s="845">
        <f t="shared" si="220"/>
        <v>14.611111111111109</v>
      </c>
    </row>
    <row r="7050" spans="2:5">
      <c r="B7050" s="1115">
        <v>45212</v>
      </c>
      <c r="C7050" s="242">
        <f t="shared" ref="C7050:C7113" si="221">MONTH(B7050)</f>
        <v>10</v>
      </c>
      <c r="D7050" s="242" t="s">
        <v>1849</v>
      </c>
      <c r="E7050" s="845">
        <f t="shared" ref="E7050:E7113" si="222">CONVERT(D7050,"F","C")</f>
        <v>15</v>
      </c>
    </row>
    <row r="7051" spans="2:5">
      <c r="B7051" s="1115">
        <v>45212</v>
      </c>
      <c r="C7051" s="242">
        <f t="shared" si="221"/>
        <v>10</v>
      </c>
      <c r="D7051" s="242">
        <v>59.4</v>
      </c>
      <c r="E7051" s="845">
        <f t="shared" si="222"/>
        <v>15.222222222222221</v>
      </c>
    </row>
    <row r="7052" spans="2:5">
      <c r="B7052" s="1115">
        <v>45212</v>
      </c>
      <c r="C7052" s="242">
        <f t="shared" si="221"/>
        <v>10</v>
      </c>
      <c r="D7052" s="242">
        <v>59.5</v>
      </c>
      <c r="E7052" s="845">
        <f t="shared" si="222"/>
        <v>15.277777777777777</v>
      </c>
    </row>
    <row r="7053" spans="2:5">
      <c r="B7053" s="1115">
        <v>45212</v>
      </c>
      <c r="C7053" s="242">
        <f t="shared" si="221"/>
        <v>10</v>
      </c>
      <c r="D7053" s="242">
        <v>59.5</v>
      </c>
      <c r="E7053" s="845">
        <f t="shared" si="222"/>
        <v>15.277777777777777</v>
      </c>
    </row>
    <row r="7054" spans="2:5">
      <c r="B7054" s="1115">
        <v>45212</v>
      </c>
      <c r="C7054" s="242">
        <f t="shared" si="221"/>
        <v>10</v>
      </c>
      <c r="D7054" s="242">
        <v>58.6</v>
      </c>
      <c r="E7054" s="845">
        <f t="shared" si="222"/>
        <v>14.777777777777779</v>
      </c>
    </row>
    <row r="7055" spans="2:5">
      <c r="B7055" s="1115">
        <v>45212</v>
      </c>
      <c r="C7055" s="242">
        <f t="shared" si="221"/>
        <v>10</v>
      </c>
      <c r="D7055" s="242">
        <v>57.9</v>
      </c>
      <c r="E7055" s="845">
        <f t="shared" si="222"/>
        <v>14.388888888888888</v>
      </c>
    </row>
    <row r="7056" spans="2:5">
      <c r="B7056" s="1115">
        <v>45212</v>
      </c>
      <c r="C7056" s="242">
        <f t="shared" si="221"/>
        <v>10</v>
      </c>
      <c r="D7056" s="242">
        <v>57.4</v>
      </c>
      <c r="E7056" s="845">
        <f t="shared" si="222"/>
        <v>14.111111111111111</v>
      </c>
    </row>
    <row r="7057" spans="2:5">
      <c r="B7057" s="1115">
        <v>45212</v>
      </c>
      <c r="C7057" s="242">
        <f t="shared" si="221"/>
        <v>10</v>
      </c>
      <c r="D7057" s="242">
        <v>57.2</v>
      </c>
      <c r="E7057" s="845">
        <f t="shared" si="222"/>
        <v>14.000000000000002</v>
      </c>
    </row>
    <row r="7058" spans="2:5">
      <c r="B7058" s="1115">
        <v>45212</v>
      </c>
      <c r="C7058" s="242">
        <f t="shared" si="221"/>
        <v>10</v>
      </c>
      <c r="D7058" s="242" t="s">
        <v>1848</v>
      </c>
      <c r="E7058" s="845">
        <f t="shared" si="222"/>
        <v>13.888888888888889</v>
      </c>
    </row>
    <row r="7059" spans="2:5">
      <c r="B7059" s="1115">
        <v>45212</v>
      </c>
      <c r="C7059" s="242">
        <f t="shared" si="221"/>
        <v>10</v>
      </c>
      <c r="D7059" s="242">
        <v>57.2</v>
      </c>
      <c r="E7059" s="845">
        <f t="shared" si="222"/>
        <v>14.000000000000002</v>
      </c>
    </row>
    <row r="7060" spans="2:5">
      <c r="B7060" s="1115">
        <v>45212</v>
      </c>
      <c r="C7060" s="242">
        <f t="shared" si="221"/>
        <v>10</v>
      </c>
      <c r="D7060" s="242">
        <v>57.4</v>
      </c>
      <c r="E7060" s="845">
        <f t="shared" si="222"/>
        <v>14.111111111111111</v>
      </c>
    </row>
    <row r="7061" spans="2:5">
      <c r="B7061" s="1115">
        <v>45212</v>
      </c>
      <c r="C7061" s="242">
        <f t="shared" si="221"/>
        <v>10</v>
      </c>
      <c r="D7061" s="242">
        <v>57.9</v>
      </c>
      <c r="E7061" s="845">
        <f t="shared" si="222"/>
        <v>14.388888888888888</v>
      </c>
    </row>
    <row r="7062" spans="2:5">
      <c r="B7062" s="1115">
        <v>45212</v>
      </c>
      <c r="C7062" s="242">
        <f t="shared" si="221"/>
        <v>10</v>
      </c>
      <c r="D7062" s="242">
        <v>58.8</v>
      </c>
      <c r="E7062" s="845">
        <f t="shared" si="222"/>
        <v>14.888888888888888</v>
      </c>
    </row>
    <row r="7063" spans="2:5">
      <c r="B7063" s="1115">
        <v>45212</v>
      </c>
      <c r="C7063" s="242">
        <f t="shared" si="221"/>
        <v>10</v>
      </c>
      <c r="D7063" s="242">
        <v>59.4</v>
      </c>
      <c r="E7063" s="845">
        <f t="shared" si="222"/>
        <v>15.222222222222221</v>
      </c>
    </row>
    <row r="7064" spans="2:5">
      <c r="B7064" s="1115">
        <v>45212</v>
      </c>
      <c r="C7064" s="242">
        <f t="shared" si="221"/>
        <v>10</v>
      </c>
      <c r="D7064" s="242">
        <v>59.5</v>
      </c>
      <c r="E7064" s="845">
        <f t="shared" si="222"/>
        <v>15.277777777777777</v>
      </c>
    </row>
    <row r="7065" spans="2:5">
      <c r="B7065" s="1115">
        <v>45213</v>
      </c>
      <c r="C7065" s="242">
        <f t="shared" si="221"/>
        <v>10</v>
      </c>
      <c r="D7065" s="242">
        <v>59.5</v>
      </c>
      <c r="E7065" s="845">
        <f t="shared" si="222"/>
        <v>15.277777777777777</v>
      </c>
    </row>
    <row r="7066" spans="2:5">
      <c r="B7066" s="1115">
        <v>45213</v>
      </c>
      <c r="C7066" s="242">
        <f t="shared" si="221"/>
        <v>10</v>
      </c>
      <c r="D7066" s="242" t="s">
        <v>1849</v>
      </c>
      <c r="E7066" s="845">
        <f t="shared" si="222"/>
        <v>15</v>
      </c>
    </row>
    <row r="7067" spans="2:5">
      <c r="B7067" s="1115">
        <v>45213</v>
      </c>
      <c r="C7067" s="242">
        <f t="shared" si="221"/>
        <v>10</v>
      </c>
      <c r="D7067" s="242">
        <v>58.5</v>
      </c>
      <c r="E7067" s="845">
        <f t="shared" si="222"/>
        <v>14.722222222222221</v>
      </c>
    </row>
    <row r="7068" spans="2:5">
      <c r="B7068" s="1115">
        <v>45213</v>
      </c>
      <c r="C7068" s="242">
        <f t="shared" si="221"/>
        <v>10</v>
      </c>
      <c r="D7068" s="242">
        <v>57.6</v>
      </c>
      <c r="E7068" s="845">
        <f t="shared" si="222"/>
        <v>14.222222222222223</v>
      </c>
    </row>
    <row r="7069" spans="2:5">
      <c r="B7069" s="1115">
        <v>45213</v>
      </c>
      <c r="C7069" s="242">
        <f t="shared" si="221"/>
        <v>10</v>
      </c>
      <c r="D7069" s="242">
        <v>56.8</v>
      </c>
      <c r="E7069" s="845">
        <f t="shared" si="222"/>
        <v>13.777777777777775</v>
      </c>
    </row>
    <row r="7070" spans="2:5">
      <c r="B7070" s="1115">
        <v>45213</v>
      </c>
      <c r="C7070" s="242">
        <f t="shared" si="221"/>
        <v>10</v>
      </c>
      <c r="D7070" s="242">
        <v>56.7</v>
      </c>
      <c r="E7070" s="845">
        <f t="shared" si="222"/>
        <v>13.722222222222223</v>
      </c>
    </row>
    <row r="7071" spans="2:5">
      <c r="B7071" s="1115">
        <v>45213</v>
      </c>
      <c r="C7071" s="242">
        <f t="shared" si="221"/>
        <v>10</v>
      </c>
      <c r="D7071" s="242">
        <v>56.5</v>
      </c>
      <c r="E7071" s="845">
        <f t="shared" si="222"/>
        <v>13.611111111111111</v>
      </c>
    </row>
    <row r="7072" spans="2:5">
      <c r="B7072" s="1115">
        <v>45213</v>
      </c>
      <c r="C7072" s="242">
        <f t="shared" si="221"/>
        <v>10</v>
      </c>
      <c r="D7072" s="242">
        <v>56.7</v>
      </c>
      <c r="E7072" s="845">
        <f t="shared" si="222"/>
        <v>13.722222222222223</v>
      </c>
    </row>
    <row r="7073" spans="2:5">
      <c r="B7073" s="1115">
        <v>45213</v>
      </c>
      <c r="C7073" s="242">
        <f t="shared" si="221"/>
        <v>10</v>
      </c>
      <c r="D7073" s="242">
        <v>57.2</v>
      </c>
      <c r="E7073" s="845">
        <f t="shared" si="222"/>
        <v>14.000000000000002</v>
      </c>
    </row>
    <row r="7074" spans="2:5">
      <c r="B7074" s="1115">
        <v>45213</v>
      </c>
      <c r="C7074" s="242">
        <f t="shared" si="221"/>
        <v>10</v>
      </c>
      <c r="D7074" s="242">
        <v>57.9</v>
      </c>
      <c r="E7074" s="845">
        <f t="shared" si="222"/>
        <v>14.388888888888888</v>
      </c>
    </row>
    <row r="7075" spans="2:5">
      <c r="B7075" s="1115">
        <v>45213</v>
      </c>
      <c r="C7075" s="242">
        <f t="shared" si="221"/>
        <v>10</v>
      </c>
      <c r="D7075" s="242">
        <v>58.5</v>
      </c>
      <c r="E7075" s="845">
        <f t="shared" si="222"/>
        <v>14.722222222222221</v>
      </c>
    </row>
    <row r="7076" spans="2:5">
      <c r="B7076" s="1115">
        <v>45213</v>
      </c>
      <c r="C7076" s="242">
        <f t="shared" si="221"/>
        <v>10</v>
      </c>
      <c r="D7076" s="242">
        <v>58.6</v>
      </c>
      <c r="E7076" s="845">
        <f t="shared" si="222"/>
        <v>14.777777777777779</v>
      </c>
    </row>
    <row r="7077" spans="2:5">
      <c r="B7077" s="1115">
        <v>45213</v>
      </c>
      <c r="C7077" s="242">
        <f t="shared" si="221"/>
        <v>10</v>
      </c>
      <c r="D7077" s="242">
        <v>58.8</v>
      </c>
      <c r="E7077" s="845">
        <f t="shared" si="222"/>
        <v>14.888888888888888</v>
      </c>
    </row>
    <row r="7078" spans="2:5">
      <c r="B7078" s="1115">
        <v>45213</v>
      </c>
      <c r="C7078" s="242">
        <f t="shared" si="221"/>
        <v>10</v>
      </c>
      <c r="D7078" s="242">
        <v>58.5</v>
      </c>
      <c r="E7078" s="845">
        <f t="shared" si="222"/>
        <v>14.722222222222221</v>
      </c>
    </row>
    <row r="7079" spans="2:5">
      <c r="B7079" s="1115">
        <v>45213</v>
      </c>
      <c r="C7079" s="242">
        <f t="shared" si="221"/>
        <v>10</v>
      </c>
      <c r="D7079" s="242">
        <v>57.6</v>
      </c>
      <c r="E7079" s="845">
        <f t="shared" si="222"/>
        <v>14.222222222222223</v>
      </c>
    </row>
    <row r="7080" spans="2:5">
      <c r="B7080" s="1115">
        <v>45213</v>
      </c>
      <c r="C7080" s="242">
        <f t="shared" si="221"/>
        <v>10</v>
      </c>
      <c r="D7080" s="242">
        <v>56.8</v>
      </c>
      <c r="E7080" s="845">
        <f t="shared" si="222"/>
        <v>13.777777777777775</v>
      </c>
    </row>
    <row r="7081" spans="2:5">
      <c r="B7081" s="1115">
        <v>45213</v>
      </c>
      <c r="C7081" s="242">
        <f t="shared" si="221"/>
        <v>10</v>
      </c>
      <c r="D7081" s="242">
        <v>56.3</v>
      </c>
      <c r="E7081" s="845">
        <f t="shared" si="222"/>
        <v>13.499999999999998</v>
      </c>
    </row>
    <row r="7082" spans="2:5">
      <c r="B7082" s="1115">
        <v>45213</v>
      </c>
      <c r="C7082" s="242">
        <f t="shared" si="221"/>
        <v>10</v>
      </c>
      <c r="D7082" s="242">
        <v>56.1</v>
      </c>
      <c r="E7082" s="845">
        <f t="shared" si="222"/>
        <v>13.388888888888889</v>
      </c>
    </row>
    <row r="7083" spans="2:5">
      <c r="B7083" s="1115">
        <v>45213</v>
      </c>
      <c r="C7083" s="242">
        <f t="shared" si="221"/>
        <v>10</v>
      </c>
      <c r="D7083" s="242">
        <v>56.3</v>
      </c>
      <c r="E7083" s="845">
        <f t="shared" si="222"/>
        <v>13.499999999999998</v>
      </c>
    </row>
    <row r="7084" spans="2:5">
      <c r="B7084" s="1115">
        <v>45213</v>
      </c>
      <c r="C7084" s="242">
        <f t="shared" si="221"/>
        <v>10</v>
      </c>
      <c r="D7084" s="242">
        <v>56.5</v>
      </c>
      <c r="E7084" s="845">
        <f t="shared" si="222"/>
        <v>13.611111111111111</v>
      </c>
    </row>
    <row r="7085" spans="2:5">
      <c r="B7085" s="1115">
        <v>45213</v>
      </c>
      <c r="C7085" s="242">
        <f t="shared" si="221"/>
        <v>10</v>
      </c>
      <c r="D7085" s="242">
        <v>56.8</v>
      </c>
      <c r="E7085" s="845">
        <f t="shared" si="222"/>
        <v>13.777777777777775</v>
      </c>
    </row>
    <row r="7086" spans="2:5">
      <c r="B7086" s="1115">
        <v>45213</v>
      </c>
      <c r="C7086" s="242">
        <f t="shared" si="221"/>
        <v>10</v>
      </c>
      <c r="D7086" s="242">
        <v>57.6</v>
      </c>
      <c r="E7086" s="845">
        <f t="shared" si="222"/>
        <v>14.222222222222223</v>
      </c>
    </row>
    <row r="7087" spans="2:5">
      <c r="B7087" s="1115">
        <v>45213</v>
      </c>
      <c r="C7087" s="242">
        <f t="shared" si="221"/>
        <v>10</v>
      </c>
      <c r="D7087" s="242">
        <v>58.1</v>
      </c>
      <c r="E7087" s="845">
        <f t="shared" si="222"/>
        <v>14.5</v>
      </c>
    </row>
    <row r="7088" spans="2:5">
      <c r="B7088" s="1115">
        <v>45213</v>
      </c>
      <c r="C7088" s="242">
        <f t="shared" si="221"/>
        <v>10</v>
      </c>
      <c r="D7088" s="242">
        <v>58.6</v>
      </c>
      <c r="E7088" s="845">
        <f t="shared" si="222"/>
        <v>14.777777777777779</v>
      </c>
    </row>
    <row r="7089" spans="2:5">
      <c r="B7089" s="1115">
        <v>45214</v>
      </c>
      <c r="C7089" s="242">
        <f t="shared" si="221"/>
        <v>10</v>
      </c>
      <c r="D7089" s="242">
        <v>58.8</v>
      </c>
      <c r="E7089" s="845">
        <f t="shared" si="222"/>
        <v>14.888888888888888</v>
      </c>
    </row>
    <row r="7090" spans="2:5">
      <c r="B7090" s="1115">
        <v>45214</v>
      </c>
      <c r="C7090" s="242">
        <f t="shared" si="221"/>
        <v>10</v>
      </c>
      <c r="D7090" s="242">
        <v>58.6</v>
      </c>
      <c r="E7090" s="845">
        <f t="shared" si="222"/>
        <v>14.777777777777779</v>
      </c>
    </row>
    <row r="7091" spans="2:5">
      <c r="B7091" s="1115">
        <v>45214</v>
      </c>
      <c r="C7091" s="242">
        <f t="shared" si="221"/>
        <v>10</v>
      </c>
      <c r="D7091" s="242">
        <v>57.9</v>
      </c>
      <c r="E7091" s="845">
        <f t="shared" si="222"/>
        <v>14.388888888888888</v>
      </c>
    </row>
    <row r="7092" spans="2:5">
      <c r="B7092" s="1115">
        <v>45214</v>
      </c>
      <c r="C7092" s="242">
        <f t="shared" si="221"/>
        <v>10</v>
      </c>
      <c r="D7092" s="242">
        <v>57.2</v>
      </c>
      <c r="E7092" s="845">
        <f t="shared" si="222"/>
        <v>14.000000000000002</v>
      </c>
    </row>
    <row r="7093" spans="2:5">
      <c r="B7093" s="1115">
        <v>45214</v>
      </c>
      <c r="C7093" s="242">
        <f t="shared" si="221"/>
        <v>10</v>
      </c>
      <c r="D7093" s="242">
        <v>56.5</v>
      </c>
      <c r="E7093" s="845">
        <f t="shared" si="222"/>
        <v>13.611111111111111</v>
      </c>
    </row>
    <row r="7094" spans="2:5">
      <c r="B7094" s="1115">
        <v>45214</v>
      </c>
      <c r="C7094" s="242">
        <f t="shared" si="221"/>
        <v>10</v>
      </c>
      <c r="D7094" s="242">
        <v>56.1</v>
      </c>
      <c r="E7094" s="845">
        <f t="shared" si="222"/>
        <v>13.388888888888889</v>
      </c>
    </row>
    <row r="7095" spans="2:5">
      <c r="B7095" s="1115">
        <v>45214</v>
      </c>
      <c r="C7095" s="242">
        <f t="shared" si="221"/>
        <v>10</v>
      </c>
      <c r="D7095" s="242">
        <v>56.1</v>
      </c>
      <c r="E7095" s="845">
        <f t="shared" si="222"/>
        <v>13.388888888888889</v>
      </c>
    </row>
    <row r="7096" spans="2:5">
      <c r="B7096" s="1115">
        <v>45214</v>
      </c>
      <c r="C7096" s="242">
        <f t="shared" si="221"/>
        <v>10</v>
      </c>
      <c r="D7096" s="242">
        <v>56.1</v>
      </c>
      <c r="E7096" s="845">
        <f t="shared" si="222"/>
        <v>13.388888888888889</v>
      </c>
    </row>
    <row r="7097" spans="2:5">
      <c r="B7097" s="1115">
        <v>45214</v>
      </c>
      <c r="C7097" s="242">
        <f t="shared" si="221"/>
        <v>10</v>
      </c>
      <c r="D7097" s="242">
        <v>56.5</v>
      </c>
      <c r="E7097" s="845">
        <f t="shared" si="222"/>
        <v>13.611111111111111</v>
      </c>
    </row>
    <row r="7098" spans="2:5">
      <c r="B7098" s="1115">
        <v>45214</v>
      </c>
      <c r="C7098" s="242">
        <f t="shared" si="221"/>
        <v>10</v>
      </c>
      <c r="D7098" s="242">
        <v>56.8</v>
      </c>
      <c r="E7098" s="845">
        <f t="shared" si="222"/>
        <v>13.777777777777775</v>
      </c>
    </row>
    <row r="7099" spans="2:5">
      <c r="B7099" s="1115">
        <v>45214</v>
      </c>
      <c r="C7099" s="242">
        <f t="shared" si="221"/>
        <v>10</v>
      </c>
      <c r="D7099" s="242">
        <v>57.4</v>
      </c>
      <c r="E7099" s="845">
        <f t="shared" si="222"/>
        <v>14.111111111111111</v>
      </c>
    </row>
    <row r="7100" spans="2:5">
      <c r="B7100" s="1115">
        <v>45214</v>
      </c>
      <c r="C7100" s="242">
        <f t="shared" si="221"/>
        <v>10</v>
      </c>
      <c r="D7100" s="242">
        <v>57.9</v>
      </c>
      <c r="E7100" s="845">
        <f t="shared" si="222"/>
        <v>14.388888888888888</v>
      </c>
    </row>
    <row r="7101" spans="2:5">
      <c r="B7101" s="1115">
        <v>45214</v>
      </c>
      <c r="C7101" s="242">
        <f t="shared" si="221"/>
        <v>10</v>
      </c>
      <c r="D7101" s="242">
        <v>58.1</v>
      </c>
      <c r="E7101" s="845">
        <f t="shared" si="222"/>
        <v>14.5</v>
      </c>
    </row>
    <row r="7102" spans="2:5">
      <c r="B7102" s="1115">
        <v>45214</v>
      </c>
      <c r="C7102" s="242">
        <f t="shared" si="221"/>
        <v>10</v>
      </c>
      <c r="D7102" s="242">
        <v>58.1</v>
      </c>
      <c r="E7102" s="845">
        <f t="shared" si="222"/>
        <v>14.5</v>
      </c>
    </row>
    <row r="7103" spans="2:5">
      <c r="B7103" s="1115">
        <v>45214</v>
      </c>
      <c r="C7103" s="242">
        <f t="shared" si="221"/>
        <v>10</v>
      </c>
      <c r="D7103" s="242">
        <v>57.2</v>
      </c>
      <c r="E7103" s="845">
        <f t="shared" si="222"/>
        <v>14.000000000000002</v>
      </c>
    </row>
    <row r="7104" spans="2:5">
      <c r="B7104" s="1115">
        <v>45214</v>
      </c>
      <c r="C7104" s="242">
        <f t="shared" si="221"/>
        <v>10</v>
      </c>
      <c r="D7104" s="242">
        <v>56.7</v>
      </c>
      <c r="E7104" s="845">
        <f t="shared" si="222"/>
        <v>13.722222222222223</v>
      </c>
    </row>
    <row r="7105" spans="2:5">
      <c r="B7105" s="1115">
        <v>45214</v>
      </c>
      <c r="C7105" s="242">
        <f t="shared" si="221"/>
        <v>10</v>
      </c>
      <c r="D7105" s="242">
        <v>56.1</v>
      </c>
      <c r="E7105" s="845">
        <f t="shared" si="222"/>
        <v>13.388888888888889</v>
      </c>
    </row>
    <row r="7106" spans="2:5">
      <c r="B7106" s="1115">
        <v>45214</v>
      </c>
      <c r="C7106" s="242">
        <f t="shared" si="221"/>
        <v>10</v>
      </c>
      <c r="D7106" s="242">
        <v>55.9</v>
      </c>
      <c r="E7106" s="845">
        <f t="shared" si="222"/>
        <v>13.277777777777777</v>
      </c>
    </row>
    <row r="7107" spans="2:5">
      <c r="B7107" s="1115">
        <v>45214</v>
      </c>
      <c r="C7107" s="242">
        <f t="shared" si="221"/>
        <v>10</v>
      </c>
      <c r="D7107" s="242">
        <v>55.9</v>
      </c>
      <c r="E7107" s="845">
        <f t="shared" si="222"/>
        <v>13.277777777777777</v>
      </c>
    </row>
    <row r="7108" spans="2:5">
      <c r="B7108" s="1115">
        <v>45214</v>
      </c>
      <c r="C7108" s="242">
        <f t="shared" si="221"/>
        <v>10</v>
      </c>
      <c r="D7108" s="242">
        <v>56.1</v>
      </c>
      <c r="E7108" s="845">
        <f t="shared" si="222"/>
        <v>13.388888888888889</v>
      </c>
    </row>
    <row r="7109" spans="2:5">
      <c r="B7109" s="1115">
        <v>45214</v>
      </c>
      <c r="C7109" s="242">
        <f t="shared" si="221"/>
        <v>10</v>
      </c>
      <c r="D7109" s="242">
        <v>56.1</v>
      </c>
      <c r="E7109" s="845">
        <f t="shared" si="222"/>
        <v>13.388888888888889</v>
      </c>
    </row>
    <row r="7110" spans="2:5">
      <c r="B7110" s="1115">
        <v>45214</v>
      </c>
      <c r="C7110" s="242">
        <f t="shared" si="221"/>
        <v>10</v>
      </c>
      <c r="D7110" s="242">
        <v>56.7</v>
      </c>
      <c r="E7110" s="845">
        <f t="shared" si="222"/>
        <v>13.722222222222223</v>
      </c>
    </row>
    <row r="7111" spans="2:5">
      <c r="B7111" s="1115">
        <v>45214</v>
      </c>
      <c r="C7111" s="242">
        <f t="shared" si="221"/>
        <v>10</v>
      </c>
      <c r="D7111" s="242">
        <v>57.2</v>
      </c>
      <c r="E7111" s="845">
        <f t="shared" si="222"/>
        <v>14.000000000000002</v>
      </c>
    </row>
    <row r="7112" spans="2:5">
      <c r="B7112" s="1115">
        <v>45214</v>
      </c>
      <c r="C7112" s="242">
        <f t="shared" si="221"/>
        <v>10</v>
      </c>
      <c r="D7112" s="242">
        <v>57.6</v>
      </c>
      <c r="E7112" s="845">
        <f t="shared" si="222"/>
        <v>14.222222222222223</v>
      </c>
    </row>
    <row r="7113" spans="2:5">
      <c r="B7113" s="1115">
        <v>45215</v>
      </c>
      <c r="C7113" s="242">
        <f t="shared" si="221"/>
        <v>10</v>
      </c>
      <c r="D7113" s="242">
        <v>57.9</v>
      </c>
      <c r="E7113" s="845">
        <f t="shared" si="222"/>
        <v>14.388888888888888</v>
      </c>
    </row>
    <row r="7114" spans="2:5">
      <c r="B7114" s="1115">
        <v>45215</v>
      </c>
      <c r="C7114" s="242">
        <f t="shared" ref="C7114:C7177" si="223">MONTH(B7114)</f>
        <v>10</v>
      </c>
      <c r="D7114" s="242">
        <v>57.9</v>
      </c>
      <c r="E7114" s="845">
        <f t="shared" ref="E7114:E7177" si="224">CONVERT(D7114,"F","C")</f>
        <v>14.388888888888888</v>
      </c>
    </row>
    <row r="7115" spans="2:5">
      <c r="B7115" s="1115">
        <v>45215</v>
      </c>
      <c r="C7115" s="242">
        <f t="shared" si="223"/>
        <v>10</v>
      </c>
      <c r="D7115" s="242">
        <v>57.9</v>
      </c>
      <c r="E7115" s="845">
        <f t="shared" si="224"/>
        <v>14.388888888888888</v>
      </c>
    </row>
    <row r="7116" spans="2:5">
      <c r="B7116" s="1115">
        <v>45215</v>
      </c>
      <c r="C7116" s="242">
        <f t="shared" si="223"/>
        <v>10</v>
      </c>
      <c r="D7116" s="242">
        <v>57.2</v>
      </c>
      <c r="E7116" s="845">
        <f t="shared" si="224"/>
        <v>14.000000000000002</v>
      </c>
    </row>
    <row r="7117" spans="2:5">
      <c r="B7117" s="1115">
        <v>45215</v>
      </c>
      <c r="C7117" s="242">
        <f t="shared" si="223"/>
        <v>10</v>
      </c>
      <c r="D7117" s="242">
        <v>56.7</v>
      </c>
      <c r="E7117" s="845">
        <f t="shared" si="224"/>
        <v>13.722222222222223</v>
      </c>
    </row>
    <row r="7118" spans="2:5">
      <c r="B7118" s="1115">
        <v>45215</v>
      </c>
      <c r="C7118" s="242">
        <f t="shared" si="223"/>
        <v>10</v>
      </c>
      <c r="D7118" s="242">
        <v>56.1</v>
      </c>
      <c r="E7118" s="845">
        <f t="shared" si="224"/>
        <v>13.388888888888889</v>
      </c>
    </row>
    <row r="7119" spans="2:5">
      <c r="B7119" s="1115">
        <v>45215</v>
      </c>
      <c r="C7119" s="242">
        <f t="shared" si="223"/>
        <v>10</v>
      </c>
      <c r="D7119" s="242">
        <v>56.1</v>
      </c>
      <c r="E7119" s="845">
        <f t="shared" si="224"/>
        <v>13.388888888888889</v>
      </c>
    </row>
    <row r="7120" spans="2:5">
      <c r="B7120" s="1115">
        <v>45215</v>
      </c>
      <c r="C7120" s="242">
        <f t="shared" si="223"/>
        <v>10</v>
      </c>
      <c r="D7120" s="242">
        <v>55.9</v>
      </c>
      <c r="E7120" s="845">
        <f t="shared" si="224"/>
        <v>13.277777777777777</v>
      </c>
    </row>
    <row r="7121" spans="2:5">
      <c r="B7121" s="1115">
        <v>45215</v>
      </c>
      <c r="C7121" s="242">
        <f t="shared" si="223"/>
        <v>10</v>
      </c>
      <c r="D7121" s="242">
        <v>56.1</v>
      </c>
      <c r="E7121" s="845">
        <f t="shared" si="224"/>
        <v>13.388888888888889</v>
      </c>
    </row>
    <row r="7122" spans="2:5">
      <c r="B7122" s="1115">
        <v>45215</v>
      </c>
      <c r="C7122" s="242">
        <f t="shared" si="223"/>
        <v>10</v>
      </c>
      <c r="D7122" s="242">
        <v>56.3</v>
      </c>
      <c r="E7122" s="845">
        <f t="shared" si="224"/>
        <v>13.499999999999998</v>
      </c>
    </row>
    <row r="7123" spans="2:5">
      <c r="B7123" s="1115">
        <v>45215</v>
      </c>
      <c r="C7123" s="242">
        <f t="shared" si="223"/>
        <v>10</v>
      </c>
      <c r="D7123" s="242">
        <v>56.7</v>
      </c>
      <c r="E7123" s="845">
        <f t="shared" si="224"/>
        <v>13.722222222222223</v>
      </c>
    </row>
    <row r="7124" spans="2:5">
      <c r="B7124" s="1115">
        <v>45215</v>
      </c>
      <c r="C7124" s="242">
        <f t="shared" si="223"/>
        <v>10</v>
      </c>
      <c r="D7124" s="242">
        <v>57.2</v>
      </c>
      <c r="E7124" s="845">
        <f t="shared" si="224"/>
        <v>14.000000000000002</v>
      </c>
    </row>
    <row r="7125" spans="2:5">
      <c r="B7125" s="1115">
        <v>45215</v>
      </c>
      <c r="C7125" s="242">
        <f t="shared" si="223"/>
        <v>10</v>
      </c>
      <c r="D7125" s="242">
        <v>57.4</v>
      </c>
      <c r="E7125" s="845">
        <f t="shared" si="224"/>
        <v>14.111111111111111</v>
      </c>
    </row>
    <row r="7126" spans="2:5">
      <c r="B7126" s="1115">
        <v>45215</v>
      </c>
      <c r="C7126" s="242">
        <f t="shared" si="223"/>
        <v>10</v>
      </c>
      <c r="D7126" s="242">
        <v>57.4</v>
      </c>
      <c r="E7126" s="845">
        <f t="shared" si="224"/>
        <v>14.111111111111111</v>
      </c>
    </row>
    <row r="7127" spans="2:5">
      <c r="B7127" s="1115">
        <v>45215</v>
      </c>
      <c r="C7127" s="242">
        <f t="shared" si="223"/>
        <v>10</v>
      </c>
      <c r="D7127" s="242">
        <v>57.2</v>
      </c>
      <c r="E7127" s="845">
        <f t="shared" si="224"/>
        <v>14.000000000000002</v>
      </c>
    </row>
    <row r="7128" spans="2:5">
      <c r="B7128" s="1115">
        <v>45215</v>
      </c>
      <c r="C7128" s="242">
        <f t="shared" si="223"/>
        <v>10</v>
      </c>
      <c r="D7128" s="242">
        <v>56.7</v>
      </c>
      <c r="E7128" s="845">
        <f t="shared" si="224"/>
        <v>13.722222222222223</v>
      </c>
    </row>
    <row r="7129" spans="2:5">
      <c r="B7129" s="1115">
        <v>45215</v>
      </c>
      <c r="C7129" s="242">
        <f t="shared" si="223"/>
        <v>10</v>
      </c>
      <c r="D7129" s="242">
        <v>56.3</v>
      </c>
      <c r="E7129" s="845">
        <f t="shared" si="224"/>
        <v>13.499999999999998</v>
      </c>
    </row>
    <row r="7130" spans="2:5">
      <c r="B7130" s="1115">
        <v>45215</v>
      </c>
      <c r="C7130" s="242">
        <f t="shared" si="223"/>
        <v>10</v>
      </c>
      <c r="D7130" s="242">
        <v>55.9</v>
      </c>
      <c r="E7130" s="845">
        <f t="shared" si="224"/>
        <v>13.277777777777777</v>
      </c>
    </row>
    <row r="7131" spans="2:5">
      <c r="B7131" s="1115">
        <v>45215</v>
      </c>
      <c r="C7131" s="242">
        <f t="shared" si="223"/>
        <v>10</v>
      </c>
      <c r="D7131" s="242">
        <v>55.9</v>
      </c>
      <c r="E7131" s="845">
        <f t="shared" si="224"/>
        <v>13.277777777777777</v>
      </c>
    </row>
    <row r="7132" spans="2:5">
      <c r="B7132" s="1115">
        <v>45215</v>
      </c>
      <c r="C7132" s="242">
        <f t="shared" si="223"/>
        <v>10</v>
      </c>
      <c r="D7132" s="242">
        <v>56.1</v>
      </c>
      <c r="E7132" s="845">
        <f t="shared" si="224"/>
        <v>13.388888888888889</v>
      </c>
    </row>
    <row r="7133" spans="2:5">
      <c r="B7133" s="1115">
        <v>45215</v>
      </c>
      <c r="C7133" s="242">
        <f t="shared" si="223"/>
        <v>10</v>
      </c>
      <c r="D7133" s="242">
        <v>56.1</v>
      </c>
      <c r="E7133" s="845">
        <f t="shared" si="224"/>
        <v>13.388888888888889</v>
      </c>
    </row>
    <row r="7134" spans="2:5">
      <c r="B7134" s="1115">
        <v>45215</v>
      </c>
      <c r="C7134" s="242">
        <f t="shared" si="223"/>
        <v>10</v>
      </c>
      <c r="D7134" s="242">
        <v>56.3</v>
      </c>
      <c r="E7134" s="845">
        <f t="shared" si="224"/>
        <v>13.499999999999998</v>
      </c>
    </row>
    <row r="7135" spans="2:5">
      <c r="B7135" s="1115">
        <v>45215</v>
      </c>
      <c r="C7135" s="242">
        <f t="shared" si="223"/>
        <v>10</v>
      </c>
      <c r="D7135" s="242">
        <v>56.7</v>
      </c>
      <c r="E7135" s="845">
        <f t="shared" si="224"/>
        <v>13.722222222222223</v>
      </c>
    </row>
    <row r="7136" spans="2:5">
      <c r="B7136" s="1115">
        <v>45215</v>
      </c>
      <c r="C7136" s="242">
        <f t="shared" si="223"/>
        <v>10</v>
      </c>
      <c r="D7136" s="242">
        <v>57.2</v>
      </c>
      <c r="E7136" s="845">
        <f t="shared" si="224"/>
        <v>14.000000000000002</v>
      </c>
    </row>
    <row r="7137" spans="2:5">
      <c r="B7137" s="1115">
        <v>45216</v>
      </c>
      <c r="C7137" s="242">
        <f t="shared" si="223"/>
        <v>10</v>
      </c>
      <c r="D7137" s="242">
        <v>57.4</v>
      </c>
      <c r="E7137" s="845">
        <f t="shared" si="224"/>
        <v>14.111111111111111</v>
      </c>
    </row>
    <row r="7138" spans="2:5">
      <c r="B7138" s="1115">
        <v>45216</v>
      </c>
      <c r="C7138" s="242">
        <f t="shared" si="223"/>
        <v>10</v>
      </c>
      <c r="D7138" s="242">
        <v>57.6</v>
      </c>
      <c r="E7138" s="845">
        <f t="shared" si="224"/>
        <v>14.222222222222223</v>
      </c>
    </row>
    <row r="7139" spans="2:5">
      <c r="B7139" s="1115">
        <v>45216</v>
      </c>
      <c r="C7139" s="242">
        <f t="shared" si="223"/>
        <v>10</v>
      </c>
      <c r="D7139" s="242">
        <v>57.6</v>
      </c>
      <c r="E7139" s="845">
        <f t="shared" si="224"/>
        <v>14.222222222222223</v>
      </c>
    </row>
    <row r="7140" spans="2:5">
      <c r="B7140" s="1115">
        <v>45216</v>
      </c>
      <c r="C7140" s="242">
        <f t="shared" si="223"/>
        <v>10</v>
      </c>
      <c r="D7140" s="242">
        <v>57.2</v>
      </c>
      <c r="E7140" s="845">
        <f t="shared" si="224"/>
        <v>14.000000000000002</v>
      </c>
    </row>
    <row r="7141" spans="2:5">
      <c r="B7141" s="1115">
        <v>45216</v>
      </c>
      <c r="C7141" s="242">
        <f t="shared" si="223"/>
        <v>10</v>
      </c>
      <c r="D7141" s="242">
        <v>56.8</v>
      </c>
      <c r="E7141" s="845">
        <f t="shared" si="224"/>
        <v>13.777777777777775</v>
      </c>
    </row>
    <row r="7142" spans="2:5">
      <c r="B7142" s="1115">
        <v>45216</v>
      </c>
      <c r="C7142" s="242">
        <f t="shared" si="223"/>
        <v>10</v>
      </c>
      <c r="D7142" s="242">
        <v>56.5</v>
      </c>
      <c r="E7142" s="845">
        <f t="shared" si="224"/>
        <v>13.611111111111111</v>
      </c>
    </row>
    <row r="7143" spans="2:5">
      <c r="B7143" s="1115">
        <v>45216</v>
      </c>
      <c r="C7143" s="242">
        <f t="shared" si="223"/>
        <v>10</v>
      </c>
      <c r="D7143" s="242">
        <v>56.3</v>
      </c>
      <c r="E7143" s="845">
        <f t="shared" si="224"/>
        <v>13.499999999999998</v>
      </c>
    </row>
    <row r="7144" spans="2:5">
      <c r="B7144" s="1115">
        <v>45216</v>
      </c>
      <c r="C7144" s="242">
        <f t="shared" si="223"/>
        <v>10</v>
      </c>
      <c r="D7144" s="242">
        <v>56.3</v>
      </c>
      <c r="E7144" s="845">
        <f t="shared" si="224"/>
        <v>13.499999999999998</v>
      </c>
    </row>
    <row r="7145" spans="2:5">
      <c r="B7145" s="1115">
        <v>45216</v>
      </c>
      <c r="C7145" s="242">
        <f t="shared" si="223"/>
        <v>10</v>
      </c>
      <c r="D7145" s="242">
        <v>56.3</v>
      </c>
      <c r="E7145" s="845">
        <f t="shared" si="224"/>
        <v>13.499999999999998</v>
      </c>
    </row>
    <row r="7146" spans="2:5">
      <c r="B7146" s="1115">
        <v>45216</v>
      </c>
      <c r="C7146" s="242">
        <f t="shared" si="223"/>
        <v>10</v>
      </c>
      <c r="D7146" s="242">
        <v>56.3</v>
      </c>
      <c r="E7146" s="845">
        <f t="shared" si="224"/>
        <v>13.499999999999998</v>
      </c>
    </row>
    <row r="7147" spans="2:5">
      <c r="B7147" s="1115">
        <v>45216</v>
      </c>
      <c r="C7147" s="242">
        <f t="shared" si="223"/>
        <v>10</v>
      </c>
      <c r="D7147" s="242">
        <v>56.5</v>
      </c>
      <c r="E7147" s="845">
        <f t="shared" si="224"/>
        <v>13.611111111111111</v>
      </c>
    </row>
    <row r="7148" spans="2:5">
      <c r="B7148" s="1115">
        <v>45216</v>
      </c>
      <c r="C7148" s="242">
        <f t="shared" si="223"/>
        <v>10</v>
      </c>
      <c r="D7148" s="242">
        <v>56.8</v>
      </c>
      <c r="E7148" s="845">
        <f t="shared" si="224"/>
        <v>13.777777777777775</v>
      </c>
    </row>
    <row r="7149" spans="2:5">
      <c r="B7149" s="1115">
        <v>45216</v>
      </c>
      <c r="C7149" s="242">
        <f t="shared" si="223"/>
        <v>10</v>
      </c>
      <c r="D7149" s="242" t="s">
        <v>1848</v>
      </c>
      <c r="E7149" s="845">
        <f t="shared" si="224"/>
        <v>13.888888888888889</v>
      </c>
    </row>
    <row r="7150" spans="2:5">
      <c r="B7150" s="1115">
        <v>45216</v>
      </c>
      <c r="C7150" s="242">
        <f t="shared" si="223"/>
        <v>10</v>
      </c>
      <c r="D7150" s="242">
        <v>57.2</v>
      </c>
      <c r="E7150" s="845">
        <f t="shared" si="224"/>
        <v>14.000000000000002</v>
      </c>
    </row>
    <row r="7151" spans="2:5">
      <c r="B7151" s="1115">
        <v>45216</v>
      </c>
      <c r="C7151" s="242">
        <f t="shared" si="223"/>
        <v>10</v>
      </c>
      <c r="D7151" s="242">
        <v>57.4</v>
      </c>
      <c r="E7151" s="845">
        <f t="shared" si="224"/>
        <v>14.111111111111111</v>
      </c>
    </row>
    <row r="7152" spans="2:5">
      <c r="B7152" s="1115">
        <v>45216</v>
      </c>
      <c r="C7152" s="242">
        <f t="shared" si="223"/>
        <v>10</v>
      </c>
      <c r="D7152" s="242">
        <v>56.8</v>
      </c>
      <c r="E7152" s="845">
        <f t="shared" si="224"/>
        <v>13.777777777777775</v>
      </c>
    </row>
    <row r="7153" spans="2:5">
      <c r="B7153" s="1115">
        <v>45216</v>
      </c>
      <c r="C7153" s="242">
        <f t="shared" si="223"/>
        <v>10</v>
      </c>
      <c r="D7153" s="242">
        <v>56.7</v>
      </c>
      <c r="E7153" s="845">
        <f t="shared" si="224"/>
        <v>13.722222222222223</v>
      </c>
    </row>
    <row r="7154" spans="2:5">
      <c r="B7154" s="1115">
        <v>45216</v>
      </c>
      <c r="C7154" s="242">
        <f t="shared" si="223"/>
        <v>10</v>
      </c>
      <c r="D7154" s="242">
        <v>56.7</v>
      </c>
      <c r="E7154" s="845">
        <f t="shared" si="224"/>
        <v>13.722222222222223</v>
      </c>
    </row>
    <row r="7155" spans="2:5">
      <c r="B7155" s="1115">
        <v>45216</v>
      </c>
      <c r="C7155" s="242">
        <f t="shared" si="223"/>
        <v>10</v>
      </c>
      <c r="D7155" s="242">
        <v>56.8</v>
      </c>
      <c r="E7155" s="845">
        <f t="shared" si="224"/>
        <v>13.777777777777775</v>
      </c>
    </row>
    <row r="7156" spans="2:5">
      <c r="B7156" s="1115">
        <v>45216</v>
      </c>
      <c r="C7156" s="242">
        <f t="shared" si="223"/>
        <v>10</v>
      </c>
      <c r="D7156" s="242">
        <v>56.8</v>
      </c>
      <c r="E7156" s="845">
        <f t="shared" si="224"/>
        <v>13.777777777777775</v>
      </c>
    </row>
    <row r="7157" spans="2:5">
      <c r="B7157" s="1115">
        <v>45216</v>
      </c>
      <c r="C7157" s="242">
        <f t="shared" si="223"/>
        <v>10</v>
      </c>
      <c r="D7157" s="242">
        <v>56.8</v>
      </c>
      <c r="E7157" s="845">
        <f t="shared" si="224"/>
        <v>13.777777777777775</v>
      </c>
    </row>
    <row r="7158" spans="2:5">
      <c r="B7158" s="1115">
        <v>45216</v>
      </c>
      <c r="C7158" s="242">
        <f t="shared" si="223"/>
        <v>10</v>
      </c>
      <c r="D7158" s="242">
        <v>56.8</v>
      </c>
      <c r="E7158" s="845">
        <f t="shared" si="224"/>
        <v>13.777777777777775</v>
      </c>
    </row>
    <row r="7159" spans="2:5">
      <c r="B7159" s="1115">
        <v>45216</v>
      </c>
      <c r="C7159" s="242">
        <f t="shared" si="223"/>
        <v>10</v>
      </c>
      <c r="D7159" s="242">
        <v>56.8</v>
      </c>
      <c r="E7159" s="845">
        <f t="shared" si="224"/>
        <v>13.777777777777775</v>
      </c>
    </row>
    <row r="7160" spans="2:5">
      <c r="B7160" s="1115">
        <v>45216</v>
      </c>
      <c r="C7160" s="242">
        <f t="shared" si="223"/>
        <v>10</v>
      </c>
      <c r="D7160" s="242" t="s">
        <v>1848</v>
      </c>
      <c r="E7160" s="845">
        <f t="shared" si="224"/>
        <v>13.888888888888889</v>
      </c>
    </row>
    <row r="7161" spans="2:5">
      <c r="B7161" s="1115">
        <v>45217</v>
      </c>
      <c r="C7161" s="242">
        <f t="shared" si="223"/>
        <v>10</v>
      </c>
      <c r="D7161" s="242">
        <v>57.2</v>
      </c>
      <c r="E7161" s="845">
        <f t="shared" si="224"/>
        <v>14.000000000000002</v>
      </c>
    </row>
    <row r="7162" spans="2:5">
      <c r="B7162" s="1115">
        <v>45217</v>
      </c>
      <c r="C7162" s="242">
        <f t="shared" si="223"/>
        <v>10</v>
      </c>
      <c r="D7162" s="242">
        <v>57.4</v>
      </c>
      <c r="E7162" s="845">
        <f t="shared" si="224"/>
        <v>14.111111111111111</v>
      </c>
    </row>
    <row r="7163" spans="2:5">
      <c r="B7163" s="1115">
        <v>45217</v>
      </c>
      <c r="C7163" s="242">
        <f t="shared" si="223"/>
        <v>10</v>
      </c>
      <c r="D7163" s="242">
        <v>57.4</v>
      </c>
      <c r="E7163" s="845">
        <f t="shared" si="224"/>
        <v>14.111111111111111</v>
      </c>
    </row>
    <row r="7164" spans="2:5">
      <c r="B7164" s="1115">
        <v>45217</v>
      </c>
      <c r="C7164" s="242">
        <f t="shared" si="223"/>
        <v>10</v>
      </c>
      <c r="D7164" s="242">
        <v>57.4</v>
      </c>
      <c r="E7164" s="845">
        <f t="shared" si="224"/>
        <v>14.111111111111111</v>
      </c>
    </row>
    <row r="7165" spans="2:5">
      <c r="B7165" s="1115">
        <v>45217</v>
      </c>
      <c r="C7165" s="242">
        <f t="shared" si="223"/>
        <v>10</v>
      </c>
      <c r="D7165" s="242">
        <v>57.2</v>
      </c>
      <c r="E7165" s="845">
        <f t="shared" si="224"/>
        <v>14.000000000000002</v>
      </c>
    </row>
    <row r="7166" spans="2:5">
      <c r="B7166" s="1115">
        <v>45217</v>
      </c>
      <c r="C7166" s="242">
        <f t="shared" si="223"/>
        <v>10</v>
      </c>
      <c r="D7166" s="242" t="s">
        <v>1848</v>
      </c>
      <c r="E7166" s="845">
        <f t="shared" si="224"/>
        <v>13.888888888888889</v>
      </c>
    </row>
    <row r="7167" spans="2:5">
      <c r="B7167" s="1115">
        <v>45217</v>
      </c>
      <c r="C7167" s="242">
        <f t="shared" si="223"/>
        <v>10</v>
      </c>
      <c r="D7167" s="242" t="s">
        <v>1848</v>
      </c>
      <c r="E7167" s="845">
        <f t="shared" si="224"/>
        <v>13.888888888888889</v>
      </c>
    </row>
    <row r="7168" spans="2:5">
      <c r="B7168" s="1115">
        <v>45217</v>
      </c>
      <c r="C7168" s="242">
        <f t="shared" si="223"/>
        <v>10</v>
      </c>
      <c r="D7168" s="242" t="s">
        <v>1848</v>
      </c>
      <c r="E7168" s="845">
        <f t="shared" si="224"/>
        <v>13.888888888888889</v>
      </c>
    </row>
    <row r="7169" spans="2:5">
      <c r="B7169" s="1115">
        <v>45217</v>
      </c>
      <c r="C7169" s="242">
        <f t="shared" si="223"/>
        <v>10</v>
      </c>
      <c r="D7169" s="242" t="s">
        <v>1848</v>
      </c>
      <c r="E7169" s="845">
        <f t="shared" si="224"/>
        <v>13.888888888888889</v>
      </c>
    </row>
    <row r="7170" spans="2:5">
      <c r="B7170" s="1115">
        <v>45217</v>
      </c>
      <c r="C7170" s="242">
        <f t="shared" si="223"/>
        <v>10</v>
      </c>
      <c r="D7170" s="242" t="s">
        <v>1848</v>
      </c>
      <c r="E7170" s="845">
        <f t="shared" si="224"/>
        <v>13.888888888888889</v>
      </c>
    </row>
    <row r="7171" spans="2:5">
      <c r="B7171" s="1115">
        <v>45217</v>
      </c>
      <c r="C7171" s="242">
        <f t="shared" si="223"/>
        <v>10</v>
      </c>
      <c r="D7171" s="242" t="s">
        <v>1848</v>
      </c>
      <c r="E7171" s="845">
        <f t="shared" si="224"/>
        <v>13.888888888888889</v>
      </c>
    </row>
    <row r="7172" spans="2:5">
      <c r="B7172" s="1115">
        <v>45217</v>
      </c>
      <c r="C7172" s="242">
        <f t="shared" si="223"/>
        <v>10</v>
      </c>
      <c r="D7172" s="242" t="s">
        <v>1848</v>
      </c>
      <c r="E7172" s="845">
        <f t="shared" si="224"/>
        <v>13.888888888888889</v>
      </c>
    </row>
    <row r="7173" spans="2:5">
      <c r="B7173" s="1115">
        <v>45217</v>
      </c>
      <c r="C7173" s="242">
        <f t="shared" si="223"/>
        <v>10</v>
      </c>
      <c r="D7173" s="242">
        <v>57.2</v>
      </c>
      <c r="E7173" s="845">
        <f t="shared" si="224"/>
        <v>14.000000000000002</v>
      </c>
    </row>
    <row r="7174" spans="2:5">
      <c r="B7174" s="1115">
        <v>45217</v>
      </c>
      <c r="C7174" s="242">
        <f t="shared" si="223"/>
        <v>10</v>
      </c>
      <c r="D7174" s="242">
        <v>57.2</v>
      </c>
      <c r="E7174" s="845">
        <f t="shared" si="224"/>
        <v>14.000000000000002</v>
      </c>
    </row>
    <row r="7175" spans="2:5">
      <c r="B7175" s="1115">
        <v>45217</v>
      </c>
      <c r="C7175" s="242">
        <f t="shared" si="223"/>
        <v>10</v>
      </c>
      <c r="D7175" s="242">
        <v>57.2</v>
      </c>
      <c r="E7175" s="845">
        <f t="shared" si="224"/>
        <v>14.000000000000002</v>
      </c>
    </row>
    <row r="7176" spans="2:5">
      <c r="B7176" s="1115">
        <v>45217</v>
      </c>
      <c r="C7176" s="242">
        <f t="shared" si="223"/>
        <v>10</v>
      </c>
      <c r="D7176" s="242">
        <v>57.2</v>
      </c>
      <c r="E7176" s="845">
        <f t="shared" si="224"/>
        <v>14.000000000000002</v>
      </c>
    </row>
    <row r="7177" spans="2:5">
      <c r="B7177" s="1115">
        <v>45217</v>
      </c>
      <c r="C7177" s="242">
        <f t="shared" si="223"/>
        <v>10</v>
      </c>
      <c r="D7177" s="242">
        <v>57.2</v>
      </c>
      <c r="E7177" s="845">
        <f t="shared" si="224"/>
        <v>14.000000000000002</v>
      </c>
    </row>
    <row r="7178" spans="2:5">
      <c r="B7178" s="1115">
        <v>45217</v>
      </c>
      <c r="C7178" s="242">
        <f t="shared" ref="C7178:C7241" si="225">MONTH(B7178)</f>
        <v>10</v>
      </c>
      <c r="D7178" s="242" t="s">
        <v>1848</v>
      </c>
      <c r="E7178" s="845">
        <f t="shared" ref="E7178:E7241" si="226">CONVERT(D7178,"F","C")</f>
        <v>13.888888888888889</v>
      </c>
    </row>
    <row r="7179" spans="2:5">
      <c r="B7179" s="1115">
        <v>45217</v>
      </c>
      <c r="C7179" s="242">
        <f t="shared" si="225"/>
        <v>10</v>
      </c>
      <c r="D7179" s="242" t="s">
        <v>1848</v>
      </c>
      <c r="E7179" s="845">
        <f t="shared" si="226"/>
        <v>13.888888888888889</v>
      </c>
    </row>
    <row r="7180" spans="2:5">
      <c r="B7180" s="1115">
        <v>45217</v>
      </c>
      <c r="C7180" s="242">
        <f t="shared" si="225"/>
        <v>10</v>
      </c>
      <c r="D7180" s="242" t="s">
        <v>1848</v>
      </c>
      <c r="E7180" s="845">
        <f t="shared" si="226"/>
        <v>13.888888888888889</v>
      </c>
    </row>
    <row r="7181" spans="2:5">
      <c r="B7181" s="1115">
        <v>45217</v>
      </c>
      <c r="C7181" s="242">
        <f t="shared" si="225"/>
        <v>10</v>
      </c>
      <c r="D7181" s="242" t="s">
        <v>1848</v>
      </c>
      <c r="E7181" s="845">
        <f t="shared" si="226"/>
        <v>13.888888888888889</v>
      </c>
    </row>
    <row r="7182" spans="2:5">
      <c r="B7182" s="1115">
        <v>45217</v>
      </c>
      <c r="C7182" s="242">
        <f t="shared" si="225"/>
        <v>10</v>
      </c>
      <c r="D7182" s="242">
        <v>57.2</v>
      </c>
      <c r="E7182" s="845">
        <f t="shared" si="226"/>
        <v>14.000000000000002</v>
      </c>
    </row>
    <row r="7183" spans="2:5">
      <c r="B7183" s="1115">
        <v>45217</v>
      </c>
      <c r="C7183" s="242">
        <f t="shared" si="225"/>
        <v>10</v>
      </c>
      <c r="D7183" s="242">
        <v>57.2</v>
      </c>
      <c r="E7183" s="845">
        <f t="shared" si="226"/>
        <v>14.000000000000002</v>
      </c>
    </row>
    <row r="7184" spans="2:5">
      <c r="B7184" s="1115">
        <v>45217</v>
      </c>
      <c r="C7184" s="242">
        <f t="shared" si="225"/>
        <v>10</v>
      </c>
      <c r="D7184" s="242">
        <v>57.2</v>
      </c>
      <c r="E7184" s="845">
        <f t="shared" si="226"/>
        <v>14.000000000000002</v>
      </c>
    </row>
    <row r="7185" spans="2:5">
      <c r="B7185" s="1115">
        <v>45218</v>
      </c>
      <c r="C7185" s="242">
        <f t="shared" si="225"/>
        <v>10</v>
      </c>
      <c r="D7185" s="242">
        <v>57.4</v>
      </c>
      <c r="E7185" s="845">
        <f t="shared" si="226"/>
        <v>14.111111111111111</v>
      </c>
    </row>
    <row r="7186" spans="2:5">
      <c r="B7186" s="1115">
        <v>45218</v>
      </c>
      <c r="C7186" s="242">
        <f t="shared" si="225"/>
        <v>10</v>
      </c>
      <c r="D7186" s="242">
        <v>57.4</v>
      </c>
      <c r="E7186" s="845">
        <f t="shared" si="226"/>
        <v>14.111111111111111</v>
      </c>
    </row>
    <row r="7187" spans="2:5">
      <c r="B7187" s="1115">
        <v>45218</v>
      </c>
      <c r="C7187" s="242">
        <f t="shared" si="225"/>
        <v>10</v>
      </c>
      <c r="D7187" s="242">
        <v>57.4</v>
      </c>
      <c r="E7187" s="845">
        <f t="shared" si="226"/>
        <v>14.111111111111111</v>
      </c>
    </row>
    <row r="7188" spans="2:5">
      <c r="B7188" s="1115">
        <v>45218</v>
      </c>
      <c r="C7188" s="242">
        <f t="shared" si="225"/>
        <v>10</v>
      </c>
      <c r="D7188" s="242">
        <v>57.6</v>
      </c>
      <c r="E7188" s="845">
        <f t="shared" si="226"/>
        <v>14.222222222222223</v>
      </c>
    </row>
    <row r="7189" spans="2:5">
      <c r="B7189" s="1115">
        <v>45218</v>
      </c>
      <c r="C7189" s="242">
        <f t="shared" si="225"/>
        <v>10</v>
      </c>
      <c r="D7189" s="242">
        <v>57.4</v>
      </c>
      <c r="E7189" s="845">
        <f t="shared" si="226"/>
        <v>14.111111111111111</v>
      </c>
    </row>
    <row r="7190" spans="2:5">
      <c r="B7190" s="1115">
        <v>45218</v>
      </c>
      <c r="C7190" s="242">
        <f t="shared" si="225"/>
        <v>10</v>
      </c>
      <c r="D7190" s="242">
        <v>57.4</v>
      </c>
      <c r="E7190" s="845">
        <f t="shared" si="226"/>
        <v>14.111111111111111</v>
      </c>
    </row>
    <row r="7191" spans="2:5">
      <c r="B7191" s="1115">
        <v>45218</v>
      </c>
      <c r="C7191" s="242">
        <f t="shared" si="225"/>
        <v>10</v>
      </c>
      <c r="D7191" s="242">
        <v>57.2</v>
      </c>
      <c r="E7191" s="845">
        <f t="shared" si="226"/>
        <v>14.000000000000002</v>
      </c>
    </row>
    <row r="7192" spans="2:5">
      <c r="B7192" s="1115">
        <v>45218</v>
      </c>
      <c r="C7192" s="242">
        <f t="shared" si="225"/>
        <v>10</v>
      </c>
      <c r="D7192" s="242">
        <v>57.2</v>
      </c>
      <c r="E7192" s="845">
        <f t="shared" si="226"/>
        <v>14.000000000000002</v>
      </c>
    </row>
    <row r="7193" spans="2:5">
      <c r="B7193" s="1115">
        <v>45218</v>
      </c>
      <c r="C7193" s="242">
        <f t="shared" si="225"/>
        <v>10</v>
      </c>
      <c r="D7193" s="242">
        <v>57.2</v>
      </c>
      <c r="E7193" s="845">
        <f t="shared" si="226"/>
        <v>14.000000000000002</v>
      </c>
    </row>
    <row r="7194" spans="2:5">
      <c r="B7194" s="1115">
        <v>45218</v>
      </c>
      <c r="C7194" s="242">
        <f t="shared" si="225"/>
        <v>10</v>
      </c>
      <c r="D7194" s="242">
        <v>57.2</v>
      </c>
      <c r="E7194" s="845">
        <f t="shared" si="226"/>
        <v>14.000000000000002</v>
      </c>
    </row>
    <row r="7195" spans="2:5">
      <c r="B7195" s="1115">
        <v>45218</v>
      </c>
      <c r="C7195" s="242">
        <f t="shared" si="225"/>
        <v>10</v>
      </c>
      <c r="D7195" s="242">
        <v>57.2</v>
      </c>
      <c r="E7195" s="845">
        <f t="shared" si="226"/>
        <v>14.000000000000002</v>
      </c>
    </row>
    <row r="7196" spans="2:5">
      <c r="B7196" s="1115">
        <v>45218</v>
      </c>
      <c r="C7196" s="242">
        <f t="shared" si="225"/>
        <v>10</v>
      </c>
      <c r="D7196" s="242">
        <v>57.2</v>
      </c>
      <c r="E7196" s="845">
        <f t="shared" si="226"/>
        <v>14.000000000000002</v>
      </c>
    </row>
    <row r="7197" spans="2:5">
      <c r="B7197" s="1115">
        <v>45218</v>
      </c>
      <c r="C7197" s="242">
        <f t="shared" si="225"/>
        <v>10</v>
      </c>
      <c r="D7197" s="242">
        <v>57.2</v>
      </c>
      <c r="E7197" s="845">
        <f t="shared" si="226"/>
        <v>14.000000000000002</v>
      </c>
    </row>
    <row r="7198" spans="2:5">
      <c r="B7198" s="1115">
        <v>45218</v>
      </c>
      <c r="C7198" s="242">
        <f t="shared" si="225"/>
        <v>10</v>
      </c>
      <c r="D7198" s="242">
        <v>57.4</v>
      </c>
      <c r="E7198" s="845">
        <f t="shared" si="226"/>
        <v>14.111111111111111</v>
      </c>
    </row>
    <row r="7199" spans="2:5">
      <c r="B7199" s="1115">
        <v>45218</v>
      </c>
      <c r="C7199" s="242">
        <f t="shared" si="225"/>
        <v>10</v>
      </c>
      <c r="D7199" s="242">
        <v>57.4</v>
      </c>
      <c r="E7199" s="845">
        <f t="shared" si="226"/>
        <v>14.111111111111111</v>
      </c>
    </row>
    <row r="7200" spans="2:5">
      <c r="B7200" s="1115">
        <v>45218</v>
      </c>
      <c r="C7200" s="242">
        <f t="shared" si="225"/>
        <v>10</v>
      </c>
      <c r="D7200" s="242">
        <v>57.6</v>
      </c>
      <c r="E7200" s="845">
        <f t="shared" si="226"/>
        <v>14.222222222222223</v>
      </c>
    </row>
    <row r="7201" spans="2:5">
      <c r="B7201" s="1115">
        <v>45218</v>
      </c>
      <c r="C7201" s="242">
        <f t="shared" si="225"/>
        <v>10</v>
      </c>
      <c r="D7201" s="242">
        <v>57.4</v>
      </c>
      <c r="E7201" s="845">
        <f t="shared" si="226"/>
        <v>14.111111111111111</v>
      </c>
    </row>
    <row r="7202" spans="2:5">
      <c r="B7202" s="1115">
        <v>45218</v>
      </c>
      <c r="C7202" s="242">
        <f t="shared" si="225"/>
        <v>10</v>
      </c>
      <c r="D7202" s="242">
        <v>57.4</v>
      </c>
      <c r="E7202" s="845">
        <f t="shared" si="226"/>
        <v>14.111111111111111</v>
      </c>
    </row>
    <row r="7203" spans="2:5">
      <c r="B7203" s="1115">
        <v>45218</v>
      </c>
      <c r="C7203" s="242">
        <f t="shared" si="225"/>
        <v>10</v>
      </c>
      <c r="D7203" s="242">
        <v>57.4</v>
      </c>
      <c r="E7203" s="845">
        <f t="shared" si="226"/>
        <v>14.111111111111111</v>
      </c>
    </row>
    <row r="7204" spans="2:5">
      <c r="B7204" s="1115">
        <v>45218</v>
      </c>
      <c r="C7204" s="242">
        <f t="shared" si="225"/>
        <v>10</v>
      </c>
      <c r="D7204" s="242">
        <v>57.4</v>
      </c>
      <c r="E7204" s="845">
        <f t="shared" si="226"/>
        <v>14.111111111111111</v>
      </c>
    </row>
    <row r="7205" spans="2:5">
      <c r="B7205" s="1115">
        <v>45218</v>
      </c>
      <c r="C7205" s="242">
        <f t="shared" si="225"/>
        <v>10</v>
      </c>
      <c r="D7205" s="242">
        <v>57.4</v>
      </c>
      <c r="E7205" s="845">
        <f t="shared" si="226"/>
        <v>14.111111111111111</v>
      </c>
    </row>
    <row r="7206" spans="2:5">
      <c r="B7206" s="1115">
        <v>45218</v>
      </c>
      <c r="C7206" s="242">
        <f t="shared" si="225"/>
        <v>10</v>
      </c>
      <c r="D7206" s="242">
        <v>57.4</v>
      </c>
      <c r="E7206" s="845">
        <f t="shared" si="226"/>
        <v>14.111111111111111</v>
      </c>
    </row>
    <row r="7207" spans="2:5">
      <c r="B7207" s="1115">
        <v>45218</v>
      </c>
      <c r="C7207" s="242">
        <f t="shared" si="225"/>
        <v>10</v>
      </c>
      <c r="D7207" s="242">
        <v>57.4</v>
      </c>
      <c r="E7207" s="845">
        <f t="shared" si="226"/>
        <v>14.111111111111111</v>
      </c>
    </row>
    <row r="7208" spans="2:5">
      <c r="B7208" s="1115">
        <v>45218</v>
      </c>
      <c r="C7208" s="242">
        <f t="shared" si="225"/>
        <v>10</v>
      </c>
      <c r="D7208" s="242">
        <v>57.4</v>
      </c>
      <c r="E7208" s="845">
        <f t="shared" si="226"/>
        <v>14.111111111111111</v>
      </c>
    </row>
    <row r="7209" spans="2:5">
      <c r="B7209" s="1115">
        <v>45219</v>
      </c>
      <c r="C7209" s="242">
        <f t="shared" si="225"/>
        <v>10</v>
      </c>
      <c r="D7209" s="242">
        <v>57.6</v>
      </c>
      <c r="E7209" s="845">
        <f t="shared" si="226"/>
        <v>14.222222222222223</v>
      </c>
    </row>
    <row r="7210" spans="2:5">
      <c r="B7210" s="1115">
        <v>45219</v>
      </c>
      <c r="C7210" s="242">
        <f t="shared" si="225"/>
        <v>10</v>
      </c>
      <c r="D7210" s="242">
        <v>57.6</v>
      </c>
      <c r="E7210" s="845">
        <f t="shared" si="226"/>
        <v>14.222222222222223</v>
      </c>
    </row>
    <row r="7211" spans="2:5">
      <c r="B7211" s="1115">
        <v>45219</v>
      </c>
      <c r="C7211" s="242">
        <f t="shared" si="225"/>
        <v>10</v>
      </c>
      <c r="D7211" s="242">
        <v>57.7</v>
      </c>
      <c r="E7211" s="845">
        <f t="shared" si="226"/>
        <v>14.277777777777779</v>
      </c>
    </row>
    <row r="7212" spans="2:5">
      <c r="B7212" s="1115">
        <v>45219</v>
      </c>
      <c r="C7212" s="242">
        <f t="shared" si="225"/>
        <v>10</v>
      </c>
      <c r="D7212" s="242">
        <v>57.7</v>
      </c>
      <c r="E7212" s="845">
        <f t="shared" si="226"/>
        <v>14.277777777777779</v>
      </c>
    </row>
    <row r="7213" spans="2:5">
      <c r="B7213" s="1115">
        <v>45219</v>
      </c>
      <c r="C7213" s="242">
        <f t="shared" si="225"/>
        <v>10</v>
      </c>
      <c r="D7213" s="242">
        <v>57.7</v>
      </c>
      <c r="E7213" s="845">
        <f t="shared" si="226"/>
        <v>14.277777777777779</v>
      </c>
    </row>
    <row r="7214" spans="2:5">
      <c r="B7214" s="1115">
        <v>45219</v>
      </c>
      <c r="C7214" s="242">
        <f t="shared" si="225"/>
        <v>10</v>
      </c>
      <c r="D7214" s="242">
        <v>57.7</v>
      </c>
      <c r="E7214" s="845">
        <f t="shared" si="226"/>
        <v>14.277777777777779</v>
      </c>
    </row>
    <row r="7215" spans="2:5">
      <c r="B7215" s="1115">
        <v>45219</v>
      </c>
      <c r="C7215" s="242">
        <f t="shared" si="225"/>
        <v>10</v>
      </c>
      <c r="D7215" s="242">
        <v>57.6</v>
      </c>
      <c r="E7215" s="845">
        <f t="shared" si="226"/>
        <v>14.222222222222223</v>
      </c>
    </row>
    <row r="7216" spans="2:5">
      <c r="B7216" s="1115">
        <v>45219</v>
      </c>
      <c r="C7216" s="242">
        <f t="shared" si="225"/>
        <v>10</v>
      </c>
      <c r="D7216" s="242">
        <v>57.4</v>
      </c>
      <c r="E7216" s="845">
        <f t="shared" si="226"/>
        <v>14.111111111111111</v>
      </c>
    </row>
    <row r="7217" spans="2:5">
      <c r="B7217" s="1115">
        <v>45219</v>
      </c>
      <c r="C7217" s="242">
        <f t="shared" si="225"/>
        <v>10</v>
      </c>
      <c r="D7217" s="242">
        <v>57.2</v>
      </c>
      <c r="E7217" s="845">
        <f t="shared" si="226"/>
        <v>14.000000000000002</v>
      </c>
    </row>
    <row r="7218" spans="2:5">
      <c r="B7218" s="1115">
        <v>45219</v>
      </c>
      <c r="C7218" s="242">
        <f t="shared" si="225"/>
        <v>10</v>
      </c>
      <c r="D7218" s="242">
        <v>57.2</v>
      </c>
      <c r="E7218" s="845">
        <f t="shared" si="226"/>
        <v>14.000000000000002</v>
      </c>
    </row>
    <row r="7219" spans="2:5">
      <c r="B7219" s="1115">
        <v>45219</v>
      </c>
      <c r="C7219" s="242">
        <f t="shared" si="225"/>
        <v>10</v>
      </c>
      <c r="D7219" s="242" t="s">
        <v>1848</v>
      </c>
      <c r="E7219" s="845">
        <f t="shared" si="226"/>
        <v>13.888888888888889</v>
      </c>
    </row>
    <row r="7220" spans="2:5">
      <c r="B7220" s="1115">
        <v>45219</v>
      </c>
      <c r="C7220" s="242">
        <f t="shared" si="225"/>
        <v>10</v>
      </c>
      <c r="D7220" s="242">
        <v>57.2</v>
      </c>
      <c r="E7220" s="845">
        <f t="shared" si="226"/>
        <v>14.000000000000002</v>
      </c>
    </row>
    <row r="7221" spans="2:5">
      <c r="B7221" s="1115">
        <v>45219</v>
      </c>
      <c r="C7221" s="242">
        <f t="shared" si="225"/>
        <v>10</v>
      </c>
      <c r="D7221" s="242">
        <v>57.2</v>
      </c>
      <c r="E7221" s="845">
        <f t="shared" si="226"/>
        <v>14.000000000000002</v>
      </c>
    </row>
    <row r="7222" spans="2:5">
      <c r="B7222" s="1115">
        <v>45219</v>
      </c>
      <c r="C7222" s="242">
        <f t="shared" si="225"/>
        <v>10</v>
      </c>
      <c r="D7222" s="242">
        <v>57.4</v>
      </c>
      <c r="E7222" s="845">
        <f t="shared" si="226"/>
        <v>14.111111111111111</v>
      </c>
    </row>
    <row r="7223" spans="2:5">
      <c r="B7223" s="1115">
        <v>45219</v>
      </c>
      <c r="C7223" s="242">
        <f t="shared" si="225"/>
        <v>10</v>
      </c>
      <c r="D7223" s="242">
        <v>57.4</v>
      </c>
      <c r="E7223" s="845">
        <f t="shared" si="226"/>
        <v>14.111111111111111</v>
      </c>
    </row>
    <row r="7224" spans="2:5">
      <c r="B7224" s="1115">
        <v>45219</v>
      </c>
      <c r="C7224" s="242">
        <f t="shared" si="225"/>
        <v>10</v>
      </c>
      <c r="D7224" s="242">
        <v>57.6</v>
      </c>
      <c r="E7224" s="845">
        <f t="shared" si="226"/>
        <v>14.222222222222223</v>
      </c>
    </row>
    <row r="7225" spans="2:5">
      <c r="B7225" s="1115">
        <v>45219</v>
      </c>
      <c r="C7225" s="242">
        <f t="shared" si="225"/>
        <v>10</v>
      </c>
      <c r="D7225" s="242">
        <v>57.6</v>
      </c>
      <c r="E7225" s="845">
        <f t="shared" si="226"/>
        <v>14.222222222222223</v>
      </c>
    </row>
    <row r="7226" spans="2:5">
      <c r="B7226" s="1115">
        <v>45219</v>
      </c>
      <c r="C7226" s="242">
        <f t="shared" si="225"/>
        <v>10</v>
      </c>
      <c r="D7226" s="242">
        <v>57.4</v>
      </c>
      <c r="E7226" s="845">
        <f t="shared" si="226"/>
        <v>14.111111111111111</v>
      </c>
    </row>
    <row r="7227" spans="2:5">
      <c r="B7227" s="1115">
        <v>45219</v>
      </c>
      <c r="C7227" s="242">
        <f t="shared" si="225"/>
        <v>10</v>
      </c>
      <c r="D7227" s="242">
        <v>57.4</v>
      </c>
      <c r="E7227" s="845">
        <f t="shared" si="226"/>
        <v>14.111111111111111</v>
      </c>
    </row>
    <row r="7228" spans="2:5">
      <c r="B7228" s="1115">
        <v>45219</v>
      </c>
      <c r="C7228" s="242">
        <f t="shared" si="225"/>
        <v>10</v>
      </c>
      <c r="D7228" s="242" t="s">
        <v>1848</v>
      </c>
      <c r="E7228" s="845">
        <f t="shared" si="226"/>
        <v>13.888888888888889</v>
      </c>
    </row>
    <row r="7229" spans="2:5">
      <c r="B7229" s="1115">
        <v>45219</v>
      </c>
      <c r="C7229" s="242">
        <f t="shared" si="225"/>
        <v>10</v>
      </c>
      <c r="D7229" s="242">
        <v>56.7</v>
      </c>
      <c r="E7229" s="845">
        <f t="shared" si="226"/>
        <v>13.722222222222223</v>
      </c>
    </row>
    <row r="7230" spans="2:5">
      <c r="B7230" s="1115">
        <v>45219</v>
      </c>
      <c r="C7230" s="242">
        <f t="shared" si="225"/>
        <v>10</v>
      </c>
      <c r="D7230" s="242">
        <v>56.5</v>
      </c>
      <c r="E7230" s="845">
        <f t="shared" si="226"/>
        <v>13.611111111111111</v>
      </c>
    </row>
    <row r="7231" spans="2:5">
      <c r="B7231" s="1115">
        <v>45219</v>
      </c>
      <c r="C7231" s="242">
        <f t="shared" si="225"/>
        <v>10</v>
      </c>
      <c r="D7231" s="242">
        <v>56.5</v>
      </c>
      <c r="E7231" s="845">
        <f t="shared" si="226"/>
        <v>13.611111111111111</v>
      </c>
    </row>
    <row r="7232" spans="2:5">
      <c r="B7232" s="1115">
        <v>45219</v>
      </c>
      <c r="C7232" s="242">
        <f t="shared" si="225"/>
        <v>10</v>
      </c>
      <c r="D7232" s="242">
        <v>56.7</v>
      </c>
      <c r="E7232" s="845">
        <f t="shared" si="226"/>
        <v>13.722222222222223</v>
      </c>
    </row>
    <row r="7233" spans="2:5">
      <c r="B7233" s="1115">
        <v>45220</v>
      </c>
      <c r="C7233" s="242">
        <f t="shared" si="225"/>
        <v>10</v>
      </c>
      <c r="D7233" s="242">
        <v>56.8</v>
      </c>
      <c r="E7233" s="845">
        <f t="shared" si="226"/>
        <v>13.777777777777775</v>
      </c>
    </row>
    <row r="7234" spans="2:5">
      <c r="B7234" s="1115">
        <v>45220</v>
      </c>
      <c r="C7234" s="242">
        <f t="shared" si="225"/>
        <v>10</v>
      </c>
      <c r="D7234" s="242">
        <v>57.2</v>
      </c>
      <c r="E7234" s="845">
        <f t="shared" si="226"/>
        <v>14.000000000000002</v>
      </c>
    </row>
    <row r="7235" spans="2:5">
      <c r="B7235" s="1115">
        <v>45220</v>
      </c>
      <c r="C7235" s="242">
        <f t="shared" si="225"/>
        <v>10</v>
      </c>
      <c r="D7235" s="242">
        <v>57.4</v>
      </c>
      <c r="E7235" s="845">
        <f t="shared" si="226"/>
        <v>14.111111111111111</v>
      </c>
    </row>
    <row r="7236" spans="2:5">
      <c r="B7236" s="1115">
        <v>45220</v>
      </c>
      <c r="C7236" s="242">
        <f t="shared" si="225"/>
        <v>10</v>
      </c>
      <c r="D7236" s="242">
        <v>57.6</v>
      </c>
      <c r="E7236" s="845">
        <f t="shared" si="226"/>
        <v>14.222222222222223</v>
      </c>
    </row>
    <row r="7237" spans="2:5">
      <c r="B7237" s="1115">
        <v>45220</v>
      </c>
      <c r="C7237" s="242">
        <f t="shared" si="225"/>
        <v>10</v>
      </c>
      <c r="D7237" s="242">
        <v>57.6</v>
      </c>
      <c r="E7237" s="845">
        <f t="shared" si="226"/>
        <v>14.222222222222223</v>
      </c>
    </row>
    <row r="7238" spans="2:5">
      <c r="B7238" s="1115">
        <v>45220</v>
      </c>
      <c r="C7238" s="242">
        <f t="shared" si="225"/>
        <v>10</v>
      </c>
      <c r="D7238" s="242">
        <v>57.6</v>
      </c>
      <c r="E7238" s="845">
        <f t="shared" si="226"/>
        <v>14.222222222222223</v>
      </c>
    </row>
    <row r="7239" spans="2:5">
      <c r="B7239" s="1115">
        <v>45220</v>
      </c>
      <c r="C7239" s="242">
        <f t="shared" si="225"/>
        <v>10</v>
      </c>
      <c r="D7239" s="242">
        <v>57.6</v>
      </c>
      <c r="E7239" s="845">
        <f t="shared" si="226"/>
        <v>14.222222222222223</v>
      </c>
    </row>
    <row r="7240" spans="2:5">
      <c r="B7240" s="1115">
        <v>45220</v>
      </c>
      <c r="C7240" s="242">
        <f t="shared" si="225"/>
        <v>10</v>
      </c>
      <c r="D7240" s="242">
        <v>57.4</v>
      </c>
      <c r="E7240" s="845">
        <f t="shared" si="226"/>
        <v>14.111111111111111</v>
      </c>
    </row>
    <row r="7241" spans="2:5">
      <c r="B7241" s="1115">
        <v>45220</v>
      </c>
      <c r="C7241" s="242">
        <f t="shared" si="225"/>
        <v>10</v>
      </c>
      <c r="D7241" s="242" t="s">
        <v>1848</v>
      </c>
      <c r="E7241" s="845">
        <f t="shared" si="226"/>
        <v>13.888888888888889</v>
      </c>
    </row>
    <row r="7242" spans="2:5">
      <c r="B7242" s="1115">
        <v>45220</v>
      </c>
      <c r="C7242" s="242">
        <f t="shared" ref="C7242:C7305" si="227">MONTH(B7242)</f>
        <v>10</v>
      </c>
      <c r="D7242" s="242">
        <v>56.8</v>
      </c>
      <c r="E7242" s="845">
        <f t="shared" ref="E7242:E7305" si="228">CONVERT(D7242,"F","C")</f>
        <v>13.777777777777775</v>
      </c>
    </row>
    <row r="7243" spans="2:5">
      <c r="B7243" s="1115">
        <v>45220</v>
      </c>
      <c r="C7243" s="242">
        <f t="shared" si="227"/>
        <v>10</v>
      </c>
      <c r="D7243" s="242">
        <v>56.7</v>
      </c>
      <c r="E7243" s="845">
        <f t="shared" si="228"/>
        <v>13.722222222222223</v>
      </c>
    </row>
    <row r="7244" spans="2:5">
      <c r="B7244" s="1115">
        <v>45220</v>
      </c>
      <c r="C7244" s="242">
        <f t="shared" si="227"/>
        <v>10</v>
      </c>
      <c r="D7244" s="242">
        <v>56.5</v>
      </c>
      <c r="E7244" s="845">
        <f t="shared" si="228"/>
        <v>13.611111111111111</v>
      </c>
    </row>
    <row r="7245" spans="2:5">
      <c r="B7245" s="1115">
        <v>45220</v>
      </c>
      <c r="C7245" s="242">
        <f t="shared" si="227"/>
        <v>10</v>
      </c>
      <c r="D7245" s="242">
        <v>56.7</v>
      </c>
      <c r="E7245" s="845">
        <f t="shared" si="228"/>
        <v>13.722222222222223</v>
      </c>
    </row>
    <row r="7246" spans="2:5">
      <c r="B7246" s="1115">
        <v>45220</v>
      </c>
      <c r="C7246" s="242">
        <f t="shared" si="227"/>
        <v>10</v>
      </c>
      <c r="D7246" s="242">
        <v>56.8</v>
      </c>
      <c r="E7246" s="845">
        <f t="shared" si="228"/>
        <v>13.777777777777775</v>
      </c>
    </row>
    <row r="7247" spans="2:5">
      <c r="B7247" s="1115">
        <v>45220</v>
      </c>
      <c r="C7247" s="242">
        <f t="shared" si="227"/>
        <v>10</v>
      </c>
      <c r="D7247" s="242">
        <v>57.2</v>
      </c>
      <c r="E7247" s="845">
        <f t="shared" si="228"/>
        <v>14.000000000000002</v>
      </c>
    </row>
    <row r="7248" spans="2:5">
      <c r="B7248" s="1115">
        <v>45220</v>
      </c>
      <c r="C7248" s="242">
        <f t="shared" si="227"/>
        <v>10</v>
      </c>
      <c r="D7248" s="242">
        <v>57.4</v>
      </c>
      <c r="E7248" s="845">
        <f t="shared" si="228"/>
        <v>14.111111111111111</v>
      </c>
    </row>
    <row r="7249" spans="2:5">
      <c r="B7249" s="1115">
        <v>45220</v>
      </c>
      <c r="C7249" s="242">
        <f t="shared" si="227"/>
        <v>10</v>
      </c>
      <c r="D7249" s="242">
        <v>57.6</v>
      </c>
      <c r="E7249" s="845">
        <f t="shared" si="228"/>
        <v>14.222222222222223</v>
      </c>
    </row>
    <row r="7250" spans="2:5">
      <c r="B7250" s="1115">
        <v>45220</v>
      </c>
      <c r="C7250" s="242">
        <f t="shared" si="227"/>
        <v>10</v>
      </c>
      <c r="D7250" s="242">
        <v>57.6</v>
      </c>
      <c r="E7250" s="845">
        <f t="shared" si="228"/>
        <v>14.222222222222223</v>
      </c>
    </row>
    <row r="7251" spans="2:5">
      <c r="B7251" s="1115">
        <v>45220</v>
      </c>
      <c r="C7251" s="242">
        <f t="shared" si="227"/>
        <v>10</v>
      </c>
      <c r="D7251" s="242">
        <v>57.2</v>
      </c>
      <c r="E7251" s="845">
        <f t="shared" si="228"/>
        <v>14.000000000000002</v>
      </c>
    </row>
    <row r="7252" spans="2:5">
      <c r="B7252" s="1115">
        <v>45220</v>
      </c>
      <c r="C7252" s="242">
        <f t="shared" si="227"/>
        <v>10</v>
      </c>
      <c r="D7252" s="242" t="s">
        <v>1848</v>
      </c>
      <c r="E7252" s="845">
        <f t="shared" si="228"/>
        <v>13.888888888888889</v>
      </c>
    </row>
    <row r="7253" spans="2:5">
      <c r="B7253" s="1115">
        <v>45220</v>
      </c>
      <c r="C7253" s="242">
        <f t="shared" si="227"/>
        <v>10</v>
      </c>
      <c r="D7253" s="242" t="s">
        <v>1848</v>
      </c>
      <c r="E7253" s="845">
        <f t="shared" si="228"/>
        <v>13.888888888888889</v>
      </c>
    </row>
    <row r="7254" spans="2:5">
      <c r="B7254" s="1115">
        <v>45220</v>
      </c>
      <c r="C7254" s="242">
        <f t="shared" si="227"/>
        <v>10</v>
      </c>
      <c r="D7254" s="242">
        <v>57.2</v>
      </c>
      <c r="E7254" s="845">
        <f t="shared" si="228"/>
        <v>14.000000000000002</v>
      </c>
    </row>
    <row r="7255" spans="2:5">
      <c r="B7255" s="1115">
        <v>45220</v>
      </c>
      <c r="C7255" s="242">
        <f t="shared" si="227"/>
        <v>10</v>
      </c>
      <c r="D7255" s="242" t="s">
        <v>1848</v>
      </c>
      <c r="E7255" s="845">
        <f t="shared" si="228"/>
        <v>13.888888888888889</v>
      </c>
    </row>
    <row r="7256" spans="2:5">
      <c r="B7256" s="1115">
        <v>45220</v>
      </c>
      <c r="C7256" s="242">
        <f t="shared" si="227"/>
        <v>10</v>
      </c>
      <c r="D7256" s="242" t="s">
        <v>1848</v>
      </c>
      <c r="E7256" s="845">
        <f t="shared" si="228"/>
        <v>13.888888888888889</v>
      </c>
    </row>
    <row r="7257" spans="2:5">
      <c r="B7257" s="1115">
        <v>45221</v>
      </c>
      <c r="C7257" s="242">
        <f t="shared" si="227"/>
        <v>10</v>
      </c>
      <c r="D7257" s="242" t="s">
        <v>1848</v>
      </c>
      <c r="E7257" s="845">
        <f t="shared" si="228"/>
        <v>13.888888888888889</v>
      </c>
    </row>
    <row r="7258" spans="2:5">
      <c r="B7258" s="1115">
        <v>45221</v>
      </c>
      <c r="C7258" s="242">
        <f t="shared" si="227"/>
        <v>10</v>
      </c>
      <c r="D7258" s="242">
        <v>57.2</v>
      </c>
      <c r="E7258" s="845">
        <f t="shared" si="228"/>
        <v>14.000000000000002</v>
      </c>
    </row>
    <row r="7259" spans="2:5">
      <c r="B7259" s="1115">
        <v>45221</v>
      </c>
      <c r="C7259" s="242">
        <f t="shared" si="227"/>
        <v>10</v>
      </c>
      <c r="D7259" s="242">
        <v>57.2</v>
      </c>
      <c r="E7259" s="845">
        <f t="shared" si="228"/>
        <v>14.000000000000002</v>
      </c>
    </row>
    <row r="7260" spans="2:5">
      <c r="B7260" s="1115">
        <v>45221</v>
      </c>
      <c r="C7260" s="242">
        <f t="shared" si="227"/>
        <v>10</v>
      </c>
      <c r="D7260" s="242">
        <v>57.4</v>
      </c>
      <c r="E7260" s="845">
        <f t="shared" si="228"/>
        <v>14.111111111111111</v>
      </c>
    </row>
    <row r="7261" spans="2:5">
      <c r="B7261" s="1115">
        <v>45221</v>
      </c>
      <c r="C7261" s="242">
        <f t="shared" si="227"/>
        <v>10</v>
      </c>
      <c r="D7261" s="242">
        <v>57.4</v>
      </c>
      <c r="E7261" s="845">
        <f t="shared" si="228"/>
        <v>14.111111111111111</v>
      </c>
    </row>
    <row r="7262" spans="2:5">
      <c r="B7262" s="1115">
        <v>45221</v>
      </c>
      <c r="C7262" s="242">
        <f t="shared" si="227"/>
        <v>10</v>
      </c>
      <c r="D7262" s="242">
        <v>57.6</v>
      </c>
      <c r="E7262" s="845">
        <f t="shared" si="228"/>
        <v>14.222222222222223</v>
      </c>
    </row>
    <row r="7263" spans="2:5">
      <c r="B7263" s="1115">
        <v>45221</v>
      </c>
      <c r="C7263" s="242">
        <f t="shared" si="227"/>
        <v>10</v>
      </c>
      <c r="D7263" s="242">
        <v>57.6</v>
      </c>
      <c r="E7263" s="845">
        <f t="shared" si="228"/>
        <v>14.222222222222223</v>
      </c>
    </row>
    <row r="7264" spans="2:5">
      <c r="B7264" s="1115">
        <v>45221</v>
      </c>
      <c r="C7264" s="242">
        <f t="shared" si="227"/>
        <v>10</v>
      </c>
      <c r="D7264" s="242">
        <v>57.4</v>
      </c>
      <c r="E7264" s="845">
        <f t="shared" si="228"/>
        <v>14.111111111111111</v>
      </c>
    </row>
    <row r="7265" spans="2:5">
      <c r="B7265" s="1115">
        <v>45221</v>
      </c>
      <c r="C7265" s="242">
        <f t="shared" si="227"/>
        <v>10</v>
      </c>
      <c r="D7265" s="242">
        <v>57.2</v>
      </c>
      <c r="E7265" s="845">
        <f t="shared" si="228"/>
        <v>14.000000000000002</v>
      </c>
    </row>
    <row r="7266" spans="2:5">
      <c r="B7266" s="1115">
        <v>45221</v>
      </c>
      <c r="C7266" s="242">
        <f t="shared" si="227"/>
        <v>10</v>
      </c>
      <c r="D7266" s="242">
        <v>57.2</v>
      </c>
      <c r="E7266" s="845">
        <f t="shared" si="228"/>
        <v>14.000000000000002</v>
      </c>
    </row>
    <row r="7267" spans="2:5">
      <c r="B7267" s="1115">
        <v>45221</v>
      </c>
      <c r="C7267" s="242">
        <f t="shared" si="227"/>
        <v>10</v>
      </c>
      <c r="D7267" s="242">
        <v>57.2</v>
      </c>
      <c r="E7267" s="845">
        <f t="shared" si="228"/>
        <v>14.000000000000002</v>
      </c>
    </row>
    <row r="7268" spans="2:5">
      <c r="B7268" s="1115">
        <v>45221</v>
      </c>
      <c r="C7268" s="242">
        <f t="shared" si="227"/>
        <v>10</v>
      </c>
      <c r="D7268" s="242" t="s">
        <v>1848</v>
      </c>
      <c r="E7268" s="845">
        <f t="shared" si="228"/>
        <v>13.888888888888889</v>
      </c>
    </row>
    <row r="7269" spans="2:5">
      <c r="B7269" s="1115">
        <v>45221</v>
      </c>
      <c r="C7269" s="242">
        <f t="shared" si="227"/>
        <v>10</v>
      </c>
      <c r="D7269" s="242" t="s">
        <v>1848</v>
      </c>
      <c r="E7269" s="845">
        <f t="shared" si="228"/>
        <v>13.888888888888889</v>
      </c>
    </row>
    <row r="7270" spans="2:5">
      <c r="B7270" s="1115">
        <v>45221</v>
      </c>
      <c r="C7270" s="242">
        <f t="shared" si="227"/>
        <v>10</v>
      </c>
      <c r="D7270" s="242" t="s">
        <v>1848</v>
      </c>
      <c r="E7270" s="845">
        <f t="shared" si="228"/>
        <v>13.888888888888889</v>
      </c>
    </row>
    <row r="7271" spans="2:5">
      <c r="B7271" s="1115">
        <v>45221</v>
      </c>
      <c r="C7271" s="242">
        <f t="shared" si="227"/>
        <v>10</v>
      </c>
      <c r="D7271" s="242" t="s">
        <v>1848</v>
      </c>
      <c r="E7271" s="845">
        <f t="shared" si="228"/>
        <v>13.888888888888889</v>
      </c>
    </row>
    <row r="7272" spans="2:5">
      <c r="B7272" s="1115">
        <v>45221</v>
      </c>
      <c r="C7272" s="242">
        <f t="shared" si="227"/>
        <v>10</v>
      </c>
      <c r="D7272" s="242">
        <v>57.2</v>
      </c>
      <c r="E7272" s="845">
        <f t="shared" si="228"/>
        <v>14.000000000000002</v>
      </c>
    </row>
    <row r="7273" spans="2:5">
      <c r="B7273" s="1115">
        <v>45221</v>
      </c>
      <c r="C7273" s="242">
        <f t="shared" si="227"/>
        <v>10</v>
      </c>
      <c r="D7273" s="242">
        <v>57.4</v>
      </c>
      <c r="E7273" s="845">
        <f t="shared" si="228"/>
        <v>14.111111111111111</v>
      </c>
    </row>
    <row r="7274" spans="2:5">
      <c r="B7274" s="1115">
        <v>45221</v>
      </c>
      <c r="C7274" s="242">
        <f t="shared" si="227"/>
        <v>10</v>
      </c>
      <c r="D7274" s="242">
        <v>57.4</v>
      </c>
      <c r="E7274" s="845">
        <f t="shared" si="228"/>
        <v>14.111111111111111</v>
      </c>
    </row>
    <row r="7275" spans="2:5">
      <c r="B7275" s="1115">
        <v>45221</v>
      </c>
      <c r="C7275" s="242">
        <f t="shared" si="227"/>
        <v>10</v>
      </c>
      <c r="D7275" s="242">
        <v>57.4</v>
      </c>
      <c r="E7275" s="845">
        <f t="shared" si="228"/>
        <v>14.111111111111111</v>
      </c>
    </row>
    <row r="7276" spans="2:5">
      <c r="B7276" s="1115">
        <v>45221</v>
      </c>
      <c r="C7276" s="242">
        <f t="shared" si="227"/>
        <v>10</v>
      </c>
      <c r="D7276" s="242">
        <v>57.4</v>
      </c>
      <c r="E7276" s="845">
        <f t="shared" si="228"/>
        <v>14.111111111111111</v>
      </c>
    </row>
    <row r="7277" spans="2:5">
      <c r="B7277" s="1115">
        <v>45221</v>
      </c>
      <c r="C7277" s="242">
        <f t="shared" si="227"/>
        <v>10</v>
      </c>
      <c r="D7277" s="242">
        <v>57.2</v>
      </c>
      <c r="E7277" s="845">
        <f t="shared" si="228"/>
        <v>14.000000000000002</v>
      </c>
    </row>
    <row r="7278" spans="2:5">
      <c r="B7278" s="1115">
        <v>45221</v>
      </c>
      <c r="C7278" s="242">
        <f t="shared" si="227"/>
        <v>10</v>
      </c>
      <c r="D7278" s="242">
        <v>56.7</v>
      </c>
      <c r="E7278" s="845">
        <f t="shared" si="228"/>
        <v>13.722222222222223</v>
      </c>
    </row>
    <row r="7279" spans="2:5">
      <c r="B7279" s="1115">
        <v>45221</v>
      </c>
      <c r="C7279" s="242">
        <f t="shared" si="227"/>
        <v>10</v>
      </c>
      <c r="D7279" s="242">
        <v>56.3</v>
      </c>
      <c r="E7279" s="845">
        <f t="shared" si="228"/>
        <v>13.499999999999998</v>
      </c>
    </row>
    <row r="7280" spans="2:5">
      <c r="B7280" s="1115">
        <v>45221</v>
      </c>
      <c r="C7280" s="242">
        <f t="shared" si="227"/>
        <v>10</v>
      </c>
      <c r="D7280" s="242">
        <v>56.1</v>
      </c>
      <c r="E7280" s="845">
        <f t="shared" si="228"/>
        <v>13.388888888888889</v>
      </c>
    </row>
    <row r="7281" spans="2:5">
      <c r="B7281" s="1115">
        <v>45222</v>
      </c>
      <c r="C7281" s="242">
        <f t="shared" si="227"/>
        <v>10</v>
      </c>
      <c r="D7281" s="242">
        <v>55.9</v>
      </c>
      <c r="E7281" s="845">
        <f t="shared" si="228"/>
        <v>13.277777777777777</v>
      </c>
    </row>
    <row r="7282" spans="2:5">
      <c r="B7282" s="1115">
        <v>45222</v>
      </c>
      <c r="C7282" s="242">
        <f t="shared" si="227"/>
        <v>10</v>
      </c>
      <c r="D7282" s="242">
        <v>56.1</v>
      </c>
      <c r="E7282" s="845">
        <f t="shared" si="228"/>
        <v>13.388888888888889</v>
      </c>
    </row>
    <row r="7283" spans="2:5">
      <c r="B7283" s="1115">
        <v>45222</v>
      </c>
      <c r="C7283" s="242">
        <f t="shared" si="227"/>
        <v>10</v>
      </c>
      <c r="D7283" s="242">
        <v>56.3</v>
      </c>
      <c r="E7283" s="845">
        <f t="shared" si="228"/>
        <v>13.499999999999998</v>
      </c>
    </row>
    <row r="7284" spans="2:5">
      <c r="B7284" s="1115">
        <v>45222</v>
      </c>
      <c r="C7284" s="242">
        <f t="shared" si="227"/>
        <v>10</v>
      </c>
      <c r="D7284" s="242">
        <v>56.7</v>
      </c>
      <c r="E7284" s="845">
        <f t="shared" si="228"/>
        <v>13.722222222222223</v>
      </c>
    </row>
    <row r="7285" spans="2:5">
      <c r="B7285" s="1115">
        <v>45222</v>
      </c>
      <c r="C7285" s="242">
        <f t="shared" si="227"/>
        <v>10</v>
      </c>
      <c r="D7285" s="242">
        <v>56.8</v>
      </c>
      <c r="E7285" s="845">
        <f t="shared" si="228"/>
        <v>13.777777777777775</v>
      </c>
    </row>
    <row r="7286" spans="2:5">
      <c r="B7286" s="1115">
        <v>45222</v>
      </c>
      <c r="C7286" s="242">
        <f t="shared" si="227"/>
        <v>10</v>
      </c>
      <c r="D7286" s="242" t="s">
        <v>1848</v>
      </c>
      <c r="E7286" s="845">
        <f t="shared" si="228"/>
        <v>13.888888888888889</v>
      </c>
    </row>
    <row r="7287" spans="2:5">
      <c r="B7287" s="1115">
        <v>45222</v>
      </c>
      <c r="C7287" s="242">
        <f t="shared" si="227"/>
        <v>10</v>
      </c>
      <c r="D7287" s="242" t="s">
        <v>1848</v>
      </c>
      <c r="E7287" s="845">
        <f t="shared" si="228"/>
        <v>13.888888888888889</v>
      </c>
    </row>
    <row r="7288" spans="2:5">
      <c r="B7288" s="1115">
        <v>45222</v>
      </c>
      <c r="C7288" s="242">
        <f t="shared" si="227"/>
        <v>10</v>
      </c>
      <c r="D7288" s="242" t="s">
        <v>1848</v>
      </c>
      <c r="E7288" s="845">
        <f t="shared" si="228"/>
        <v>13.888888888888889</v>
      </c>
    </row>
    <row r="7289" spans="2:5">
      <c r="B7289" s="1115">
        <v>45222</v>
      </c>
      <c r="C7289" s="242">
        <f t="shared" si="227"/>
        <v>10</v>
      </c>
      <c r="D7289" s="242">
        <v>56.8</v>
      </c>
      <c r="E7289" s="845">
        <f t="shared" si="228"/>
        <v>13.777777777777775</v>
      </c>
    </row>
    <row r="7290" spans="2:5">
      <c r="B7290" s="1115">
        <v>45222</v>
      </c>
      <c r="C7290" s="242">
        <f t="shared" si="227"/>
        <v>10</v>
      </c>
      <c r="D7290" s="242">
        <v>56.7</v>
      </c>
      <c r="E7290" s="845">
        <f t="shared" si="228"/>
        <v>13.722222222222223</v>
      </c>
    </row>
    <row r="7291" spans="2:5">
      <c r="B7291" s="1115">
        <v>45222</v>
      </c>
      <c r="C7291" s="242">
        <f t="shared" si="227"/>
        <v>10</v>
      </c>
      <c r="D7291" s="242">
        <v>55.9</v>
      </c>
      <c r="E7291" s="845">
        <f t="shared" si="228"/>
        <v>13.277777777777777</v>
      </c>
    </row>
    <row r="7292" spans="2:5">
      <c r="B7292" s="1115">
        <v>45222</v>
      </c>
      <c r="C7292" s="242">
        <f t="shared" si="227"/>
        <v>10</v>
      </c>
      <c r="D7292" s="242">
        <v>55.6</v>
      </c>
      <c r="E7292" s="845">
        <f t="shared" si="228"/>
        <v>13.111111111111111</v>
      </c>
    </row>
    <row r="7293" spans="2:5">
      <c r="B7293" s="1115">
        <v>45222</v>
      </c>
      <c r="C7293" s="242">
        <f t="shared" si="227"/>
        <v>10</v>
      </c>
      <c r="D7293" s="242">
        <v>55.4</v>
      </c>
      <c r="E7293" s="845">
        <f t="shared" si="228"/>
        <v>12.999999999999998</v>
      </c>
    </row>
    <row r="7294" spans="2:5">
      <c r="B7294" s="1115">
        <v>45222</v>
      </c>
      <c r="C7294" s="242">
        <f t="shared" si="227"/>
        <v>10</v>
      </c>
      <c r="D7294" s="242">
        <v>55.4</v>
      </c>
      <c r="E7294" s="845">
        <f t="shared" si="228"/>
        <v>12.999999999999998</v>
      </c>
    </row>
    <row r="7295" spans="2:5">
      <c r="B7295" s="1115">
        <v>45222</v>
      </c>
      <c r="C7295" s="242">
        <f t="shared" si="227"/>
        <v>10</v>
      </c>
      <c r="D7295" s="242">
        <v>55.6</v>
      </c>
      <c r="E7295" s="845">
        <f t="shared" si="228"/>
        <v>13.111111111111111</v>
      </c>
    </row>
    <row r="7296" spans="2:5">
      <c r="B7296" s="1115">
        <v>45222</v>
      </c>
      <c r="C7296" s="242">
        <f t="shared" si="227"/>
        <v>10</v>
      </c>
      <c r="D7296" s="242">
        <v>55.8</v>
      </c>
      <c r="E7296" s="845">
        <f t="shared" si="228"/>
        <v>13.22222222222222</v>
      </c>
    </row>
    <row r="7297" spans="2:5">
      <c r="B7297" s="1115">
        <v>45222</v>
      </c>
      <c r="C7297" s="242">
        <f t="shared" si="227"/>
        <v>10</v>
      </c>
      <c r="D7297" s="242">
        <v>56.1</v>
      </c>
      <c r="E7297" s="845">
        <f t="shared" si="228"/>
        <v>13.388888888888889</v>
      </c>
    </row>
    <row r="7298" spans="2:5">
      <c r="B7298" s="1115">
        <v>45222</v>
      </c>
      <c r="C7298" s="242">
        <f t="shared" si="227"/>
        <v>10</v>
      </c>
      <c r="D7298" s="242">
        <v>56.7</v>
      </c>
      <c r="E7298" s="845">
        <f t="shared" si="228"/>
        <v>13.722222222222223</v>
      </c>
    </row>
    <row r="7299" spans="2:5">
      <c r="B7299" s="1115">
        <v>45222</v>
      </c>
      <c r="C7299" s="242">
        <f t="shared" si="227"/>
        <v>10</v>
      </c>
      <c r="D7299" s="242">
        <v>56.7</v>
      </c>
      <c r="E7299" s="845">
        <f t="shared" si="228"/>
        <v>13.722222222222223</v>
      </c>
    </row>
    <row r="7300" spans="2:5">
      <c r="B7300" s="1115">
        <v>45222</v>
      </c>
      <c r="C7300" s="242">
        <f t="shared" si="227"/>
        <v>10</v>
      </c>
      <c r="D7300" s="242">
        <v>56.8</v>
      </c>
      <c r="E7300" s="845">
        <f t="shared" si="228"/>
        <v>13.777777777777775</v>
      </c>
    </row>
    <row r="7301" spans="2:5">
      <c r="B7301" s="1115">
        <v>45222</v>
      </c>
      <c r="C7301" s="242">
        <f t="shared" si="227"/>
        <v>10</v>
      </c>
      <c r="D7301" s="242">
        <v>56.7</v>
      </c>
      <c r="E7301" s="845">
        <f t="shared" si="228"/>
        <v>13.722222222222223</v>
      </c>
    </row>
    <row r="7302" spans="2:5">
      <c r="B7302" s="1115">
        <v>45222</v>
      </c>
      <c r="C7302" s="242">
        <f t="shared" si="227"/>
        <v>10</v>
      </c>
      <c r="D7302" s="242">
        <v>56.1</v>
      </c>
      <c r="E7302" s="845">
        <f t="shared" si="228"/>
        <v>13.388888888888889</v>
      </c>
    </row>
    <row r="7303" spans="2:5">
      <c r="B7303" s="1115">
        <v>45222</v>
      </c>
      <c r="C7303" s="242">
        <f t="shared" si="227"/>
        <v>10</v>
      </c>
      <c r="D7303" s="242">
        <v>55.9</v>
      </c>
      <c r="E7303" s="845">
        <f t="shared" si="228"/>
        <v>13.277777777777777</v>
      </c>
    </row>
    <row r="7304" spans="2:5">
      <c r="B7304" s="1115">
        <v>45222</v>
      </c>
      <c r="C7304" s="242">
        <f t="shared" si="227"/>
        <v>10</v>
      </c>
      <c r="D7304" s="242">
        <v>55.9</v>
      </c>
      <c r="E7304" s="845">
        <f t="shared" si="228"/>
        <v>13.277777777777777</v>
      </c>
    </row>
    <row r="7305" spans="2:5">
      <c r="B7305" s="1115">
        <v>45223</v>
      </c>
      <c r="C7305" s="242">
        <f t="shared" si="227"/>
        <v>10</v>
      </c>
      <c r="D7305" s="242">
        <v>55.9</v>
      </c>
      <c r="E7305" s="845">
        <f t="shared" si="228"/>
        <v>13.277777777777777</v>
      </c>
    </row>
    <row r="7306" spans="2:5">
      <c r="B7306" s="1115">
        <v>45223</v>
      </c>
      <c r="C7306" s="242">
        <f t="shared" ref="C7306:C7369" si="229">MONTH(B7306)</f>
        <v>10</v>
      </c>
      <c r="D7306" s="242">
        <v>55.9</v>
      </c>
      <c r="E7306" s="845">
        <f t="shared" ref="E7306:E7369" si="230">CONVERT(D7306,"F","C")</f>
        <v>13.277777777777777</v>
      </c>
    </row>
    <row r="7307" spans="2:5">
      <c r="B7307" s="1115">
        <v>45223</v>
      </c>
      <c r="C7307" s="242">
        <f t="shared" si="229"/>
        <v>10</v>
      </c>
      <c r="D7307" s="242">
        <v>55.9</v>
      </c>
      <c r="E7307" s="845">
        <f t="shared" si="230"/>
        <v>13.277777777777777</v>
      </c>
    </row>
    <row r="7308" spans="2:5">
      <c r="B7308" s="1115">
        <v>45223</v>
      </c>
      <c r="C7308" s="242">
        <f t="shared" si="229"/>
        <v>10</v>
      </c>
      <c r="D7308" s="242">
        <v>55.9</v>
      </c>
      <c r="E7308" s="845">
        <f t="shared" si="230"/>
        <v>13.277777777777777</v>
      </c>
    </row>
    <row r="7309" spans="2:5">
      <c r="B7309" s="1115">
        <v>45223</v>
      </c>
      <c r="C7309" s="242">
        <f t="shared" si="229"/>
        <v>10</v>
      </c>
      <c r="D7309" s="242">
        <v>56.1</v>
      </c>
      <c r="E7309" s="845">
        <f t="shared" si="230"/>
        <v>13.388888888888889</v>
      </c>
    </row>
    <row r="7310" spans="2:5">
      <c r="B7310" s="1115">
        <v>45223</v>
      </c>
      <c r="C7310" s="242">
        <f t="shared" si="229"/>
        <v>10</v>
      </c>
      <c r="D7310" s="242">
        <v>56.3</v>
      </c>
      <c r="E7310" s="845">
        <f t="shared" si="230"/>
        <v>13.499999999999998</v>
      </c>
    </row>
    <row r="7311" spans="2:5">
      <c r="B7311" s="1115">
        <v>45223</v>
      </c>
      <c r="C7311" s="242">
        <f t="shared" si="229"/>
        <v>10</v>
      </c>
      <c r="D7311" s="242">
        <v>56.5</v>
      </c>
      <c r="E7311" s="845">
        <f t="shared" si="230"/>
        <v>13.611111111111111</v>
      </c>
    </row>
    <row r="7312" spans="2:5">
      <c r="B7312" s="1115">
        <v>45223</v>
      </c>
      <c r="C7312" s="242">
        <f t="shared" si="229"/>
        <v>10</v>
      </c>
      <c r="D7312" s="242">
        <v>56.5</v>
      </c>
      <c r="E7312" s="845">
        <f t="shared" si="230"/>
        <v>13.611111111111111</v>
      </c>
    </row>
    <row r="7313" spans="2:5">
      <c r="B7313" s="1115">
        <v>45223</v>
      </c>
      <c r="C7313" s="242">
        <f t="shared" si="229"/>
        <v>10</v>
      </c>
      <c r="D7313" s="242">
        <v>56.3</v>
      </c>
      <c r="E7313" s="845">
        <f t="shared" si="230"/>
        <v>13.499999999999998</v>
      </c>
    </row>
    <row r="7314" spans="2:5">
      <c r="B7314" s="1115">
        <v>45223</v>
      </c>
      <c r="C7314" s="242">
        <f t="shared" si="229"/>
        <v>10</v>
      </c>
      <c r="D7314" s="242">
        <v>56.3</v>
      </c>
      <c r="E7314" s="845">
        <f t="shared" si="230"/>
        <v>13.499999999999998</v>
      </c>
    </row>
    <row r="7315" spans="2:5">
      <c r="B7315" s="1115">
        <v>45223</v>
      </c>
      <c r="C7315" s="242">
        <f t="shared" si="229"/>
        <v>10</v>
      </c>
      <c r="D7315" s="242">
        <v>56.1</v>
      </c>
      <c r="E7315" s="845">
        <f t="shared" si="230"/>
        <v>13.388888888888889</v>
      </c>
    </row>
    <row r="7316" spans="2:5">
      <c r="B7316" s="1115">
        <v>45223</v>
      </c>
      <c r="C7316" s="242">
        <f t="shared" si="229"/>
        <v>10</v>
      </c>
      <c r="D7316" s="242">
        <v>55.9</v>
      </c>
      <c r="E7316" s="845">
        <f t="shared" si="230"/>
        <v>13.277777777777777</v>
      </c>
    </row>
    <row r="7317" spans="2:5">
      <c r="B7317" s="1115">
        <v>45223</v>
      </c>
      <c r="C7317" s="242">
        <f t="shared" si="229"/>
        <v>10</v>
      </c>
      <c r="D7317" s="242">
        <v>55.9</v>
      </c>
      <c r="E7317" s="845">
        <f t="shared" si="230"/>
        <v>13.277777777777777</v>
      </c>
    </row>
    <row r="7318" spans="2:5">
      <c r="B7318" s="1115">
        <v>45223</v>
      </c>
      <c r="C7318" s="242">
        <f t="shared" si="229"/>
        <v>10</v>
      </c>
      <c r="D7318" s="242">
        <v>55.9</v>
      </c>
      <c r="E7318" s="845">
        <f t="shared" si="230"/>
        <v>13.277777777777777</v>
      </c>
    </row>
    <row r="7319" spans="2:5">
      <c r="B7319" s="1115">
        <v>45223</v>
      </c>
      <c r="C7319" s="242">
        <f t="shared" si="229"/>
        <v>10</v>
      </c>
      <c r="D7319" s="242">
        <v>55.9</v>
      </c>
      <c r="E7319" s="845">
        <f t="shared" si="230"/>
        <v>13.277777777777777</v>
      </c>
    </row>
    <row r="7320" spans="2:5">
      <c r="B7320" s="1115">
        <v>45223</v>
      </c>
      <c r="C7320" s="242">
        <f t="shared" si="229"/>
        <v>10</v>
      </c>
      <c r="D7320" s="242">
        <v>55.9</v>
      </c>
      <c r="E7320" s="845">
        <f t="shared" si="230"/>
        <v>13.277777777777777</v>
      </c>
    </row>
    <row r="7321" spans="2:5">
      <c r="B7321" s="1115">
        <v>45223</v>
      </c>
      <c r="C7321" s="242">
        <f t="shared" si="229"/>
        <v>10</v>
      </c>
      <c r="D7321" s="242">
        <v>55.9</v>
      </c>
      <c r="E7321" s="845">
        <f t="shared" si="230"/>
        <v>13.277777777777777</v>
      </c>
    </row>
    <row r="7322" spans="2:5">
      <c r="B7322" s="1115">
        <v>45223</v>
      </c>
      <c r="C7322" s="242">
        <f t="shared" si="229"/>
        <v>10</v>
      </c>
      <c r="D7322" s="242">
        <v>56.1</v>
      </c>
      <c r="E7322" s="845">
        <f t="shared" si="230"/>
        <v>13.388888888888889</v>
      </c>
    </row>
    <row r="7323" spans="2:5">
      <c r="B7323" s="1115">
        <v>45223</v>
      </c>
      <c r="C7323" s="242">
        <f t="shared" si="229"/>
        <v>10</v>
      </c>
      <c r="D7323" s="242">
        <v>56.3</v>
      </c>
      <c r="E7323" s="845">
        <f t="shared" si="230"/>
        <v>13.499999999999998</v>
      </c>
    </row>
    <row r="7324" spans="2:5">
      <c r="B7324" s="1115">
        <v>45223</v>
      </c>
      <c r="C7324" s="242">
        <f t="shared" si="229"/>
        <v>10</v>
      </c>
      <c r="D7324" s="242">
        <v>56.3</v>
      </c>
      <c r="E7324" s="845">
        <f t="shared" si="230"/>
        <v>13.499999999999998</v>
      </c>
    </row>
    <row r="7325" spans="2:5">
      <c r="B7325" s="1115">
        <v>45223</v>
      </c>
      <c r="C7325" s="242">
        <f t="shared" si="229"/>
        <v>10</v>
      </c>
      <c r="D7325" s="242">
        <v>56.5</v>
      </c>
      <c r="E7325" s="845">
        <f t="shared" si="230"/>
        <v>13.611111111111111</v>
      </c>
    </row>
    <row r="7326" spans="2:5">
      <c r="B7326" s="1115">
        <v>45223</v>
      </c>
      <c r="C7326" s="242">
        <f t="shared" si="229"/>
        <v>10</v>
      </c>
      <c r="D7326" s="242">
        <v>56.3</v>
      </c>
      <c r="E7326" s="845">
        <f t="shared" si="230"/>
        <v>13.499999999999998</v>
      </c>
    </row>
    <row r="7327" spans="2:5">
      <c r="B7327" s="1115">
        <v>45223</v>
      </c>
      <c r="C7327" s="242">
        <f t="shared" si="229"/>
        <v>10</v>
      </c>
      <c r="D7327" s="242">
        <v>56.1</v>
      </c>
      <c r="E7327" s="845">
        <f t="shared" si="230"/>
        <v>13.388888888888889</v>
      </c>
    </row>
    <row r="7328" spans="2:5">
      <c r="B7328" s="1115">
        <v>45223</v>
      </c>
      <c r="C7328" s="242">
        <f t="shared" si="229"/>
        <v>10</v>
      </c>
      <c r="D7328" s="242">
        <v>56.1</v>
      </c>
      <c r="E7328" s="845">
        <f t="shared" si="230"/>
        <v>13.388888888888889</v>
      </c>
    </row>
    <row r="7329" spans="2:5">
      <c r="B7329" s="1115">
        <v>45224</v>
      </c>
      <c r="C7329" s="242">
        <f t="shared" si="229"/>
        <v>10</v>
      </c>
      <c r="D7329" s="242">
        <v>56.1</v>
      </c>
      <c r="E7329" s="845">
        <f t="shared" si="230"/>
        <v>13.388888888888889</v>
      </c>
    </row>
    <row r="7330" spans="2:5">
      <c r="B7330" s="1115">
        <v>45224</v>
      </c>
      <c r="C7330" s="242">
        <f t="shared" si="229"/>
        <v>10</v>
      </c>
      <c r="D7330" s="242">
        <v>55.9</v>
      </c>
      <c r="E7330" s="845">
        <f t="shared" si="230"/>
        <v>13.277777777777777</v>
      </c>
    </row>
    <row r="7331" spans="2:5">
      <c r="B7331" s="1115">
        <v>45224</v>
      </c>
      <c r="C7331" s="242">
        <f t="shared" si="229"/>
        <v>10</v>
      </c>
      <c r="D7331" s="242">
        <v>55.9</v>
      </c>
      <c r="E7331" s="845">
        <f t="shared" si="230"/>
        <v>13.277777777777777</v>
      </c>
    </row>
    <row r="7332" spans="2:5">
      <c r="B7332" s="1115">
        <v>45224</v>
      </c>
      <c r="C7332" s="242">
        <f t="shared" si="229"/>
        <v>10</v>
      </c>
      <c r="D7332" s="242">
        <v>55.9</v>
      </c>
      <c r="E7332" s="845">
        <f t="shared" si="230"/>
        <v>13.277777777777777</v>
      </c>
    </row>
    <row r="7333" spans="2:5">
      <c r="B7333" s="1115">
        <v>45224</v>
      </c>
      <c r="C7333" s="242">
        <f t="shared" si="229"/>
        <v>10</v>
      </c>
      <c r="D7333" s="242">
        <v>55.9</v>
      </c>
      <c r="E7333" s="845">
        <f t="shared" si="230"/>
        <v>13.277777777777777</v>
      </c>
    </row>
    <row r="7334" spans="2:5">
      <c r="B7334" s="1115">
        <v>45224</v>
      </c>
      <c r="C7334" s="242">
        <f t="shared" si="229"/>
        <v>10</v>
      </c>
      <c r="D7334" s="242">
        <v>56.1</v>
      </c>
      <c r="E7334" s="845">
        <f t="shared" si="230"/>
        <v>13.388888888888889</v>
      </c>
    </row>
    <row r="7335" spans="2:5">
      <c r="B7335" s="1115">
        <v>45224</v>
      </c>
      <c r="C7335" s="242">
        <f t="shared" si="229"/>
        <v>10</v>
      </c>
      <c r="D7335" s="242">
        <v>56.1</v>
      </c>
      <c r="E7335" s="845">
        <f t="shared" si="230"/>
        <v>13.388888888888889</v>
      </c>
    </row>
    <row r="7336" spans="2:5">
      <c r="B7336" s="1115">
        <v>45224</v>
      </c>
      <c r="C7336" s="242">
        <f t="shared" si="229"/>
        <v>10</v>
      </c>
      <c r="D7336" s="242">
        <v>56.1</v>
      </c>
      <c r="E7336" s="845">
        <f t="shared" si="230"/>
        <v>13.388888888888889</v>
      </c>
    </row>
    <row r="7337" spans="2:5">
      <c r="B7337" s="1115">
        <v>45224</v>
      </c>
      <c r="C7337" s="242">
        <f t="shared" si="229"/>
        <v>10</v>
      </c>
      <c r="D7337" s="242">
        <v>56.1</v>
      </c>
      <c r="E7337" s="845">
        <f t="shared" si="230"/>
        <v>13.388888888888889</v>
      </c>
    </row>
    <row r="7338" spans="2:5">
      <c r="B7338" s="1115">
        <v>45224</v>
      </c>
      <c r="C7338" s="242">
        <f t="shared" si="229"/>
        <v>10</v>
      </c>
      <c r="D7338" s="242">
        <v>56.1</v>
      </c>
      <c r="E7338" s="845">
        <f t="shared" si="230"/>
        <v>13.388888888888889</v>
      </c>
    </row>
    <row r="7339" spans="2:5">
      <c r="B7339" s="1115">
        <v>45224</v>
      </c>
      <c r="C7339" s="242">
        <f t="shared" si="229"/>
        <v>10</v>
      </c>
      <c r="D7339" s="242">
        <v>56.1</v>
      </c>
      <c r="E7339" s="845">
        <f t="shared" si="230"/>
        <v>13.388888888888889</v>
      </c>
    </row>
    <row r="7340" spans="2:5">
      <c r="B7340" s="1115">
        <v>45224</v>
      </c>
      <c r="C7340" s="242">
        <f t="shared" si="229"/>
        <v>10</v>
      </c>
      <c r="D7340" s="242">
        <v>56.1</v>
      </c>
      <c r="E7340" s="845">
        <f t="shared" si="230"/>
        <v>13.388888888888889</v>
      </c>
    </row>
    <row r="7341" spans="2:5">
      <c r="B7341" s="1115">
        <v>45224</v>
      </c>
      <c r="C7341" s="242">
        <f t="shared" si="229"/>
        <v>10</v>
      </c>
      <c r="D7341" s="242">
        <v>55.9</v>
      </c>
      <c r="E7341" s="845">
        <f t="shared" si="230"/>
        <v>13.277777777777777</v>
      </c>
    </row>
    <row r="7342" spans="2:5">
      <c r="B7342" s="1115">
        <v>45224</v>
      </c>
      <c r="C7342" s="242">
        <f t="shared" si="229"/>
        <v>10</v>
      </c>
      <c r="D7342" s="242">
        <v>55.8</v>
      </c>
      <c r="E7342" s="845">
        <f t="shared" si="230"/>
        <v>13.22222222222222</v>
      </c>
    </row>
    <row r="7343" spans="2:5">
      <c r="B7343" s="1115">
        <v>45224</v>
      </c>
      <c r="C7343" s="242">
        <f t="shared" si="229"/>
        <v>10</v>
      </c>
      <c r="D7343" s="242">
        <v>55.8</v>
      </c>
      <c r="E7343" s="845">
        <f t="shared" si="230"/>
        <v>13.22222222222222</v>
      </c>
    </row>
    <row r="7344" spans="2:5">
      <c r="B7344" s="1115">
        <v>45224</v>
      </c>
      <c r="C7344" s="242">
        <f t="shared" si="229"/>
        <v>10</v>
      </c>
      <c r="D7344" s="242">
        <v>55.8</v>
      </c>
      <c r="E7344" s="845">
        <f t="shared" si="230"/>
        <v>13.22222222222222</v>
      </c>
    </row>
    <row r="7345" spans="2:5">
      <c r="B7345" s="1115">
        <v>45224</v>
      </c>
      <c r="C7345" s="242">
        <f t="shared" si="229"/>
        <v>10</v>
      </c>
      <c r="D7345" s="242">
        <v>55.9</v>
      </c>
      <c r="E7345" s="845">
        <f t="shared" si="230"/>
        <v>13.277777777777777</v>
      </c>
    </row>
    <row r="7346" spans="2:5">
      <c r="B7346" s="1115">
        <v>45224</v>
      </c>
      <c r="C7346" s="242">
        <f t="shared" si="229"/>
        <v>10</v>
      </c>
      <c r="D7346" s="242">
        <v>56.1</v>
      </c>
      <c r="E7346" s="845">
        <f t="shared" si="230"/>
        <v>13.388888888888889</v>
      </c>
    </row>
    <row r="7347" spans="2:5">
      <c r="B7347" s="1115">
        <v>45224</v>
      </c>
      <c r="C7347" s="242">
        <f t="shared" si="229"/>
        <v>10</v>
      </c>
      <c r="D7347" s="242">
        <v>56.3</v>
      </c>
      <c r="E7347" s="845">
        <f t="shared" si="230"/>
        <v>13.499999999999998</v>
      </c>
    </row>
    <row r="7348" spans="2:5">
      <c r="B7348" s="1115">
        <v>45224</v>
      </c>
      <c r="C7348" s="242">
        <f t="shared" si="229"/>
        <v>10</v>
      </c>
      <c r="D7348" s="242">
        <v>56.5</v>
      </c>
      <c r="E7348" s="845">
        <f t="shared" si="230"/>
        <v>13.611111111111111</v>
      </c>
    </row>
    <row r="7349" spans="2:5">
      <c r="B7349" s="1115">
        <v>45224</v>
      </c>
      <c r="C7349" s="242">
        <f t="shared" si="229"/>
        <v>10</v>
      </c>
      <c r="D7349" s="242">
        <v>56.5</v>
      </c>
      <c r="E7349" s="845">
        <f t="shared" si="230"/>
        <v>13.611111111111111</v>
      </c>
    </row>
    <row r="7350" spans="2:5">
      <c r="B7350" s="1115">
        <v>45224</v>
      </c>
      <c r="C7350" s="242">
        <f t="shared" si="229"/>
        <v>10</v>
      </c>
      <c r="D7350" s="242">
        <v>56.7</v>
      </c>
      <c r="E7350" s="845">
        <f t="shared" si="230"/>
        <v>13.722222222222223</v>
      </c>
    </row>
    <row r="7351" spans="2:5">
      <c r="B7351" s="1115">
        <v>45224</v>
      </c>
      <c r="C7351" s="242">
        <f t="shared" si="229"/>
        <v>10</v>
      </c>
      <c r="D7351" s="242">
        <v>56.5</v>
      </c>
      <c r="E7351" s="845">
        <f t="shared" si="230"/>
        <v>13.611111111111111</v>
      </c>
    </row>
    <row r="7352" spans="2:5">
      <c r="B7352" s="1115">
        <v>45224</v>
      </c>
      <c r="C7352" s="242">
        <f t="shared" si="229"/>
        <v>10</v>
      </c>
      <c r="D7352" s="242">
        <v>56.3</v>
      </c>
      <c r="E7352" s="845">
        <f t="shared" si="230"/>
        <v>13.499999999999998</v>
      </c>
    </row>
    <row r="7353" spans="2:5">
      <c r="B7353" s="1115">
        <v>45225</v>
      </c>
      <c r="C7353" s="242">
        <f t="shared" si="229"/>
        <v>10</v>
      </c>
      <c r="D7353" s="242">
        <v>56.1</v>
      </c>
      <c r="E7353" s="845">
        <f t="shared" si="230"/>
        <v>13.388888888888889</v>
      </c>
    </row>
    <row r="7354" spans="2:5">
      <c r="B7354" s="1115">
        <v>45225</v>
      </c>
      <c r="C7354" s="242">
        <f t="shared" si="229"/>
        <v>10</v>
      </c>
      <c r="D7354" s="242">
        <v>55.9</v>
      </c>
      <c r="E7354" s="845">
        <f t="shared" si="230"/>
        <v>13.277777777777777</v>
      </c>
    </row>
    <row r="7355" spans="2:5">
      <c r="B7355" s="1115">
        <v>45225</v>
      </c>
      <c r="C7355" s="242">
        <f t="shared" si="229"/>
        <v>10</v>
      </c>
      <c r="D7355" s="242">
        <v>55.8</v>
      </c>
      <c r="E7355" s="845">
        <f t="shared" si="230"/>
        <v>13.22222222222222</v>
      </c>
    </row>
    <row r="7356" spans="2:5">
      <c r="B7356" s="1115">
        <v>45225</v>
      </c>
      <c r="C7356" s="242">
        <f t="shared" si="229"/>
        <v>10</v>
      </c>
      <c r="D7356" s="242">
        <v>55.8</v>
      </c>
      <c r="E7356" s="845">
        <f t="shared" si="230"/>
        <v>13.22222222222222</v>
      </c>
    </row>
    <row r="7357" spans="2:5">
      <c r="B7357" s="1115">
        <v>45225</v>
      </c>
      <c r="C7357" s="242">
        <f t="shared" si="229"/>
        <v>10</v>
      </c>
      <c r="D7357" s="242">
        <v>55.8</v>
      </c>
      <c r="E7357" s="845">
        <f t="shared" si="230"/>
        <v>13.22222222222222</v>
      </c>
    </row>
    <row r="7358" spans="2:5">
      <c r="B7358" s="1115">
        <v>45225</v>
      </c>
      <c r="C7358" s="242">
        <f t="shared" si="229"/>
        <v>10</v>
      </c>
      <c r="D7358" s="242">
        <v>55.9</v>
      </c>
      <c r="E7358" s="845">
        <f t="shared" si="230"/>
        <v>13.277777777777777</v>
      </c>
    </row>
    <row r="7359" spans="2:5">
      <c r="B7359" s="1115">
        <v>45225</v>
      </c>
      <c r="C7359" s="242">
        <f t="shared" si="229"/>
        <v>10</v>
      </c>
      <c r="D7359" s="242">
        <v>56.1</v>
      </c>
      <c r="E7359" s="845">
        <f t="shared" si="230"/>
        <v>13.388888888888889</v>
      </c>
    </row>
    <row r="7360" spans="2:5">
      <c r="B7360" s="1115">
        <v>45225</v>
      </c>
      <c r="C7360" s="242">
        <f t="shared" si="229"/>
        <v>10</v>
      </c>
      <c r="D7360" s="242">
        <v>56.3</v>
      </c>
      <c r="E7360" s="845">
        <f t="shared" si="230"/>
        <v>13.499999999999998</v>
      </c>
    </row>
    <row r="7361" spans="2:5">
      <c r="B7361" s="1115">
        <v>45225</v>
      </c>
      <c r="C7361" s="242">
        <f t="shared" si="229"/>
        <v>10</v>
      </c>
      <c r="D7361" s="242">
        <v>56.5</v>
      </c>
      <c r="E7361" s="845">
        <f t="shared" si="230"/>
        <v>13.611111111111111</v>
      </c>
    </row>
    <row r="7362" spans="2:5">
      <c r="B7362" s="1115">
        <v>45225</v>
      </c>
      <c r="C7362" s="242">
        <f t="shared" si="229"/>
        <v>10</v>
      </c>
      <c r="D7362" s="242">
        <v>56.5</v>
      </c>
      <c r="E7362" s="845">
        <f t="shared" si="230"/>
        <v>13.611111111111111</v>
      </c>
    </row>
    <row r="7363" spans="2:5">
      <c r="B7363" s="1115">
        <v>45225</v>
      </c>
      <c r="C7363" s="242">
        <f t="shared" si="229"/>
        <v>10</v>
      </c>
      <c r="D7363" s="242">
        <v>56.7</v>
      </c>
      <c r="E7363" s="845">
        <f t="shared" si="230"/>
        <v>13.722222222222223</v>
      </c>
    </row>
    <row r="7364" spans="2:5">
      <c r="B7364" s="1115">
        <v>45225</v>
      </c>
      <c r="C7364" s="242">
        <f t="shared" si="229"/>
        <v>10</v>
      </c>
      <c r="D7364" s="242">
        <v>56.5</v>
      </c>
      <c r="E7364" s="845">
        <f t="shared" si="230"/>
        <v>13.611111111111111</v>
      </c>
    </row>
    <row r="7365" spans="2:5">
      <c r="B7365" s="1115">
        <v>45225</v>
      </c>
      <c r="C7365" s="242">
        <f t="shared" si="229"/>
        <v>10</v>
      </c>
      <c r="D7365" s="242">
        <v>56.3</v>
      </c>
      <c r="E7365" s="845">
        <f t="shared" si="230"/>
        <v>13.499999999999998</v>
      </c>
    </row>
    <row r="7366" spans="2:5">
      <c r="B7366" s="1115">
        <v>45225</v>
      </c>
      <c r="C7366" s="242">
        <f t="shared" si="229"/>
        <v>10</v>
      </c>
      <c r="D7366" s="242">
        <v>55.8</v>
      </c>
      <c r="E7366" s="845">
        <f t="shared" si="230"/>
        <v>13.22222222222222</v>
      </c>
    </row>
    <row r="7367" spans="2:5">
      <c r="B7367" s="1115">
        <v>45225</v>
      </c>
      <c r="C7367" s="242">
        <f t="shared" si="229"/>
        <v>10</v>
      </c>
      <c r="D7367" s="242">
        <v>55.6</v>
      </c>
      <c r="E7367" s="845">
        <f t="shared" si="230"/>
        <v>13.111111111111111</v>
      </c>
    </row>
    <row r="7368" spans="2:5">
      <c r="B7368" s="1115">
        <v>45225</v>
      </c>
      <c r="C7368" s="242">
        <f t="shared" si="229"/>
        <v>10</v>
      </c>
      <c r="D7368" s="242">
        <v>55.6</v>
      </c>
      <c r="E7368" s="845">
        <f t="shared" si="230"/>
        <v>13.111111111111111</v>
      </c>
    </row>
    <row r="7369" spans="2:5">
      <c r="B7369" s="1115">
        <v>45225</v>
      </c>
      <c r="C7369" s="242">
        <f t="shared" si="229"/>
        <v>10</v>
      </c>
      <c r="D7369" s="242">
        <v>55.8</v>
      </c>
      <c r="E7369" s="845">
        <f t="shared" si="230"/>
        <v>13.22222222222222</v>
      </c>
    </row>
    <row r="7370" spans="2:5">
      <c r="B7370" s="1115">
        <v>45225</v>
      </c>
      <c r="C7370" s="242">
        <f t="shared" ref="C7370:C7433" si="231">MONTH(B7370)</f>
        <v>10</v>
      </c>
      <c r="D7370" s="242">
        <v>55.8</v>
      </c>
      <c r="E7370" s="845">
        <f t="shared" ref="E7370:E7433" si="232">CONVERT(D7370,"F","C")</f>
        <v>13.22222222222222</v>
      </c>
    </row>
    <row r="7371" spans="2:5">
      <c r="B7371" s="1115">
        <v>45225</v>
      </c>
      <c r="C7371" s="242">
        <f t="shared" si="231"/>
        <v>10</v>
      </c>
      <c r="D7371" s="242">
        <v>56.1</v>
      </c>
      <c r="E7371" s="845">
        <f t="shared" si="232"/>
        <v>13.388888888888889</v>
      </c>
    </row>
    <row r="7372" spans="2:5">
      <c r="B7372" s="1115">
        <v>45225</v>
      </c>
      <c r="C7372" s="242">
        <f t="shared" si="231"/>
        <v>10</v>
      </c>
      <c r="D7372" s="242">
        <v>56.5</v>
      </c>
      <c r="E7372" s="845">
        <f t="shared" si="232"/>
        <v>13.611111111111111</v>
      </c>
    </row>
    <row r="7373" spans="2:5">
      <c r="B7373" s="1115">
        <v>45225</v>
      </c>
      <c r="C7373" s="242">
        <f t="shared" si="231"/>
        <v>10</v>
      </c>
      <c r="D7373" s="242">
        <v>56.7</v>
      </c>
      <c r="E7373" s="845">
        <f t="shared" si="232"/>
        <v>13.722222222222223</v>
      </c>
    </row>
    <row r="7374" spans="2:5">
      <c r="B7374" s="1115">
        <v>45225</v>
      </c>
      <c r="C7374" s="242">
        <f t="shared" si="231"/>
        <v>10</v>
      </c>
      <c r="D7374" s="242">
        <v>56.8</v>
      </c>
      <c r="E7374" s="845">
        <f t="shared" si="232"/>
        <v>13.777777777777775</v>
      </c>
    </row>
    <row r="7375" spans="2:5">
      <c r="B7375" s="1115">
        <v>45225</v>
      </c>
      <c r="C7375" s="242">
        <f t="shared" si="231"/>
        <v>10</v>
      </c>
      <c r="D7375" s="242">
        <v>56.8</v>
      </c>
      <c r="E7375" s="845">
        <f t="shared" si="232"/>
        <v>13.777777777777775</v>
      </c>
    </row>
    <row r="7376" spans="2:5">
      <c r="B7376" s="1115">
        <v>45225</v>
      </c>
      <c r="C7376" s="242">
        <f t="shared" si="231"/>
        <v>10</v>
      </c>
      <c r="D7376" s="242">
        <v>56.8</v>
      </c>
      <c r="E7376" s="845">
        <f t="shared" si="232"/>
        <v>13.777777777777775</v>
      </c>
    </row>
    <row r="7377" spans="2:5">
      <c r="B7377" s="1115">
        <v>45226</v>
      </c>
      <c r="C7377" s="242">
        <f t="shared" si="231"/>
        <v>10</v>
      </c>
      <c r="D7377" s="242">
        <v>56.5</v>
      </c>
      <c r="E7377" s="845">
        <f t="shared" si="232"/>
        <v>13.611111111111111</v>
      </c>
    </row>
    <row r="7378" spans="2:5">
      <c r="B7378" s="1115">
        <v>45226</v>
      </c>
      <c r="C7378" s="242">
        <f t="shared" si="231"/>
        <v>10</v>
      </c>
      <c r="D7378" s="242">
        <v>56.1</v>
      </c>
      <c r="E7378" s="845">
        <f t="shared" si="232"/>
        <v>13.388888888888889</v>
      </c>
    </row>
    <row r="7379" spans="2:5">
      <c r="B7379" s="1115">
        <v>45226</v>
      </c>
      <c r="C7379" s="242">
        <f t="shared" si="231"/>
        <v>10</v>
      </c>
      <c r="D7379" s="242">
        <v>55.9</v>
      </c>
      <c r="E7379" s="845">
        <f t="shared" si="232"/>
        <v>13.277777777777777</v>
      </c>
    </row>
    <row r="7380" spans="2:5">
      <c r="B7380" s="1115">
        <v>45226</v>
      </c>
      <c r="C7380" s="242">
        <f t="shared" si="231"/>
        <v>10</v>
      </c>
      <c r="D7380" s="242">
        <v>55.8</v>
      </c>
      <c r="E7380" s="845">
        <f t="shared" si="232"/>
        <v>13.22222222222222</v>
      </c>
    </row>
    <row r="7381" spans="2:5">
      <c r="B7381" s="1115">
        <v>45226</v>
      </c>
      <c r="C7381" s="242">
        <f t="shared" si="231"/>
        <v>10</v>
      </c>
      <c r="D7381" s="242">
        <v>55.8</v>
      </c>
      <c r="E7381" s="845">
        <f t="shared" si="232"/>
        <v>13.22222222222222</v>
      </c>
    </row>
    <row r="7382" spans="2:5">
      <c r="B7382" s="1115">
        <v>45226</v>
      </c>
      <c r="C7382" s="242">
        <f t="shared" si="231"/>
        <v>10</v>
      </c>
      <c r="D7382" s="242">
        <v>55.8</v>
      </c>
      <c r="E7382" s="845">
        <f t="shared" si="232"/>
        <v>13.22222222222222</v>
      </c>
    </row>
    <row r="7383" spans="2:5">
      <c r="B7383" s="1115">
        <v>45226</v>
      </c>
      <c r="C7383" s="242">
        <f t="shared" si="231"/>
        <v>10</v>
      </c>
      <c r="D7383" s="242">
        <v>55.9</v>
      </c>
      <c r="E7383" s="845">
        <f t="shared" si="232"/>
        <v>13.277777777777777</v>
      </c>
    </row>
    <row r="7384" spans="2:5">
      <c r="B7384" s="1115">
        <v>45226</v>
      </c>
      <c r="C7384" s="242">
        <f t="shared" si="231"/>
        <v>10</v>
      </c>
      <c r="D7384" s="242">
        <v>56.1</v>
      </c>
      <c r="E7384" s="845">
        <f t="shared" si="232"/>
        <v>13.388888888888889</v>
      </c>
    </row>
    <row r="7385" spans="2:5">
      <c r="B7385" s="1115">
        <v>45226</v>
      </c>
      <c r="C7385" s="242">
        <f t="shared" si="231"/>
        <v>10</v>
      </c>
      <c r="D7385" s="242">
        <v>56.5</v>
      </c>
      <c r="E7385" s="845">
        <f t="shared" si="232"/>
        <v>13.611111111111111</v>
      </c>
    </row>
    <row r="7386" spans="2:5">
      <c r="B7386" s="1115">
        <v>45226</v>
      </c>
      <c r="C7386" s="242">
        <f t="shared" si="231"/>
        <v>10</v>
      </c>
      <c r="D7386" s="242">
        <v>56.7</v>
      </c>
      <c r="E7386" s="845">
        <f t="shared" si="232"/>
        <v>13.722222222222223</v>
      </c>
    </row>
    <row r="7387" spans="2:5">
      <c r="B7387" s="1115">
        <v>45226</v>
      </c>
      <c r="C7387" s="242">
        <f t="shared" si="231"/>
        <v>10</v>
      </c>
      <c r="D7387" s="242">
        <v>56.8</v>
      </c>
      <c r="E7387" s="845">
        <f t="shared" si="232"/>
        <v>13.777777777777775</v>
      </c>
    </row>
    <row r="7388" spans="2:5">
      <c r="B7388" s="1115">
        <v>45226</v>
      </c>
      <c r="C7388" s="242">
        <f t="shared" si="231"/>
        <v>10</v>
      </c>
      <c r="D7388" s="242">
        <v>56.8</v>
      </c>
      <c r="E7388" s="845">
        <f t="shared" si="232"/>
        <v>13.777777777777775</v>
      </c>
    </row>
    <row r="7389" spans="2:5">
      <c r="B7389" s="1115">
        <v>45226</v>
      </c>
      <c r="C7389" s="242">
        <f t="shared" si="231"/>
        <v>10</v>
      </c>
      <c r="D7389" s="242">
        <v>56.5</v>
      </c>
      <c r="E7389" s="845">
        <f t="shared" si="232"/>
        <v>13.611111111111111</v>
      </c>
    </row>
    <row r="7390" spans="2:5">
      <c r="B7390" s="1115">
        <v>45226</v>
      </c>
      <c r="C7390" s="242">
        <f t="shared" si="231"/>
        <v>10</v>
      </c>
      <c r="D7390" s="242">
        <v>56.1</v>
      </c>
      <c r="E7390" s="845">
        <f t="shared" si="232"/>
        <v>13.388888888888889</v>
      </c>
    </row>
    <row r="7391" spans="2:5">
      <c r="B7391" s="1115">
        <v>45226</v>
      </c>
      <c r="C7391" s="242">
        <f t="shared" si="231"/>
        <v>10</v>
      </c>
      <c r="D7391" s="242">
        <v>55.9</v>
      </c>
      <c r="E7391" s="845">
        <f t="shared" si="232"/>
        <v>13.277777777777777</v>
      </c>
    </row>
    <row r="7392" spans="2:5">
      <c r="B7392" s="1115">
        <v>45226</v>
      </c>
      <c r="C7392" s="242">
        <f t="shared" si="231"/>
        <v>10</v>
      </c>
      <c r="D7392" s="242">
        <v>55.8</v>
      </c>
      <c r="E7392" s="845">
        <f t="shared" si="232"/>
        <v>13.22222222222222</v>
      </c>
    </row>
    <row r="7393" spans="2:5">
      <c r="B7393" s="1115">
        <v>45226</v>
      </c>
      <c r="C7393" s="242">
        <f t="shared" si="231"/>
        <v>10</v>
      </c>
      <c r="D7393" s="242">
        <v>55.9</v>
      </c>
      <c r="E7393" s="845">
        <f t="shared" si="232"/>
        <v>13.277777777777777</v>
      </c>
    </row>
    <row r="7394" spans="2:5">
      <c r="B7394" s="1115">
        <v>45226</v>
      </c>
      <c r="C7394" s="242">
        <f t="shared" si="231"/>
        <v>10</v>
      </c>
      <c r="D7394" s="242">
        <v>56.1</v>
      </c>
      <c r="E7394" s="845">
        <f t="shared" si="232"/>
        <v>13.388888888888889</v>
      </c>
    </row>
    <row r="7395" spans="2:5">
      <c r="B7395" s="1115">
        <v>45226</v>
      </c>
      <c r="C7395" s="242">
        <f t="shared" si="231"/>
        <v>10</v>
      </c>
      <c r="D7395" s="242">
        <v>56.1</v>
      </c>
      <c r="E7395" s="845">
        <f t="shared" si="232"/>
        <v>13.388888888888889</v>
      </c>
    </row>
    <row r="7396" spans="2:5">
      <c r="B7396" s="1115">
        <v>45226</v>
      </c>
      <c r="C7396" s="242">
        <f t="shared" si="231"/>
        <v>10</v>
      </c>
      <c r="D7396" s="242">
        <v>56.5</v>
      </c>
      <c r="E7396" s="845">
        <f t="shared" si="232"/>
        <v>13.611111111111111</v>
      </c>
    </row>
    <row r="7397" spans="2:5">
      <c r="B7397" s="1115">
        <v>45226</v>
      </c>
      <c r="C7397" s="242">
        <f t="shared" si="231"/>
        <v>10</v>
      </c>
      <c r="D7397" s="242">
        <v>56.8</v>
      </c>
      <c r="E7397" s="845">
        <f t="shared" si="232"/>
        <v>13.777777777777775</v>
      </c>
    </row>
    <row r="7398" spans="2:5">
      <c r="B7398" s="1115">
        <v>45226</v>
      </c>
      <c r="C7398" s="242">
        <f t="shared" si="231"/>
        <v>10</v>
      </c>
      <c r="D7398" s="242" t="s">
        <v>1848</v>
      </c>
      <c r="E7398" s="845">
        <f t="shared" si="232"/>
        <v>13.888888888888889</v>
      </c>
    </row>
    <row r="7399" spans="2:5">
      <c r="B7399" s="1115">
        <v>45226</v>
      </c>
      <c r="C7399" s="242">
        <f t="shared" si="231"/>
        <v>10</v>
      </c>
      <c r="D7399" s="242">
        <v>57.4</v>
      </c>
      <c r="E7399" s="845">
        <f t="shared" si="232"/>
        <v>14.111111111111111</v>
      </c>
    </row>
    <row r="7400" spans="2:5">
      <c r="B7400" s="1115">
        <v>45226</v>
      </c>
      <c r="C7400" s="242">
        <f t="shared" si="231"/>
        <v>10</v>
      </c>
      <c r="D7400" s="242">
        <v>57.6</v>
      </c>
      <c r="E7400" s="845">
        <f t="shared" si="232"/>
        <v>14.222222222222223</v>
      </c>
    </row>
    <row r="7401" spans="2:5">
      <c r="B7401" s="1115">
        <v>45227</v>
      </c>
      <c r="C7401" s="242">
        <f t="shared" si="231"/>
        <v>10</v>
      </c>
      <c r="D7401" s="242">
        <v>57.4</v>
      </c>
      <c r="E7401" s="845">
        <f t="shared" si="232"/>
        <v>14.111111111111111</v>
      </c>
    </row>
    <row r="7402" spans="2:5">
      <c r="B7402" s="1115">
        <v>45227</v>
      </c>
      <c r="C7402" s="242">
        <f t="shared" si="231"/>
        <v>10</v>
      </c>
      <c r="D7402" s="242" t="s">
        <v>1848</v>
      </c>
      <c r="E7402" s="845">
        <f t="shared" si="232"/>
        <v>13.888888888888889</v>
      </c>
    </row>
    <row r="7403" spans="2:5">
      <c r="B7403" s="1115">
        <v>45227</v>
      </c>
      <c r="C7403" s="242">
        <f t="shared" si="231"/>
        <v>10</v>
      </c>
      <c r="D7403" s="242">
        <v>56.3</v>
      </c>
      <c r="E7403" s="845">
        <f t="shared" si="232"/>
        <v>13.499999999999998</v>
      </c>
    </row>
    <row r="7404" spans="2:5">
      <c r="B7404" s="1115">
        <v>45227</v>
      </c>
      <c r="C7404" s="242">
        <f t="shared" si="231"/>
        <v>10</v>
      </c>
      <c r="D7404" s="242">
        <v>55.9</v>
      </c>
      <c r="E7404" s="845">
        <f t="shared" si="232"/>
        <v>13.277777777777777</v>
      </c>
    </row>
    <row r="7405" spans="2:5">
      <c r="B7405" s="1115">
        <v>45227</v>
      </c>
      <c r="C7405" s="242">
        <f t="shared" si="231"/>
        <v>10</v>
      </c>
      <c r="D7405" s="242">
        <v>55.9</v>
      </c>
      <c r="E7405" s="845">
        <f t="shared" si="232"/>
        <v>13.277777777777777</v>
      </c>
    </row>
    <row r="7406" spans="2:5">
      <c r="B7406" s="1115">
        <v>45227</v>
      </c>
      <c r="C7406" s="242">
        <f t="shared" si="231"/>
        <v>10</v>
      </c>
      <c r="D7406" s="242">
        <v>55.9</v>
      </c>
      <c r="E7406" s="845">
        <f t="shared" si="232"/>
        <v>13.277777777777777</v>
      </c>
    </row>
    <row r="7407" spans="2:5">
      <c r="B7407" s="1115">
        <v>45227</v>
      </c>
      <c r="C7407" s="242">
        <f t="shared" si="231"/>
        <v>10</v>
      </c>
      <c r="D7407" s="242">
        <v>56.1</v>
      </c>
      <c r="E7407" s="845">
        <f t="shared" si="232"/>
        <v>13.388888888888889</v>
      </c>
    </row>
    <row r="7408" spans="2:5">
      <c r="B7408" s="1115">
        <v>45227</v>
      </c>
      <c r="C7408" s="242">
        <f t="shared" si="231"/>
        <v>10</v>
      </c>
      <c r="D7408" s="242">
        <v>56.1</v>
      </c>
      <c r="E7408" s="845">
        <f t="shared" si="232"/>
        <v>13.388888888888889</v>
      </c>
    </row>
    <row r="7409" spans="2:5">
      <c r="B7409" s="1115">
        <v>45227</v>
      </c>
      <c r="C7409" s="242">
        <f t="shared" si="231"/>
        <v>10</v>
      </c>
      <c r="D7409" s="242">
        <v>56.5</v>
      </c>
      <c r="E7409" s="845">
        <f t="shared" si="232"/>
        <v>13.611111111111111</v>
      </c>
    </row>
    <row r="7410" spans="2:5">
      <c r="B7410" s="1115">
        <v>45227</v>
      </c>
      <c r="C7410" s="242">
        <f t="shared" si="231"/>
        <v>10</v>
      </c>
      <c r="D7410" s="242">
        <v>56.8</v>
      </c>
      <c r="E7410" s="845">
        <f t="shared" si="232"/>
        <v>13.777777777777775</v>
      </c>
    </row>
    <row r="7411" spans="2:5">
      <c r="B7411" s="1115">
        <v>45227</v>
      </c>
      <c r="C7411" s="242">
        <f t="shared" si="231"/>
        <v>10</v>
      </c>
      <c r="D7411" s="242" t="s">
        <v>1848</v>
      </c>
      <c r="E7411" s="845">
        <f t="shared" si="232"/>
        <v>13.888888888888889</v>
      </c>
    </row>
    <row r="7412" spans="2:5">
      <c r="B7412" s="1115">
        <v>45227</v>
      </c>
      <c r="C7412" s="242">
        <f t="shared" si="231"/>
        <v>10</v>
      </c>
      <c r="D7412" s="242">
        <v>57.2</v>
      </c>
      <c r="E7412" s="845">
        <f t="shared" si="232"/>
        <v>14.000000000000002</v>
      </c>
    </row>
    <row r="7413" spans="2:5">
      <c r="B7413" s="1115">
        <v>45227</v>
      </c>
      <c r="C7413" s="242">
        <f t="shared" si="231"/>
        <v>10</v>
      </c>
      <c r="D7413" s="242">
        <v>57.2</v>
      </c>
      <c r="E7413" s="845">
        <f t="shared" si="232"/>
        <v>14.000000000000002</v>
      </c>
    </row>
    <row r="7414" spans="2:5">
      <c r="B7414" s="1115">
        <v>45227</v>
      </c>
      <c r="C7414" s="242">
        <f t="shared" si="231"/>
        <v>10</v>
      </c>
      <c r="D7414" s="242">
        <v>56.8</v>
      </c>
      <c r="E7414" s="845">
        <f t="shared" si="232"/>
        <v>13.777777777777775</v>
      </c>
    </row>
    <row r="7415" spans="2:5">
      <c r="B7415" s="1115">
        <v>45227</v>
      </c>
      <c r="C7415" s="242">
        <f t="shared" si="231"/>
        <v>10</v>
      </c>
      <c r="D7415" s="242">
        <v>56.3</v>
      </c>
      <c r="E7415" s="845">
        <f t="shared" si="232"/>
        <v>13.499999999999998</v>
      </c>
    </row>
    <row r="7416" spans="2:5">
      <c r="B7416" s="1115">
        <v>45227</v>
      </c>
      <c r="C7416" s="242">
        <f t="shared" si="231"/>
        <v>10</v>
      </c>
      <c r="D7416" s="242">
        <v>55.9</v>
      </c>
      <c r="E7416" s="845">
        <f t="shared" si="232"/>
        <v>13.277777777777777</v>
      </c>
    </row>
    <row r="7417" spans="2:5">
      <c r="B7417" s="1115">
        <v>45227</v>
      </c>
      <c r="C7417" s="242">
        <f t="shared" si="231"/>
        <v>10</v>
      </c>
      <c r="D7417" s="242">
        <v>55.9</v>
      </c>
      <c r="E7417" s="845">
        <f t="shared" si="232"/>
        <v>13.277777777777777</v>
      </c>
    </row>
    <row r="7418" spans="2:5">
      <c r="B7418" s="1115">
        <v>45227</v>
      </c>
      <c r="C7418" s="242">
        <f t="shared" si="231"/>
        <v>10</v>
      </c>
      <c r="D7418" s="242">
        <v>55.9</v>
      </c>
      <c r="E7418" s="845">
        <f t="shared" si="232"/>
        <v>13.277777777777777</v>
      </c>
    </row>
    <row r="7419" spans="2:5">
      <c r="B7419" s="1115">
        <v>45227</v>
      </c>
      <c r="C7419" s="242">
        <f t="shared" si="231"/>
        <v>10</v>
      </c>
      <c r="D7419" s="242">
        <v>56.3</v>
      </c>
      <c r="E7419" s="845">
        <f t="shared" si="232"/>
        <v>13.499999999999998</v>
      </c>
    </row>
    <row r="7420" spans="2:5">
      <c r="B7420" s="1115">
        <v>45227</v>
      </c>
      <c r="C7420" s="242">
        <f t="shared" si="231"/>
        <v>10</v>
      </c>
      <c r="D7420" s="242">
        <v>56.3</v>
      </c>
      <c r="E7420" s="845">
        <f t="shared" si="232"/>
        <v>13.499999999999998</v>
      </c>
    </row>
    <row r="7421" spans="2:5">
      <c r="B7421" s="1115">
        <v>45227</v>
      </c>
      <c r="C7421" s="242">
        <f t="shared" si="231"/>
        <v>10</v>
      </c>
      <c r="D7421" s="242">
        <v>56.8</v>
      </c>
      <c r="E7421" s="845">
        <f t="shared" si="232"/>
        <v>13.777777777777775</v>
      </c>
    </row>
    <row r="7422" spans="2:5">
      <c r="B7422" s="1115">
        <v>45227</v>
      </c>
      <c r="C7422" s="242">
        <f t="shared" si="231"/>
        <v>10</v>
      </c>
      <c r="D7422" s="242">
        <v>57.4</v>
      </c>
      <c r="E7422" s="845">
        <f t="shared" si="232"/>
        <v>14.111111111111111</v>
      </c>
    </row>
    <row r="7423" spans="2:5">
      <c r="B7423" s="1115">
        <v>45227</v>
      </c>
      <c r="C7423" s="242">
        <f t="shared" si="231"/>
        <v>10</v>
      </c>
      <c r="D7423" s="242">
        <v>57.6</v>
      </c>
      <c r="E7423" s="845">
        <f t="shared" si="232"/>
        <v>14.222222222222223</v>
      </c>
    </row>
    <row r="7424" spans="2:5">
      <c r="B7424" s="1115">
        <v>45227</v>
      </c>
      <c r="C7424" s="242">
        <f t="shared" si="231"/>
        <v>10</v>
      </c>
      <c r="D7424" s="242">
        <v>57.9</v>
      </c>
      <c r="E7424" s="845">
        <f t="shared" si="232"/>
        <v>14.388888888888888</v>
      </c>
    </row>
    <row r="7425" spans="2:5">
      <c r="B7425" s="1115">
        <v>45228</v>
      </c>
      <c r="C7425" s="242">
        <f t="shared" si="231"/>
        <v>10</v>
      </c>
      <c r="D7425" s="242">
        <v>58.1</v>
      </c>
      <c r="E7425" s="845">
        <f t="shared" si="232"/>
        <v>14.5</v>
      </c>
    </row>
    <row r="7426" spans="2:5">
      <c r="B7426" s="1115">
        <v>45228</v>
      </c>
      <c r="C7426" s="242">
        <f t="shared" si="231"/>
        <v>10</v>
      </c>
      <c r="D7426" s="242">
        <v>57.9</v>
      </c>
      <c r="E7426" s="845">
        <f t="shared" si="232"/>
        <v>14.388888888888888</v>
      </c>
    </row>
    <row r="7427" spans="2:5">
      <c r="B7427" s="1115">
        <v>45228</v>
      </c>
      <c r="C7427" s="242">
        <f t="shared" si="231"/>
        <v>10</v>
      </c>
      <c r="D7427" s="242">
        <v>57.4</v>
      </c>
      <c r="E7427" s="845">
        <f t="shared" si="232"/>
        <v>14.111111111111111</v>
      </c>
    </row>
    <row r="7428" spans="2:5">
      <c r="B7428" s="1115">
        <v>45228</v>
      </c>
      <c r="C7428" s="242">
        <f t="shared" si="231"/>
        <v>10</v>
      </c>
      <c r="D7428" s="242">
        <v>56.5</v>
      </c>
      <c r="E7428" s="845">
        <f t="shared" si="232"/>
        <v>13.611111111111111</v>
      </c>
    </row>
    <row r="7429" spans="2:5">
      <c r="B7429" s="1115">
        <v>45228</v>
      </c>
      <c r="C7429" s="242">
        <f t="shared" si="231"/>
        <v>10</v>
      </c>
      <c r="D7429" s="242">
        <v>56.1</v>
      </c>
      <c r="E7429" s="845">
        <f t="shared" si="232"/>
        <v>13.388888888888889</v>
      </c>
    </row>
    <row r="7430" spans="2:5">
      <c r="B7430" s="1115">
        <v>45228</v>
      </c>
      <c r="C7430" s="242">
        <f t="shared" si="231"/>
        <v>10</v>
      </c>
      <c r="D7430" s="242">
        <v>55.9</v>
      </c>
      <c r="E7430" s="845">
        <f t="shared" si="232"/>
        <v>13.277777777777777</v>
      </c>
    </row>
    <row r="7431" spans="2:5">
      <c r="B7431" s="1115">
        <v>45228</v>
      </c>
      <c r="C7431" s="242">
        <f t="shared" si="231"/>
        <v>10</v>
      </c>
      <c r="D7431" s="242">
        <v>55.8</v>
      </c>
      <c r="E7431" s="845">
        <f t="shared" si="232"/>
        <v>13.22222222222222</v>
      </c>
    </row>
    <row r="7432" spans="2:5">
      <c r="B7432" s="1115">
        <v>45228</v>
      </c>
      <c r="C7432" s="242">
        <f t="shared" si="231"/>
        <v>10</v>
      </c>
      <c r="D7432" s="242">
        <v>55.9</v>
      </c>
      <c r="E7432" s="845">
        <f t="shared" si="232"/>
        <v>13.277777777777777</v>
      </c>
    </row>
    <row r="7433" spans="2:5">
      <c r="B7433" s="1115">
        <v>45228</v>
      </c>
      <c r="C7433" s="242">
        <f t="shared" si="231"/>
        <v>10</v>
      </c>
      <c r="D7433" s="242">
        <v>56.3</v>
      </c>
      <c r="E7433" s="845">
        <f t="shared" si="232"/>
        <v>13.499999999999998</v>
      </c>
    </row>
    <row r="7434" spans="2:5">
      <c r="B7434" s="1115">
        <v>45228</v>
      </c>
      <c r="C7434" s="242">
        <f t="shared" ref="C7434:C7497" si="233">MONTH(B7434)</f>
        <v>10</v>
      </c>
      <c r="D7434" s="242">
        <v>56.8</v>
      </c>
      <c r="E7434" s="845">
        <f t="shared" ref="E7434:E7497" si="234">CONVERT(D7434,"F","C")</f>
        <v>13.777777777777775</v>
      </c>
    </row>
    <row r="7435" spans="2:5">
      <c r="B7435" s="1115">
        <v>45228</v>
      </c>
      <c r="C7435" s="242">
        <f t="shared" si="233"/>
        <v>10</v>
      </c>
      <c r="D7435" s="242">
        <v>57.2</v>
      </c>
      <c r="E7435" s="845">
        <f t="shared" si="234"/>
        <v>14.000000000000002</v>
      </c>
    </row>
    <row r="7436" spans="2:5">
      <c r="B7436" s="1115">
        <v>45228</v>
      </c>
      <c r="C7436" s="242">
        <f t="shared" si="233"/>
        <v>10</v>
      </c>
      <c r="D7436" s="242">
        <v>57.4</v>
      </c>
      <c r="E7436" s="845">
        <f t="shared" si="234"/>
        <v>14.111111111111111</v>
      </c>
    </row>
    <row r="7437" spans="2:5">
      <c r="B7437" s="1115">
        <v>45228</v>
      </c>
      <c r="C7437" s="242">
        <f t="shared" si="233"/>
        <v>10</v>
      </c>
      <c r="D7437" s="242">
        <v>57.6</v>
      </c>
      <c r="E7437" s="845">
        <f t="shared" si="234"/>
        <v>14.222222222222223</v>
      </c>
    </row>
    <row r="7438" spans="2:5">
      <c r="B7438" s="1115">
        <v>45228</v>
      </c>
      <c r="C7438" s="242">
        <f t="shared" si="233"/>
        <v>10</v>
      </c>
      <c r="D7438" s="242">
        <v>57.4</v>
      </c>
      <c r="E7438" s="845">
        <f t="shared" si="234"/>
        <v>14.111111111111111</v>
      </c>
    </row>
    <row r="7439" spans="2:5">
      <c r="B7439" s="1115">
        <v>45228</v>
      </c>
      <c r="C7439" s="242">
        <f t="shared" si="233"/>
        <v>10</v>
      </c>
      <c r="D7439" s="242">
        <v>56.8</v>
      </c>
      <c r="E7439" s="845">
        <f t="shared" si="234"/>
        <v>13.777777777777775</v>
      </c>
    </row>
    <row r="7440" spans="2:5">
      <c r="B7440" s="1115">
        <v>45228</v>
      </c>
      <c r="C7440" s="242">
        <f t="shared" si="233"/>
        <v>10</v>
      </c>
      <c r="D7440" s="242">
        <v>55.9</v>
      </c>
      <c r="E7440" s="845">
        <f t="shared" si="234"/>
        <v>13.277777777777777</v>
      </c>
    </row>
    <row r="7441" spans="2:5">
      <c r="B7441" s="1115">
        <v>45228</v>
      </c>
      <c r="C7441" s="242">
        <f t="shared" si="233"/>
        <v>10</v>
      </c>
      <c r="D7441" s="242">
        <v>55.6</v>
      </c>
      <c r="E7441" s="845">
        <f t="shared" si="234"/>
        <v>13.111111111111111</v>
      </c>
    </row>
    <row r="7442" spans="2:5">
      <c r="B7442" s="1115">
        <v>45228</v>
      </c>
      <c r="C7442" s="242">
        <f t="shared" si="233"/>
        <v>10</v>
      </c>
      <c r="D7442" s="242">
        <v>55.6</v>
      </c>
      <c r="E7442" s="845">
        <f t="shared" si="234"/>
        <v>13.111111111111111</v>
      </c>
    </row>
    <row r="7443" spans="2:5">
      <c r="B7443" s="1115">
        <v>45228</v>
      </c>
      <c r="C7443" s="242">
        <f t="shared" si="233"/>
        <v>10</v>
      </c>
      <c r="D7443" s="242">
        <v>55.6</v>
      </c>
      <c r="E7443" s="845">
        <f t="shared" si="234"/>
        <v>13.111111111111111</v>
      </c>
    </row>
    <row r="7444" spans="2:5">
      <c r="B7444" s="1115">
        <v>45228</v>
      </c>
      <c r="C7444" s="242">
        <f t="shared" si="233"/>
        <v>10</v>
      </c>
      <c r="D7444" s="242">
        <v>55.6</v>
      </c>
      <c r="E7444" s="845">
        <f t="shared" si="234"/>
        <v>13.111111111111111</v>
      </c>
    </row>
    <row r="7445" spans="2:5">
      <c r="B7445" s="1115">
        <v>45228</v>
      </c>
      <c r="C7445" s="242">
        <f t="shared" si="233"/>
        <v>10</v>
      </c>
      <c r="D7445" s="242">
        <v>55.8</v>
      </c>
      <c r="E7445" s="845">
        <f t="shared" si="234"/>
        <v>13.22222222222222</v>
      </c>
    </row>
    <row r="7446" spans="2:5">
      <c r="B7446" s="1115">
        <v>45228</v>
      </c>
      <c r="C7446" s="242">
        <f t="shared" si="233"/>
        <v>10</v>
      </c>
      <c r="D7446" s="242">
        <v>56.1</v>
      </c>
      <c r="E7446" s="845">
        <f t="shared" si="234"/>
        <v>13.388888888888889</v>
      </c>
    </row>
    <row r="7447" spans="2:5">
      <c r="B7447" s="1115">
        <v>45228</v>
      </c>
      <c r="C7447" s="242">
        <f t="shared" si="233"/>
        <v>10</v>
      </c>
      <c r="D7447" s="242">
        <v>56.5</v>
      </c>
      <c r="E7447" s="845">
        <f t="shared" si="234"/>
        <v>13.611111111111111</v>
      </c>
    </row>
    <row r="7448" spans="2:5">
      <c r="B7448" s="1115">
        <v>45228</v>
      </c>
      <c r="C7448" s="242">
        <f t="shared" si="233"/>
        <v>10</v>
      </c>
      <c r="D7448" s="242">
        <v>56.8</v>
      </c>
      <c r="E7448" s="845">
        <f t="shared" si="234"/>
        <v>13.777777777777775</v>
      </c>
    </row>
    <row r="7449" spans="2:5">
      <c r="B7449" s="1115">
        <v>45229</v>
      </c>
      <c r="C7449" s="242">
        <f t="shared" si="233"/>
        <v>10</v>
      </c>
      <c r="D7449" s="242" t="s">
        <v>1848</v>
      </c>
      <c r="E7449" s="845">
        <f t="shared" si="234"/>
        <v>13.888888888888889</v>
      </c>
    </row>
    <row r="7450" spans="2:5">
      <c r="B7450" s="1115">
        <v>45229</v>
      </c>
      <c r="C7450" s="242">
        <f t="shared" si="233"/>
        <v>10</v>
      </c>
      <c r="D7450" s="242">
        <v>57.2</v>
      </c>
      <c r="E7450" s="845">
        <f t="shared" si="234"/>
        <v>14.000000000000002</v>
      </c>
    </row>
    <row r="7451" spans="2:5">
      <c r="B7451" s="1115">
        <v>45229</v>
      </c>
      <c r="C7451" s="242">
        <f t="shared" si="233"/>
        <v>10</v>
      </c>
      <c r="D7451" s="242" t="s">
        <v>1848</v>
      </c>
      <c r="E7451" s="845">
        <f t="shared" si="234"/>
        <v>13.888888888888889</v>
      </c>
    </row>
    <row r="7452" spans="2:5">
      <c r="B7452" s="1115">
        <v>45229</v>
      </c>
      <c r="C7452" s="242">
        <f t="shared" si="233"/>
        <v>10</v>
      </c>
      <c r="D7452" s="242">
        <v>56.5</v>
      </c>
      <c r="E7452" s="845">
        <f t="shared" si="234"/>
        <v>13.611111111111111</v>
      </c>
    </row>
    <row r="7453" spans="2:5">
      <c r="B7453" s="1115">
        <v>45229</v>
      </c>
      <c r="C7453" s="242">
        <f t="shared" si="233"/>
        <v>10</v>
      </c>
      <c r="D7453" s="242">
        <v>56.1</v>
      </c>
      <c r="E7453" s="845">
        <f t="shared" si="234"/>
        <v>13.388888888888889</v>
      </c>
    </row>
    <row r="7454" spans="2:5">
      <c r="B7454" s="1115">
        <v>45229</v>
      </c>
      <c r="C7454" s="242">
        <f t="shared" si="233"/>
        <v>10</v>
      </c>
      <c r="D7454" s="242">
        <v>55.8</v>
      </c>
      <c r="E7454" s="845">
        <f t="shared" si="234"/>
        <v>13.22222222222222</v>
      </c>
    </row>
    <row r="7455" spans="2:5">
      <c r="B7455" s="1115">
        <v>45229</v>
      </c>
      <c r="C7455" s="242">
        <f t="shared" si="233"/>
        <v>10</v>
      </c>
      <c r="D7455" s="242">
        <v>55.8</v>
      </c>
      <c r="E7455" s="845">
        <f t="shared" si="234"/>
        <v>13.22222222222222</v>
      </c>
    </row>
    <row r="7456" spans="2:5">
      <c r="B7456" s="1115">
        <v>45229</v>
      </c>
      <c r="C7456" s="242">
        <f t="shared" si="233"/>
        <v>10</v>
      </c>
      <c r="D7456" s="242">
        <v>55.8</v>
      </c>
      <c r="E7456" s="845">
        <f t="shared" si="234"/>
        <v>13.22222222222222</v>
      </c>
    </row>
    <row r="7457" spans="2:5">
      <c r="B7457" s="1115">
        <v>45229</v>
      </c>
      <c r="C7457" s="242">
        <f t="shared" si="233"/>
        <v>10</v>
      </c>
      <c r="D7457" s="242">
        <v>55.8</v>
      </c>
      <c r="E7457" s="845">
        <f t="shared" si="234"/>
        <v>13.22222222222222</v>
      </c>
    </row>
    <row r="7458" spans="2:5">
      <c r="B7458" s="1115">
        <v>45229</v>
      </c>
      <c r="C7458" s="242">
        <f t="shared" si="233"/>
        <v>10</v>
      </c>
      <c r="D7458" s="242">
        <v>55.9</v>
      </c>
      <c r="E7458" s="845">
        <f t="shared" si="234"/>
        <v>13.277777777777777</v>
      </c>
    </row>
    <row r="7459" spans="2:5">
      <c r="B7459" s="1115">
        <v>45229</v>
      </c>
      <c r="C7459" s="242">
        <f t="shared" si="233"/>
        <v>10</v>
      </c>
      <c r="D7459" s="242">
        <v>56.1</v>
      </c>
      <c r="E7459" s="845">
        <f t="shared" si="234"/>
        <v>13.388888888888889</v>
      </c>
    </row>
    <row r="7460" spans="2:5">
      <c r="B7460" s="1115">
        <v>45229</v>
      </c>
      <c r="C7460" s="242">
        <f t="shared" si="233"/>
        <v>10</v>
      </c>
      <c r="D7460" s="242">
        <v>56.3</v>
      </c>
      <c r="E7460" s="845">
        <f t="shared" si="234"/>
        <v>13.499999999999998</v>
      </c>
    </row>
    <row r="7461" spans="2:5">
      <c r="B7461" s="1115">
        <v>45229</v>
      </c>
      <c r="C7461" s="242">
        <f t="shared" si="233"/>
        <v>10</v>
      </c>
      <c r="D7461" s="242">
        <v>56.5</v>
      </c>
      <c r="E7461" s="845">
        <f t="shared" si="234"/>
        <v>13.611111111111111</v>
      </c>
    </row>
    <row r="7462" spans="2:5">
      <c r="B7462" s="1115">
        <v>45229</v>
      </c>
      <c r="C7462" s="242">
        <f t="shared" si="233"/>
        <v>10</v>
      </c>
      <c r="D7462" s="242">
        <v>56.5</v>
      </c>
      <c r="E7462" s="845">
        <f t="shared" si="234"/>
        <v>13.611111111111111</v>
      </c>
    </row>
    <row r="7463" spans="2:5">
      <c r="B7463" s="1115">
        <v>45229</v>
      </c>
      <c r="C7463" s="242">
        <f t="shared" si="233"/>
        <v>10</v>
      </c>
      <c r="D7463" s="242">
        <v>56.5</v>
      </c>
      <c r="E7463" s="845">
        <f t="shared" si="234"/>
        <v>13.611111111111111</v>
      </c>
    </row>
    <row r="7464" spans="2:5">
      <c r="B7464" s="1115">
        <v>45229</v>
      </c>
      <c r="C7464" s="242">
        <f t="shared" si="233"/>
        <v>10</v>
      </c>
      <c r="D7464" s="242">
        <v>56.1</v>
      </c>
      <c r="E7464" s="845">
        <f t="shared" si="234"/>
        <v>13.388888888888889</v>
      </c>
    </row>
    <row r="7465" spans="2:5">
      <c r="B7465" s="1115">
        <v>45229</v>
      </c>
      <c r="C7465" s="242">
        <f t="shared" si="233"/>
        <v>10</v>
      </c>
      <c r="D7465" s="242">
        <v>55.8</v>
      </c>
      <c r="E7465" s="845">
        <f t="shared" si="234"/>
        <v>13.22222222222222</v>
      </c>
    </row>
    <row r="7466" spans="2:5">
      <c r="B7466" s="1115">
        <v>45229</v>
      </c>
      <c r="C7466" s="242">
        <f t="shared" si="233"/>
        <v>10</v>
      </c>
      <c r="D7466" s="242">
        <v>55.6</v>
      </c>
      <c r="E7466" s="845">
        <f t="shared" si="234"/>
        <v>13.111111111111111</v>
      </c>
    </row>
    <row r="7467" spans="2:5">
      <c r="B7467" s="1115">
        <v>45229</v>
      </c>
      <c r="C7467" s="242">
        <f t="shared" si="233"/>
        <v>10</v>
      </c>
      <c r="D7467" s="242">
        <v>55.6</v>
      </c>
      <c r="E7467" s="845">
        <f t="shared" si="234"/>
        <v>13.111111111111111</v>
      </c>
    </row>
    <row r="7468" spans="2:5">
      <c r="B7468" s="1115">
        <v>45229</v>
      </c>
      <c r="C7468" s="242">
        <f t="shared" si="233"/>
        <v>10</v>
      </c>
      <c r="D7468" s="242">
        <v>55.6</v>
      </c>
      <c r="E7468" s="845">
        <f t="shared" si="234"/>
        <v>13.111111111111111</v>
      </c>
    </row>
    <row r="7469" spans="2:5">
      <c r="B7469" s="1115">
        <v>45229</v>
      </c>
      <c r="C7469" s="242">
        <f t="shared" si="233"/>
        <v>10</v>
      </c>
      <c r="D7469" s="242">
        <v>55.6</v>
      </c>
      <c r="E7469" s="845">
        <f t="shared" si="234"/>
        <v>13.111111111111111</v>
      </c>
    </row>
    <row r="7470" spans="2:5">
      <c r="B7470" s="1115">
        <v>45229</v>
      </c>
      <c r="C7470" s="242">
        <f t="shared" si="233"/>
        <v>10</v>
      </c>
      <c r="D7470" s="242">
        <v>55.6</v>
      </c>
      <c r="E7470" s="845">
        <f t="shared" si="234"/>
        <v>13.111111111111111</v>
      </c>
    </row>
    <row r="7471" spans="2:5">
      <c r="B7471" s="1115">
        <v>45229</v>
      </c>
      <c r="C7471" s="242">
        <f t="shared" si="233"/>
        <v>10</v>
      </c>
      <c r="D7471" s="242">
        <v>55.8</v>
      </c>
      <c r="E7471" s="845">
        <f t="shared" si="234"/>
        <v>13.22222222222222</v>
      </c>
    </row>
    <row r="7472" spans="2:5">
      <c r="B7472" s="1115">
        <v>45229</v>
      </c>
      <c r="C7472" s="242">
        <f t="shared" si="233"/>
        <v>10</v>
      </c>
      <c r="D7472" s="242">
        <v>55.9</v>
      </c>
      <c r="E7472" s="845">
        <f t="shared" si="234"/>
        <v>13.277777777777777</v>
      </c>
    </row>
    <row r="7473" spans="2:5">
      <c r="B7473" s="1115">
        <v>45230</v>
      </c>
      <c r="C7473" s="242">
        <f t="shared" si="233"/>
        <v>10</v>
      </c>
      <c r="D7473" s="242">
        <v>56.1</v>
      </c>
      <c r="E7473" s="845">
        <f t="shared" si="234"/>
        <v>13.388888888888889</v>
      </c>
    </row>
    <row r="7474" spans="2:5">
      <c r="B7474" s="1115">
        <v>45230</v>
      </c>
      <c r="C7474" s="242">
        <f t="shared" si="233"/>
        <v>10</v>
      </c>
      <c r="D7474" s="242">
        <v>56.1</v>
      </c>
      <c r="E7474" s="845">
        <f t="shared" si="234"/>
        <v>13.388888888888889</v>
      </c>
    </row>
    <row r="7475" spans="2:5">
      <c r="B7475" s="1115">
        <v>45230</v>
      </c>
      <c r="C7475" s="242">
        <f t="shared" si="233"/>
        <v>10</v>
      </c>
      <c r="D7475" s="242">
        <v>56.1</v>
      </c>
      <c r="E7475" s="845">
        <f t="shared" si="234"/>
        <v>13.388888888888889</v>
      </c>
    </row>
    <row r="7476" spans="2:5">
      <c r="B7476" s="1115">
        <v>45230</v>
      </c>
      <c r="C7476" s="242">
        <f t="shared" si="233"/>
        <v>10</v>
      </c>
      <c r="D7476" s="242">
        <v>55.9</v>
      </c>
      <c r="E7476" s="845">
        <f t="shared" si="234"/>
        <v>13.277777777777777</v>
      </c>
    </row>
    <row r="7477" spans="2:5">
      <c r="B7477" s="1115">
        <v>45230</v>
      </c>
      <c r="C7477" s="242">
        <f t="shared" si="233"/>
        <v>10</v>
      </c>
      <c r="D7477" s="242">
        <v>55.8</v>
      </c>
      <c r="E7477" s="845">
        <f t="shared" si="234"/>
        <v>13.22222222222222</v>
      </c>
    </row>
    <row r="7478" spans="2:5">
      <c r="B7478" s="1115">
        <v>45230</v>
      </c>
      <c r="C7478" s="242">
        <f t="shared" si="233"/>
        <v>10</v>
      </c>
      <c r="D7478" s="242">
        <v>55.8</v>
      </c>
      <c r="E7478" s="845">
        <f t="shared" si="234"/>
        <v>13.22222222222222</v>
      </c>
    </row>
    <row r="7479" spans="2:5">
      <c r="B7479" s="1115">
        <v>45230</v>
      </c>
      <c r="C7479" s="242">
        <f t="shared" si="233"/>
        <v>10</v>
      </c>
      <c r="D7479" s="242">
        <v>55.6</v>
      </c>
      <c r="E7479" s="845">
        <f t="shared" si="234"/>
        <v>13.111111111111111</v>
      </c>
    </row>
    <row r="7480" spans="2:5">
      <c r="B7480" s="1115">
        <v>45230</v>
      </c>
      <c r="C7480" s="242">
        <f t="shared" si="233"/>
        <v>10</v>
      </c>
      <c r="D7480" s="242">
        <v>55.6</v>
      </c>
      <c r="E7480" s="845">
        <f t="shared" si="234"/>
        <v>13.111111111111111</v>
      </c>
    </row>
    <row r="7481" spans="2:5">
      <c r="B7481" s="1115">
        <v>45230</v>
      </c>
      <c r="C7481" s="242">
        <f t="shared" si="233"/>
        <v>10</v>
      </c>
      <c r="D7481" s="242">
        <v>55.4</v>
      </c>
      <c r="E7481" s="845">
        <f t="shared" si="234"/>
        <v>12.999999999999998</v>
      </c>
    </row>
    <row r="7482" spans="2:5">
      <c r="B7482" s="1115">
        <v>45230</v>
      </c>
      <c r="C7482" s="242">
        <f t="shared" si="233"/>
        <v>10</v>
      </c>
      <c r="D7482" s="242">
        <v>55.4</v>
      </c>
      <c r="E7482" s="845">
        <f t="shared" si="234"/>
        <v>12.999999999999998</v>
      </c>
    </row>
    <row r="7483" spans="2:5">
      <c r="B7483" s="1115">
        <v>45230</v>
      </c>
      <c r="C7483" s="242">
        <f t="shared" si="233"/>
        <v>10</v>
      </c>
      <c r="D7483" s="242">
        <v>55.4</v>
      </c>
      <c r="E7483" s="845">
        <f t="shared" si="234"/>
        <v>12.999999999999998</v>
      </c>
    </row>
    <row r="7484" spans="2:5">
      <c r="B7484" s="1115">
        <v>45230</v>
      </c>
      <c r="C7484" s="242">
        <f t="shared" si="233"/>
        <v>10</v>
      </c>
      <c r="D7484" s="242">
        <v>55.4</v>
      </c>
      <c r="E7484" s="845">
        <f t="shared" si="234"/>
        <v>12.999999999999998</v>
      </c>
    </row>
    <row r="7485" spans="2:5">
      <c r="B7485" s="1115">
        <v>45230</v>
      </c>
      <c r="C7485" s="242">
        <f t="shared" si="233"/>
        <v>10</v>
      </c>
      <c r="D7485" s="242">
        <v>55.4</v>
      </c>
      <c r="E7485" s="845">
        <f t="shared" si="234"/>
        <v>12.999999999999998</v>
      </c>
    </row>
    <row r="7486" spans="2:5">
      <c r="B7486" s="1115">
        <v>45230</v>
      </c>
      <c r="C7486" s="242">
        <f t="shared" si="233"/>
        <v>10</v>
      </c>
      <c r="D7486" s="242">
        <v>55.4</v>
      </c>
      <c r="E7486" s="845">
        <f t="shared" si="234"/>
        <v>12.999999999999998</v>
      </c>
    </row>
    <row r="7487" spans="2:5">
      <c r="B7487" s="1115">
        <v>45230</v>
      </c>
      <c r="C7487" s="242">
        <f t="shared" si="233"/>
        <v>10</v>
      </c>
      <c r="D7487" s="242">
        <v>55.4</v>
      </c>
      <c r="E7487" s="845">
        <f t="shared" si="234"/>
        <v>12.999999999999998</v>
      </c>
    </row>
    <row r="7488" spans="2:5">
      <c r="B7488" s="1115">
        <v>45230</v>
      </c>
      <c r="C7488" s="242">
        <f t="shared" si="233"/>
        <v>10</v>
      </c>
      <c r="D7488" s="242">
        <v>55.4</v>
      </c>
      <c r="E7488" s="845">
        <f t="shared" si="234"/>
        <v>12.999999999999998</v>
      </c>
    </row>
    <row r="7489" spans="2:5">
      <c r="B7489" s="1115">
        <v>45230</v>
      </c>
      <c r="C7489" s="242">
        <f t="shared" si="233"/>
        <v>10</v>
      </c>
      <c r="D7489" s="242">
        <v>55.2</v>
      </c>
      <c r="E7489" s="845">
        <f t="shared" si="234"/>
        <v>12.888888888888889</v>
      </c>
    </row>
    <row r="7490" spans="2:5">
      <c r="B7490" s="1115">
        <v>45230</v>
      </c>
      <c r="C7490" s="242">
        <f t="shared" si="233"/>
        <v>10</v>
      </c>
      <c r="D7490" s="242">
        <v>55.4</v>
      </c>
      <c r="E7490" s="845">
        <f t="shared" si="234"/>
        <v>12.999999999999998</v>
      </c>
    </row>
    <row r="7491" spans="2:5">
      <c r="B7491" s="1115">
        <v>45230</v>
      </c>
      <c r="C7491" s="242">
        <f t="shared" si="233"/>
        <v>10</v>
      </c>
      <c r="D7491" s="242">
        <v>55.6</v>
      </c>
      <c r="E7491" s="845">
        <f t="shared" si="234"/>
        <v>13.111111111111111</v>
      </c>
    </row>
    <row r="7492" spans="2:5">
      <c r="B7492" s="1115">
        <v>45230</v>
      </c>
      <c r="C7492" s="242">
        <f t="shared" si="233"/>
        <v>10</v>
      </c>
      <c r="D7492" s="242">
        <v>55.6</v>
      </c>
      <c r="E7492" s="845">
        <f t="shared" si="234"/>
        <v>13.111111111111111</v>
      </c>
    </row>
    <row r="7493" spans="2:5">
      <c r="B7493" s="1115">
        <v>45230</v>
      </c>
      <c r="C7493" s="242">
        <f t="shared" si="233"/>
        <v>10</v>
      </c>
      <c r="D7493" s="242">
        <v>55.6</v>
      </c>
      <c r="E7493" s="845">
        <f t="shared" si="234"/>
        <v>13.111111111111111</v>
      </c>
    </row>
    <row r="7494" spans="2:5">
      <c r="B7494" s="1115">
        <v>45230</v>
      </c>
      <c r="C7494" s="242">
        <f t="shared" si="233"/>
        <v>10</v>
      </c>
      <c r="D7494" s="242">
        <v>55.6</v>
      </c>
      <c r="E7494" s="845">
        <f t="shared" si="234"/>
        <v>13.111111111111111</v>
      </c>
    </row>
    <row r="7495" spans="2:5">
      <c r="B7495" s="1115">
        <v>45230</v>
      </c>
      <c r="C7495" s="242">
        <f t="shared" si="233"/>
        <v>10</v>
      </c>
      <c r="D7495" s="242">
        <v>55.4</v>
      </c>
      <c r="E7495" s="845">
        <f t="shared" si="234"/>
        <v>12.999999999999998</v>
      </c>
    </row>
    <row r="7496" spans="2:5">
      <c r="B7496" s="1115">
        <v>45230</v>
      </c>
      <c r="C7496" s="242">
        <f t="shared" si="233"/>
        <v>10</v>
      </c>
      <c r="D7496" s="242">
        <v>55.4</v>
      </c>
      <c r="E7496" s="845">
        <f t="shared" si="234"/>
        <v>12.999999999999998</v>
      </c>
    </row>
    <row r="7497" spans="2:5">
      <c r="B7497" s="1115">
        <v>45231</v>
      </c>
      <c r="C7497" s="242">
        <f t="shared" si="233"/>
        <v>11</v>
      </c>
      <c r="D7497" s="242">
        <v>55.4</v>
      </c>
      <c r="E7497" s="845">
        <f t="shared" si="234"/>
        <v>12.999999999999998</v>
      </c>
    </row>
    <row r="7498" spans="2:5">
      <c r="B7498" s="1115">
        <v>45231</v>
      </c>
      <c r="C7498" s="242">
        <f t="shared" ref="C7498:C7561" si="235">MONTH(B7498)</f>
        <v>11</v>
      </c>
      <c r="D7498" s="242">
        <v>55.4</v>
      </c>
      <c r="E7498" s="845">
        <f t="shared" ref="E7498:E7561" si="236">CONVERT(D7498,"F","C")</f>
        <v>12.999999999999998</v>
      </c>
    </row>
    <row r="7499" spans="2:5">
      <c r="B7499" s="1115">
        <v>45231</v>
      </c>
      <c r="C7499" s="242">
        <f t="shared" si="235"/>
        <v>11</v>
      </c>
      <c r="D7499" s="242">
        <v>55.2</v>
      </c>
      <c r="E7499" s="845">
        <f t="shared" si="236"/>
        <v>12.888888888888889</v>
      </c>
    </row>
    <row r="7500" spans="2:5">
      <c r="B7500" s="1115">
        <v>45231</v>
      </c>
      <c r="C7500" s="242">
        <f t="shared" si="235"/>
        <v>11</v>
      </c>
      <c r="D7500" s="242">
        <v>55.2</v>
      </c>
      <c r="E7500" s="845">
        <f t="shared" si="236"/>
        <v>12.888888888888889</v>
      </c>
    </row>
    <row r="7501" spans="2:5">
      <c r="B7501" s="1115">
        <v>45231</v>
      </c>
      <c r="C7501" s="242">
        <f t="shared" si="235"/>
        <v>11</v>
      </c>
      <c r="D7501" s="242">
        <v>55.2</v>
      </c>
      <c r="E7501" s="845">
        <f t="shared" si="236"/>
        <v>12.888888888888889</v>
      </c>
    </row>
    <row r="7502" spans="2:5">
      <c r="B7502" s="1115">
        <v>45231</v>
      </c>
      <c r="C7502" s="242">
        <f t="shared" si="235"/>
        <v>11</v>
      </c>
      <c r="D7502" s="242">
        <v>55.2</v>
      </c>
      <c r="E7502" s="845">
        <f t="shared" si="236"/>
        <v>12.888888888888889</v>
      </c>
    </row>
    <row r="7503" spans="2:5">
      <c r="B7503" s="1115">
        <v>45231</v>
      </c>
      <c r="C7503" s="242">
        <f t="shared" si="235"/>
        <v>11</v>
      </c>
      <c r="D7503" s="242">
        <v>55.2</v>
      </c>
      <c r="E7503" s="845">
        <f t="shared" si="236"/>
        <v>12.888888888888889</v>
      </c>
    </row>
    <row r="7504" spans="2:5">
      <c r="B7504" s="1115">
        <v>45231</v>
      </c>
      <c r="C7504" s="242">
        <f t="shared" si="235"/>
        <v>11</v>
      </c>
      <c r="D7504" s="242">
        <v>55.4</v>
      </c>
      <c r="E7504" s="845">
        <f t="shared" si="236"/>
        <v>12.999999999999998</v>
      </c>
    </row>
    <row r="7505" spans="2:5">
      <c r="B7505" s="1115">
        <v>45231</v>
      </c>
      <c r="C7505" s="242">
        <f t="shared" si="235"/>
        <v>11</v>
      </c>
      <c r="D7505" s="242">
        <v>55.2</v>
      </c>
      <c r="E7505" s="845">
        <f t="shared" si="236"/>
        <v>12.888888888888889</v>
      </c>
    </row>
    <row r="7506" spans="2:5">
      <c r="B7506" s="1115">
        <v>45231</v>
      </c>
      <c r="C7506" s="242">
        <f t="shared" si="235"/>
        <v>11</v>
      </c>
      <c r="D7506" s="242">
        <v>55.2</v>
      </c>
      <c r="E7506" s="845">
        <f t="shared" si="236"/>
        <v>12.888888888888889</v>
      </c>
    </row>
    <row r="7507" spans="2:5">
      <c r="B7507" s="1115">
        <v>45231</v>
      </c>
      <c r="C7507" s="242">
        <f t="shared" si="235"/>
        <v>11</v>
      </c>
      <c r="D7507" s="242" t="s">
        <v>1847</v>
      </c>
      <c r="E7507" s="845">
        <f t="shared" si="236"/>
        <v>12.777777777777777</v>
      </c>
    </row>
    <row r="7508" spans="2:5">
      <c r="B7508" s="1115">
        <v>45231</v>
      </c>
      <c r="C7508" s="242">
        <f t="shared" si="235"/>
        <v>11</v>
      </c>
      <c r="D7508" s="242" t="s">
        <v>1847</v>
      </c>
      <c r="E7508" s="845">
        <f t="shared" si="236"/>
        <v>12.777777777777777</v>
      </c>
    </row>
    <row r="7509" spans="2:5">
      <c r="B7509" s="1115">
        <v>45231</v>
      </c>
      <c r="C7509" s="242">
        <f t="shared" si="235"/>
        <v>11</v>
      </c>
      <c r="D7509" s="242">
        <v>54.9</v>
      </c>
      <c r="E7509" s="845">
        <f t="shared" si="236"/>
        <v>12.722222222222221</v>
      </c>
    </row>
    <row r="7510" spans="2:5">
      <c r="B7510" s="1115">
        <v>45231</v>
      </c>
      <c r="C7510" s="242">
        <f t="shared" si="235"/>
        <v>11</v>
      </c>
      <c r="D7510" s="242">
        <v>54.7</v>
      </c>
      <c r="E7510" s="845">
        <f t="shared" si="236"/>
        <v>12.611111111111112</v>
      </c>
    </row>
    <row r="7511" spans="2:5">
      <c r="B7511" s="1115">
        <v>45231</v>
      </c>
      <c r="C7511" s="242">
        <f t="shared" si="235"/>
        <v>11</v>
      </c>
      <c r="D7511" s="242">
        <v>54.7</v>
      </c>
      <c r="E7511" s="845">
        <f t="shared" si="236"/>
        <v>12.611111111111112</v>
      </c>
    </row>
    <row r="7512" spans="2:5">
      <c r="B7512" s="1115">
        <v>45231</v>
      </c>
      <c r="C7512" s="242">
        <f t="shared" si="235"/>
        <v>11</v>
      </c>
      <c r="D7512" s="242">
        <v>54.7</v>
      </c>
      <c r="E7512" s="845">
        <f t="shared" si="236"/>
        <v>12.611111111111112</v>
      </c>
    </row>
    <row r="7513" spans="2:5">
      <c r="B7513" s="1115">
        <v>45231</v>
      </c>
      <c r="C7513" s="242">
        <f t="shared" si="235"/>
        <v>11</v>
      </c>
      <c r="D7513" s="242">
        <v>54.7</v>
      </c>
      <c r="E7513" s="845">
        <f t="shared" si="236"/>
        <v>12.611111111111112</v>
      </c>
    </row>
    <row r="7514" spans="2:5">
      <c r="B7514" s="1115">
        <v>45231</v>
      </c>
      <c r="C7514" s="242">
        <f t="shared" si="235"/>
        <v>11</v>
      </c>
      <c r="D7514" s="242">
        <v>54.9</v>
      </c>
      <c r="E7514" s="845">
        <f t="shared" si="236"/>
        <v>12.722222222222221</v>
      </c>
    </row>
    <row r="7515" spans="2:5">
      <c r="B7515" s="1115">
        <v>45231</v>
      </c>
      <c r="C7515" s="242">
        <f t="shared" si="235"/>
        <v>11</v>
      </c>
      <c r="D7515" s="242" t="s">
        <v>1847</v>
      </c>
      <c r="E7515" s="845">
        <f t="shared" si="236"/>
        <v>12.777777777777777</v>
      </c>
    </row>
    <row r="7516" spans="2:5">
      <c r="B7516" s="1115">
        <v>45231</v>
      </c>
      <c r="C7516" s="242">
        <f t="shared" si="235"/>
        <v>11</v>
      </c>
      <c r="D7516" s="242" t="s">
        <v>1847</v>
      </c>
      <c r="E7516" s="845">
        <f t="shared" si="236"/>
        <v>12.777777777777777</v>
      </c>
    </row>
    <row r="7517" spans="2:5">
      <c r="B7517" s="1115">
        <v>45231</v>
      </c>
      <c r="C7517" s="242">
        <f t="shared" si="235"/>
        <v>11</v>
      </c>
      <c r="D7517" s="242" t="s">
        <v>1847</v>
      </c>
      <c r="E7517" s="845">
        <f t="shared" si="236"/>
        <v>12.777777777777777</v>
      </c>
    </row>
    <row r="7518" spans="2:5">
      <c r="B7518" s="1115">
        <v>45231</v>
      </c>
      <c r="C7518" s="242">
        <f t="shared" si="235"/>
        <v>11</v>
      </c>
      <c r="D7518" s="242" t="s">
        <v>1847</v>
      </c>
      <c r="E7518" s="845">
        <f t="shared" si="236"/>
        <v>12.777777777777777</v>
      </c>
    </row>
    <row r="7519" spans="2:5">
      <c r="B7519" s="1115">
        <v>45231</v>
      </c>
      <c r="C7519" s="242">
        <f t="shared" si="235"/>
        <v>11</v>
      </c>
      <c r="D7519" s="242">
        <v>54.9</v>
      </c>
      <c r="E7519" s="845">
        <f t="shared" si="236"/>
        <v>12.722222222222221</v>
      </c>
    </row>
    <row r="7520" spans="2:5">
      <c r="B7520" s="1115">
        <v>45231</v>
      </c>
      <c r="C7520" s="242">
        <f t="shared" si="235"/>
        <v>11</v>
      </c>
      <c r="D7520" s="242">
        <v>54.9</v>
      </c>
      <c r="E7520" s="845">
        <f t="shared" si="236"/>
        <v>12.722222222222221</v>
      </c>
    </row>
    <row r="7521" spans="2:5">
      <c r="B7521" s="1115">
        <v>45232</v>
      </c>
      <c r="C7521" s="242">
        <f t="shared" si="235"/>
        <v>11</v>
      </c>
      <c r="D7521" s="242">
        <v>54.7</v>
      </c>
      <c r="E7521" s="845">
        <f t="shared" si="236"/>
        <v>12.611111111111112</v>
      </c>
    </row>
    <row r="7522" spans="2:5">
      <c r="B7522" s="1115">
        <v>45232</v>
      </c>
      <c r="C7522" s="242">
        <f t="shared" si="235"/>
        <v>11</v>
      </c>
      <c r="D7522" s="242">
        <v>54.5</v>
      </c>
      <c r="E7522" s="845">
        <f t="shared" si="236"/>
        <v>12.5</v>
      </c>
    </row>
    <row r="7523" spans="2:5">
      <c r="B7523" s="1115">
        <v>45232</v>
      </c>
      <c r="C7523" s="242">
        <f t="shared" si="235"/>
        <v>11</v>
      </c>
      <c r="D7523" s="242">
        <v>54.3</v>
      </c>
      <c r="E7523" s="845">
        <f t="shared" si="236"/>
        <v>12.388888888888888</v>
      </c>
    </row>
    <row r="7524" spans="2:5">
      <c r="B7524" s="1115">
        <v>45232</v>
      </c>
      <c r="C7524" s="242">
        <f t="shared" si="235"/>
        <v>11</v>
      </c>
      <c r="D7524" s="242">
        <v>54.1</v>
      </c>
      <c r="E7524" s="845">
        <f t="shared" si="236"/>
        <v>12.277777777777779</v>
      </c>
    </row>
    <row r="7525" spans="2:5">
      <c r="B7525" s="1115">
        <v>45232</v>
      </c>
      <c r="C7525" s="242">
        <f t="shared" si="235"/>
        <v>11</v>
      </c>
      <c r="D7525" s="242">
        <v>54.1</v>
      </c>
      <c r="E7525" s="845">
        <f t="shared" si="236"/>
        <v>12.277777777777779</v>
      </c>
    </row>
    <row r="7526" spans="2:5">
      <c r="B7526" s="1115">
        <v>45232</v>
      </c>
      <c r="C7526" s="242">
        <f t="shared" si="235"/>
        <v>11</v>
      </c>
      <c r="D7526" s="242">
        <v>54.3</v>
      </c>
      <c r="E7526" s="845">
        <f t="shared" si="236"/>
        <v>12.388888888888888</v>
      </c>
    </row>
    <row r="7527" spans="2:5">
      <c r="B7527" s="1115">
        <v>45232</v>
      </c>
      <c r="C7527" s="242">
        <f t="shared" si="235"/>
        <v>11</v>
      </c>
      <c r="D7527" s="242">
        <v>54.5</v>
      </c>
      <c r="E7527" s="845">
        <f t="shared" si="236"/>
        <v>12.5</v>
      </c>
    </row>
    <row r="7528" spans="2:5">
      <c r="B7528" s="1115">
        <v>45232</v>
      </c>
      <c r="C7528" s="242">
        <f t="shared" si="235"/>
        <v>11</v>
      </c>
      <c r="D7528" s="242">
        <v>54.5</v>
      </c>
      <c r="E7528" s="845">
        <f t="shared" si="236"/>
        <v>12.5</v>
      </c>
    </row>
    <row r="7529" spans="2:5">
      <c r="B7529" s="1115">
        <v>45232</v>
      </c>
      <c r="C7529" s="242">
        <f t="shared" si="235"/>
        <v>11</v>
      </c>
      <c r="D7529" s="242">
        <v>54.7</v>
      </c>
      <c r="E7529" s="845">
        <f t="shared" si="236"/>
        <v>12.611111111111112</v>
      </c>
    </row>
    <row r="7530" spans="2:5">
      <c r="B7530" s="1115">
        <v>45232</v>
      </c>
      <c r="C7530" s="242">
        <f t="shared" si="235"/>
        <v>11</v>
      </c>
      <c r="D7530" s="242">
        <v>54.7</v>
      </c>
      <c r="E7530" s="845">
        <f t="shared" si="236"/>
        <v>12.611111111111112</v>
      </c>
    </row>
    <row r="7531" spans="2:5">
      <c r="B7531" s="1115">
        <v>45232</v>
      </c>
      <c r="C7531" s="242">
        <f t="shared" si="235"/>
        <v>11</v>
      </c>
      <c r="D7531" s="242">
        <v>54.5</v>
      </c>
      <c r="E7531" s="845">
        <f t="shared" si="236"/>
        <v>12.5</v>
      </c>
    </row>
    <row r="7532" spans="2:5">
      <c r="B7532" s="1115">
        <v>45232</v>
      </c>
      <c r="C7532" s="242">
        <f t="shared" si="235"/>
        <v>11</v>
      </c>
      <c r="D7532" s="242">
        <v>54.3</v>
      </c>
      <c r="E7532" s="845">
        <f t="shared" si="236"/>
        <v>12.388888888888888</v>
      </c>
    </row>
    <row r="7533" spans="2:5">
      <c r="B7533" s="1115">
        <v>45232</v>
      </c>
      <c r="C7533" s="242">
        <f t="shared" si="235"/>
        <v>11</v>
      </c>
      <c r="D7533" s="242" t="s">
        <v>1846</v>
      </c>
      <c r="E7533" s="845">
        <f t="shared" si="236"/>
        <v>12.222222222222221</v>
      </c>
    </row>
    <row r="7534" spans="2:5">
      <c r="B7534" s="1115">
        <v>45232</v>
      </c>
      <c r="C7534" s="242">
        <f t="shared" si="235"/>
        <v>11</v>
      </c>
      <c r="D7534" s="242">
        <v>53.8</v>
      </c>
      <c r="E7534" s="845">
        <f t="shared" si="236"/>
        <v>12.111111111111109</v>
      </c>
    </row>
    <row r="7535" spans="2:5">
      <c r="B7535" s="1115">
        <v>45232</v>
      </c>
      <c r="C7535" s="242">
        <f t="shared" si="235"/>
        <v>11</v>
      </c>
      <c r="D7535" s="242">
        <v>53.6</v>
      </c>
      <c r="E7535" s="845">
        <f t="shared" si="236"/>
        <v>12</v>
      </c>
    </row>
    <row r="7536" spans="2:5">
      <c r="B7536" s="1115">
        <v>45232</v>
      </c>
      <c r="C7536" s="242">
        <f t="shared" si="235"/>
        <v>11</v>
      </c>
      <c r="D7536" s="242">
        <v>53.6</v>
      </c>
      <c r="E7536" s="845">
        <f t="shared" si="236"/>
        <v>12</v>
      </c>
    </row>
    <row r="7537" spans="2:5">
      <c r="B7537" s="1115">
        <v>45232</v>
      </c>
      <c r="C7537" s="242">
        <f t="shared" si="235"/>
        <v>11</v>
      </c>
      <c r="D7537" s="242">
        <v>53.6</v>
      </c>
      <c r="E7537" s="845">
        <f t="shared" si="236"/>
        <v>12</v>
      </c>
    </row>
    <row r="7538" spans="2:5">
      <c r="B7538" s="1115">
        <v>45232</v>
      </c>
      <c r="C7538" s="242">
        <f t="shared" si="235"/>
        <v>11</v>
      </c>
      <c r="D7538" s="242" t="s">
        <v>1846</v>
      </c>
      <c r="E7538" s="845">
        <f t="shared" si="236"/>
        <v>12.222222222222221</v>
      </c>
    </row>
    <row r="7539" spans="2:5">
      <c r="B7539" s="1115">
        <v>45232</v>
      </c>
      <c r="C7539" s="242">
        <f t="shared" si="235"/>
        <v>11</v>
      </c>
      <c r="D7539" s="242">
        <v>54.1</v>
      </c>
      <c r="E7539" s="845">
        <f t="shared" si="236"/>
        <v>12.277777777777779</v>
      </c>
    </row>
    <row r="7540" spans="2:5">
      <c r="B7540" s="1115">
        <v>45232</v>
      </c>
      <c r="C7540" s="242">
        <f t="shared" si="235"/>
        <v>11</v>
      </c>
      <c r="D7540" s="242">
        <v>54.3</v>
      </c>
      <c r="E7540" s="845">
        <f t="shared" si="236"/>
        <v>12.388888888888888</v>
      </c>
    </row>
    <row r="7541" spans="2:5">
      <c r="B7541" s="1115">
        <v>45232</v>
      </c>
      <c r="C7541" s="242">
        <f t="shared" si="235"/>
        <v>11</v>
      </c>
      <c r="D7541" s="242">
        <v>54.3</v>
      </c>
      <c r="E7541" s="845">
        <f t="shared" si="236"/>
        <v>12.388888888888888</v>
      </c>
    </row>
    <row r="7542" spans="2:5">
      <c r="B7542" s="1115">
        <v>45232</v>
      </c>
      <c r="C7542" s="242">
        <f t="shared" si="235"/>
        <v>11</v>
      </c>
      <c r="D7542" s="242">
        <v>54.5</v>
      </c>
      <c r="E7542" s="845">
        <f t="shared" si="236"/>
        <v>12.5</v>
      </c>
    </row>
    <row r="7543" spans="2:5">
      <c r="B7543" s="1115">
        <v>45232</v>
      </c>
      <c r="C7543" s="242">
        <f t="shared" si="235"/>
        <v>11</v>
      </c>
      <c r="D7543" s="242">
        <v>54.3</v>
      </c>
      <c r="E7543" s="845">
        <f t="shared" si="236"/>
        <v>12.388888888888888</v>
      </c>
    </row>
    <row r="7544" spans="2:5">
      <c r="B7544" s="1115">
        <v>45232</v>
      </c>
      <c r="C7544" s="242">
        <f t="shared" si="235"/>
        <v>11</v>
      </c>
      <c r="D7544" s="242">
        <v>54.3</v>
      </c>
      <c r="E7544" s="845">
        <f t="shared" si="236"/>
        <v>12.388888888888888</v>
      </c>
    </row>
    <row r="7545" spans="2:5">
      <c r="B7545" s="1115">
        <v>45233</v>
      </c>
      <c r="C7545" s="242">
        <f t="shared" si="235"/>
        <v>11</v>
      </c>
      <c r="D7545" s="242" t="s">
        <v>1846</v>
      </c>
      <c r="E7545" s="845">
        <f t="shared" si="236"/>
        <v>12.222222222222221</v>
      </c>
    </row>
    <row r="7546" spans="2:5">
      <c r="B7546" s="1115">
        <v>45233</v>
      </c>
      <c r="C7546" s="242">
        <f t="shared" si="235"/>
        <v>11</v>
      </c>
      <c r="D7546" s="242">
        <v>53.6</v>
      </c>
      <c r="E7546" s="845">
        <f t="shared" si="236"/>
        <v>12</v>
      </c>
    </row>
    <row r="7547" spans="2:5">
      <c r="B7547" s="1115">
        <v>45233</v>
      </c>
      <c r="C7547" s="242">
        <f t="shared" si="235"/>
        <v>11</v>
      </c>
      <c r="D7547" s="242">
        <v>53.4</v>
      </c>
      <c r="E7547" s="845">
        <f t="shared" si="236"/>
        <v>11.888888888888888</v>
      </c>
    </row>
    <row r="7548" spans="2:5">
      <c r="B7548" s="1115">
        <v>45233</v>
      </c>
      <c r="C7548" s="242">
        <f t="shared" si="235"/>
        <v>11</v>
      </c>
      <c r="D7548" s="242">
        <v>53.2</v>
      </c>
      <c r="E7548" s="845">
        <f t="shared" si="236"/>
        <v>11.777777777777779</v>
      </c>
    </row>
    <row r="7549" spans="2:5">
      <c r="B7549" s="1115">
        <v>45233</v>
      </c>
      <c r="C7549" s="242">
        <f t="shared" si="235"/>
        <v>11</v>
      </c>
      <c r="D7549" s="242">
        <v>53.1</v>
      </c>
      <c r="E7549" s="845">
        <f t="shared" si="236"/>
        <v>11.722222222222223</v>
      </c>
    </row>
    <row r="7550" spans="2:5">
      <c r="B7550" s="1115">
        <v>45233</v>
      </c>
      <c r="C7550" s="242">
        <f t="shared" si="235"/>
        <v>11</v>
      </c>
      <c r="D7550" s="242">
        <v>53.2</v>
      </c>
      <c r="E7550" s="845">
        <f t="shared" si="236"/>
        <v>11.777777777777779</v>
      </c>
    </row>
    <row r="7551" spans="2:5">
      <c r="B7551" s="1115">
        <v>45233</v>
      </c>
      <c r="C7551" s="242">
        <f t="shared" si="235"/>
        <v>11</v>
      </c>
      <c r="D7551" s="242">
        <v>53.6</v>
      </c>
      <c r="E7551" s="845">
        <f t="shared" si="236"/>
        <v>12</v>
      </c>
    </row>
    <row r="7552" spans="2:5">
      <c r="B7552" s="1115">
        <v>45233</v>
      </c>
      <c r="C7552" s="242">
        <f t="shared" si="235"/>
        <v>11</v>
      </c>
      <c r="D7552" s="242">
        <v>53.8</v>
      </c>
      <c r="E7552" s="845">
        <f t="shared" si="236"/>
        <v>12.111111111111109</v>
      </c>
    </row>
    <row r="7553" spans="2:5">
      <c r="B7553" s="1115">
        <v>45233</v>
      </c>
      <c r="C7553" s="242">
        <f t="shared" si="235"/>
        <v>11</v>
      </c>
      <c r="D7553" s="242" t="s">
        <v>1846</v>
      </c>
      <c r="E7553" s="845">
        <f t="shared" si="236"/>
        <v>12.222222222222221</v>
      </c>
    </row>
    <row r="7554" spans="2:5">
      <c r="B7554" s="1115">
        <v>45233</v>
      </c>
      <c r="C7554" s="242">
        <f t="shared" si="235"/>
        <v>11</v>
      </c>
      <c r="D7554" s="242">
        <v>54.1</v>
      </c>
      <c r="E7554" s="845">
        <f t="shared" si="236"/>
        <v>12.277777777777779</v>
      </c>
    </row>
    <row r="7555" spans="2:5">
      <c r="B7555" s="1115">
        <v>45233</v>
      </c>
      <c r="C7555" s="242">
        <f t="shared" si="235"/>
        <v>11</v>
      </c>
      <c r="D7555" s="242">
        <v>54.1</v>
      </c>
      <c r="E7555" s="845">
        <f t="shared" si="236"/>
        <v>12.277777777777779</v>
      </c>
    </row>
    <row r="7556" spans="2:5">
      <c r="B7556" s="1115">
        <v>45233</v>
      </c>
      <c r="C7556" s="242">
        <f t="shared" si="235"/>
        <v>11</v>
      </c>
      <c r="D7556" s="242">
        <v>54.1</v>
      </c>
      <c r="E7556" s="845">
        <f t="shared" si="236"/>
        <v>12.277777777777779</v>
      </c>
    </row>
    <row r="7557" spans="2:5">
      <c r="B7557" s="1115">
        <v>45233</v>
      </c>
      <c r="C7557" s="242">
        <f t="shared" si="235"/>
        <v>11</v>
      </c>
      <c r="D7557" s="242">
        <v>53.8</v>
      </c>
      <c r="E7557" s="845">
        <f t="shared" si="236"/>
        <v>12.111111111111109</v>
      </c>
    </row>
    <row r="7558" spans="2:5">
      <c r="B7558" s="1115">
        <v>45233</v>
      </c>
      <c r="C7558" s="242">
        <f t="shared" si="235"/>
        <v>11</v>
      </c>
      <c r="D7558" s="242">
        <v>53.4</v>
      </c>
      <c r="E7558" s="845">
        <f t="shared" si="236"/>
        <v>11.888888888888888</v>
      </c>
    </row>
    <row r="7559" spans="2:5">
      <c r="B7559" s="1115">
        <v>45233</v>
      </c>
      <c r="C7559" s="242">
        <f t="shared" si="235"/>
        <v>11</v>
      </c>
      <c r="D7559" s="242">
        <v>53.1</v>
      </c>
      <c r="E7559" s="845">
        <f t="shared" si="236"/>
        <v>11.722222222222223</v>
      </c>
    </row>
    <row r="7560" spans="2:5">
      <c r="B7560" s="1115">
        <v>45233</v>
      </c>
      <c r="C7560" s="242">
        <f t="shared" si="235"/>
        <v>11</v>
      </c>
      <c r="D7560" s="242">
        <v>52.9</v>
      </c>
      <c r="E7560" s="845">
        <f t="shared" si="236"/>
        <v>11.611111111111111</v>
      </c>
    </row>
    <row r="7561" spans="2:5">
      <c r="B7561" s="1115">
        <v>45233</v>
      </c>
      <c r="C7561" s="242">
        <f t="shared" si="235"/>
        <v>11</v>
      </c>
      <c r="D7561" s="242">
        <v>52.9</v>
      </c>
      <c r="E7561" s="845">
        <f t="shared" si="236"/>
        <v>11.611111111111111</v>
      </c>
    </row>
    <row r="7562" spans="2:5">
      <c r="B7562" s="1115">
        <v>45233</v>
      </c>
      <c r="C7562" s="242">
        <f t="shared" ref="C7562:C7625" si="237">MONTH(B7562)</f>
        <v>11</v>
      </c>
      <c r="D7562" s="242">
        <v>53.1</v>
      </c>
      <c r="E7562" s="845">
        <f t="shared" ref="E7562:E7625" si="238">CONVERT(D7562,"F","C")</f>
        <v>11.722222222222223</v>
      </c>
    </row>
    <row r="7563" spans="2:5">
      <c r="B7563" s="1115">
        <v>45233</v>
      </c>
      <c r="C7563" s="242">
        <f t="shared" si="237"/>
        <v>11</v>
      </c>
      <c r="D7563" s="242">
        <v>53.4</v>
      </c>
      <c r="E7563" s="845">
        <f t="shared" si="238"/>
        <v>11.888888888888888</v>
      </c>
    </row>
    <row r="7564" spans="2:5">
      <c r="B7564" s="1115">
        <v>45233</v>
      </c>
      <c r="C7564" s="242">
        <f t="shared" si="237"/>
        <v>11</v>
      </c>
      <c r="D7564" s="242">
        <v>53.8</v>
      </c>
      <c r="E7564" s="845">
        <f t="shared" si="238"/>
        <v>12.111111111111109</v>
      </c>
    </row>
    <row r="7565" spans="2:5">
      <c r="B7565" s="1115">
        <v>45233</v>
      </c>
      <c r="C7565" s="242">
        <f t="shared" si="237"/>
        <v>11</v>
      </c>
      <c r="D7565" s="242">
        <v>54.1</v>
      </c>
      <c r="E7565" s="845">
        <f t="shared" si="238"/>
        <v>12.277777777777779</v>
      </c>
    </row>
    <row r="7566" spans="2:5">
      <c r="B7566" s="1115">
        <v>45233</v>
      </c>
      <c r="C7566" s="242">
        <f t="shared" si="237"/>
        <v>11</v>
      </c>
      <c r="D7566" s="242">
        <v>54.3</v>
      </c>
      <c r="E7566" s="845">
        <f t="shared" si="238"/>
        <v>12.388888888888888</v>
      </c>
    </row>
    <row r="7567" spans="2:5">
      <c r="B7567" s="1115">
        <v>45233</v>
      </c>
      <c r="C7567" s="242">
        <f t="shared" si="237"/>
        <v>11</v>
      </c>
      <c r="D7567" s="242">
        <v>54.3</v>
      </c>
      <c r="E7567" s="845">
        <f t="shared" si="238"/>
        <v>12.388888888888888</v>
      </c>
    </row>
    <row r="7568" spans="2:5">
      <c r="B7568" s="1115">
        <v>45233</v>
      </c>
      <c r="C7568" s="242">
        <f t="shared" si="237"/>
        <v>11</v>
      </c>
      <c r="D7568" s="242">
        <v>54.1</v>
      </c>
      <c r="E7568" s="845">
        <f t="shared" si="238"/>
        <v>12.277777777777779</v>
      </c>
    </row>
    <row r="7569" spans="2:5">
      <c r="B7569" s="1115">
        <v>45234</v>
      </c>
      <c r="C7569" s="242">
        <f t="shared" si="237"/>
        <v>11</v>
      </c>
      <c r="D7569" s="242" t="s">
        <v>1846</v>
      </c>
      <c r="E7569" s="845">
        <f t="shared" si="238"/>
        <v>12.222222222222221</v>
      </c>
    </row>
    <row r="7570" spans="2:5">
      <c r="B7570" s="1115">
        <v>45234</v>
      </c>
      <c r="C7570" s="242">
        <f t="shared" si="237"/>
        <v>11</v>
      </c>
      <c r="D7570" s="242">
        <v>53.6</v>
      </c>
      <c r="E7570" s="845">
        <f t="shared" si="238"/>
        <v>12</v>
      </c>
    </row>
    <row r="7571" spans="2:5">
      <c r="B7571" s="1115">
        <v>45234</v>
      </c>
      <c r="C7571" s="242">
        <f t="shared" si="237"/>
        <v>11</v>
      </c>
      <c r="D7571" s="242">
        <v>53.2</v>
      </c>
      <c r="E7571" s="845">
        <f t="shared" si="238"/>
        <v>11.777777777777779</v>
      </c>
    </row>
    <row r="7572" spans="2:5">
      <c r="B7572" s="1115">
        <v>45234</v>
      </c>
      <c r="C7572" s="242">
        <f t="shared" si="237"/>
        <v>11</v>
      </c>
      <c r="D7572" s="242">
        <v>52.9</v>
      </c>
      <c r="E7572" s="845">
        <f t="shared" si="238"/>
        <v>11.611111111111111</v>
      </c>
    </row>
    <row r="7573" spans="2:5">
      <c r="B7573" s="1115">
        <v>45234</v>
      </c>
      <c r="C7573" s="242">
        <f t="shared" si="237"/>
        <v>11</v>
      </c>
      <c r="D7573" s="242">
        <v>52.7</v>
      </c>
      <c r="E7573" s="845">
        <f t="shared" si="238"/>
        <v>11.500000000000002</v>
      </c>
    </row>
    <row r="7574" spans="2:5">
      <c r="B7574" s="1115">
        <v>45234</v>
      </c>
      <c r="C7574" s="242">
        <f t="shared" si="237"/>
        <v>11</v>
      </c>
      <c r="D7574" s="242">
        <v>52.5</v>
      </c>
      <c r="E7574" s="845">
        <f t="shared" si="238"/>
        <v>11.388888888888889</v>
      </c>
    </row>
    <row r="7575" spans="2:5">
      <c r="B7575" s="1115">
        <v>45234</v>
      </c>
      <c r="C7575" s="242">
        <f t="shared" si="237"/>
        <v>11</v>
      </c>
      <c r="D7575" s="242">
        <v>52.7</v>
      </c>
      <c r="E7575" s="845">
        <f t="shared" si="238"/>
        <v>11.500000000000002</v>
      </c>
    </row>
    <row r="7576" spans="2:5">
      <c r="B7576" s="1115">
        <v>45234</v>
      </c>
      <c r="C7576" s="242">
        <f t="shared" si="237"/>
        <v>11</v>
      </c>
      <c r="D7576" s="242">
        <v>53.1</v>
      </c>
      <c r="E7576" s="845">
        <f t="shared" si="238"/>
        <v>11.722222222222223</v>
      </c>
    </row>
    <row r="7577" spans="2:5">
      <c r="B7577" s="1115">
        <v>45234</v>
      </c>
      <c r="C7577" s="242">
        <f t="shared" si="237"/>
        <v>11</v>
      </c>
      <c r="D7577" s="242">
        <v>53.4</v>
      </c>
      <c r="E7577" s="845">
        <f t="shared" si="238"/>
        <v>11.888888888888888</v>
      </c>
    </row>
    <row r="7578" spans="2:5">
      <c r="B7578" s="1115">
        <v>45234</v>
      </c>
      <c r="C7578" s="242">
        <f t="shared" si="237"/>
        <v>11</v>
      </c>
      <c r="D7578" s="242">
        <v>53.8</v>
      </c>
      <c r="E7578" s="845">
        <f t="shared" si="238"/>
        <v>12.111111111111109</v>
      </c>
    </row>
    <row r="7579" spans="2:5">
      <c r="B7579" s="1115">
        <v>45234</v>
      </c>
      <c r="C7579" s="242">
        <f t="shared" si="237"/>
        <v>11</v>
      </c>
      <c r="D7579" s="242" t="s">
        <v>1846</v>
      </c>
      <c r="E7579" s="845">
        <f t="shared" si="238"/>
        <v>12.222222222222221</v>
      </c>
    </row>
    <row r="7580" spans="2:5">
      <c r="B7580" s="1115">
        <v>45234</v>
      </c>
      <c r="C7580" s="242">
        <f t="shared" si="237"/>
        <v>11</v>
      </c>
      <c r="D7580" s="242" t="s">
        <v>1846</v>
      </c>
      <c r="E7580" s="845">
        <f t="shared" si="238"/>
        <v>12.222222222222221</v>
      </c>
    </row>
    <row r="7581" spans="2:5">
      <c r="B7581" s="1115">
        <v>45234</v>
      </c>
      <c r="C7581" s="242">
        <f t="shared" si="237"/>
        <v>11</v>
      </c>
      <c r="D7581" s="242">
        <v>53.8</v>
      </c>
      <c r="E7581" s="845">
        <f t="shared" si="238"/>
        <v>12.111111111111109</v>
      </c>
    </row>
    <row r="7582" spans="2:5">
      <c r="B7582" s="1115">
        <v>45234</v>
      </c>
      <c r="C7582" s="242">
        <f t="shared" si="237"/>
        <v>11</v>
      </c>
      <c r="D7582" s="242">
        <v>53.6</v>
      </c>
      <c r="E7582" s="845">
        <f t="shared" si="238"/>
        <v>12</v>
      </c>
    </row>
    <row r="7583" spans="2:5">
      <c r="B7583" s="1115">
        <v>45234</v>
      </c>
      <c r="C7583" s="242">
        <f t="shared" si="237"/>
        <v>11</v>
      </c>
      <c r="D7583" s="242">
        <v>53.1</v>
      </c>
      <c r="E7583" s="845">
        <f t="shared" si="238"/>
        <v>11.722222222222223</v>
      </c>
    </row>
    <row r="7584" spans="2:5">
      <c r="B7584" s="1115">
        <v>45234</v>
      </c>
      <c r="C7584" s="242">
        <f t="shared" si="237"/>
        <v>11</v>
      </c>
      <c r="D7584" s="242">
        <v>52.7</v>
      </c>
      <c r="E7584" s="845">
        <f t="shared" si="238"/>
        <v>11.500000000000002</v>
      </c>
    </row>
    <row r="7585" spans="2:5">
      <c r="B7585" s="1115">
        <v>45234</v>
      </c>
      <c r="C7585" s="242">
        <f t="shared" si="237"/>
        <v>11</v>
      </c>
      <c r="D7585" s="242">
        <v>52.5</v>
      </c>
      <c r="E7585" s="845">
        <f t="shared" si="238"/>
        <v>11.388888888888889</v>
      </c>
    </row>
    <row r="7586" spans="2:5">
      <c r="B7586" s="1115">
        <v>45234</v>
      </c>
      <c r="C7586" s="242">
        <f t="shared" si="237"/>
        <v>11</v>
      </c>
      <c r="D7586" s="242">
        <v>52.5</v>
      </c>
      <c r="E7586" s="845">
        <f t="shared" si="238"/>
        <v>11.388888888888889</v>
      </c>
    </row>
    <row r="7587" spans="2:5">
      <c r="B7587" s="1115">
        <v>45234</v>
      </c>
      <c r="C7587" s="242">
        <f t="shared" si="237"/>
        <v>11</v>
      </c>
      <c r="D7587" s="242">
        <v>52.7</v>
      </c>
      <c r="E7587" s="845">
        <f t="shared" si="238"/>
        <v>11.500000000000002</v>
      </c>
    </row>
    <row r="7588" spans="2:5">
      <c r="B7588" s="1115">
        <v>45234</v>
      </c>
      <c r="C7588" s="242">
        <f t="shared" si="237"/>
        <v>11</v>
      </c>
      <c r="D7588" s="242">
        <v>53.2</v>
      </c>
      <c r="E7588" s="845">
        <f t="shared" si="238"/>
        <v>11.777777777777779</v>
      </c>
    </row>
    <row r="7589" spans="2:5">
      <c r="B7589" s="1115">
        <v>45234</v>
      </c>
      <c r="C7589" s="242">
        <f t="shared" si="237"/>
        <v>11</v>
      </c>
      <c r="D7589" s="242">
        <v>53.6</v>
      </c>
      <c r="E7589" s="845">
        <f t="shared" si="238"/>
        <v>12</v>
      </c>
    </row>
    <row r="7590" spans="2:5">
      <c r="B7590" s="1115">
        <v>45234</v>
      </c>
      <c r="C7590" s="242">
        <f t="shared" si="237"/>
        <v>11</v>
      </c>
      <c r="D7590" s="242" t="s">
        <v>1846</v>
      </c>
      <c r="E7590" s="845">
        <f t="shared" si="238"/>
        <v>12.222222222222221</v>
      </c>
    </row>
    <row r="7591" spans="2:5">
      <c r="B7591" s="1115">
        <v>45234</v>
      </c>
      <c r="C7591" s="242">
        <f t="shared" si="237"/>
        <v>11</v>
      </c>
      <c r="D7591" s="242">
        <v>54.1</v>
      </c>
      <c r="E7591" s="845">
        <f t="shared" si="238"/>
        <v>12.277777777777779</v>
      </c>
    </row>
    <row r="7592" spans="2:5">
      <c r="B7592" s="1115">
        <v>45234</v>
      </c>
      <c r="C7592" s="242">
        <f t="shared" si="237"/>
        <v>11</v>
      </c>
      <c r="D7592" s="242">
        <v>54.3</v>
      </c>
      <c r="E7592" s="845">
        <f t="shared" si="238"/>
        <v>12.388888888888888</v>
      </c>
    </row>
    <row r="7593" spans="2:5">
      <c r="B7593" s="1115">
        <v>45235</v>
      </c>
      <c r="C7593" s="242">
        <f t="shared" si="237"/>
        <v>11</v>
      </c>
      <c r="D7593" s="242">
        <v>54.1</v>
      </c>
      <c r="E7593" s="845">
        <f t="shared" si="238"/>
        <v>12.277777777777779</v>
      </c>
    </row>
    <row r="7594" spans="2:5">
      <c r="B7594" s="1115">
        <v>45235</v>
      </c>
      <c r="C7594" s="242">
        <f t="shared" si="237"/>
        <v>11</v>
      </c>
      <c r="D7594" s="242" t="s">
        <v>1846</v>
      </c>
      <c r="E7594" s="845">
        <f t="shared" si="238"/>
        <v>12.222222222222221</v>
      </c>
    </row>
    <row r="7595" spans="2:5">
      <c r="B7595" s="1115">
        <v>45235</v>
      </c>
      <c r="C7595" s="242">
        <f t="shared" si="237"/>
        <v>11</v>
      </c>
      <c r="D7595" s="242">
        <v>53.4</v>
      </c>
      <c r="E7595" s="845">
        <f t="shared" si="238"/>
        <v>11.888888888888888</v>
      </c>
    </row>
    <row r="7596" spans="2:5">
      <c r="B7596" s="1115">
        <v>45235</v>
      </c>
      <c r="C7596" s="242">
        <f t="shared" si="237"/>
        <v>11</v>
      </c>
      <c r="D7596" s="242">
        <v>52.9</v>
      </c>
      <c r="E7596" s="845">
        <f t="shared" si="238"/>
        <v>11.611111111111111</v>
      </c>
    </row>
    <row r="7597" spans="2:5">
      <c r="B7597" s="1115">
        <v>45235</v>
      </c>
      <c r="C7597" s="242">
        <f t="shared" si="237"/>
        <v>11</v>
      </c>
      <c r="D7597" s="242">
        <v>52.5</v>
      </c>
      <c r="E7597" s="845">
        <f t="shared" si="238"/>
        <v>11.388888888888889</v>
      </c>
    </row>
    <row r="7598" spans="2:5">
      <c r="B7598" s="1115">
        <v>45235</v>
      </c>
      <c r="C7598" s="242">
        <f t="shared" si="237"/>
        <v>11</v>
      </c>
      <c r="D7598" s="242">
        <v>52.3</v>
      </c>
      <c r="E7598" s="845">
        <f t="shared" si="238"/>
        <v>11.277777777777777</v>
      </c>
    </row>
    <row r="7599" spans="2:5">
      <c r="B7599" s="1115">
        <v>45235</v>
      </c>
      <c r="C7599" s="242">
        <f t="shared" si="237"/>
        <v>11</v>
      </c>
      <c r="D7599" s="242">
        <v>52.3</v>
      </c>
      <c r="E7599" s="845">
        <f t="shared" si="238"/>
        <v>11.277777777777777</v>
      </c>
    </row>
    <row r="7600" spans="2:5">
      <c r="B7600" s="1115">
        <v>45235</v>
      </c>
      <c r="C7600" s="242">
        <f t="shared" si="237"/>
        <v>11</v>
      </c>
      <c r="D7600" s="242">
        <v>52.7</v>
      </c>
      <c r="E7600" s="845">
        <f t="shared" si="238"/>
        <v>11.500000000000002</v>
      </c>
    </row>
    <row r="7601" spans="2:5">
      <c r="B7601" s="1115">
        <v>45235</v>
      </c>
      <c r="C7601" s="242">
        <f t="shared" si="237"/>
        <v>11</v>
      </c>
      <c r="D7601" s="242">
        <v>53.2</v>
      </c>
      <c r="E7601" s="845">
        <f t="shared" si="238"/>
        <v>11.777777777777779</v>
      </c>
    </row>
    <row r="7602" spans="2:5">
      <c r="B7602" s="1115">
        <v>45235</v>
      </c>
      <c r="C7602" s="242">
        <f t="shared" si="237"/>
        <v>11</v>
      </c>
      <c r="D7602" s="242">
        <v>53.6</v>
      </c>
      <c r="E7602" s="845">
        <f t="shared" si="238"/>
        <v>12</v>
      </c>
    </row>
    <row r="7603" spans="2:5">
      <c r="B7603" s="1115">
        <v>45235</v>
      </c>
      <c r="C7603" s="242">
        <f t="shared" si="237"/>
        <v>11</v>
      </c>
      <c r="D7603" s="242">
        <v>53.8</v>
      </c>
      <c r="E7603" s="845">
        <f t="shared" si="238"/>
        <v>12.111111111111109</v>
      </c>
    </row>
    <row r="7604" spans="2:5">
      <c r="B7604" s="1115">
        <v>45235</v>
      </c>
      <c r="C7604" s="242">
        <f t="shared" si="237"/>
        <v>11</v>
      </c>
      <c r="D7604" s="242" t="s">
        <v>1846</v>
      </c>
      <c r="E7604" s="845">
        <f t="shared" si="238"/>
        <v>12.222222222222221</v>
      </c>
    </row>
    <row r="7605" spans="2:5">
      <c r="B7605" s="1115">
        <v>45235</v>
      </c>
      <c r="C7605" s="242">
        <f t="shared" si="237"/>
        <v>11</v>
      </c>
      <c r="D7605" s="242" t="s">
        <v>1846</v>
      </c>
      <c r="E7605" s="845">
        <f t="shared" si="238"/>
        <v>12.222222222222221</v>
      </c>
    </row>
    <row r="7606" spans="2:5">
      <c r="B7606" s="1115">
        <v>45235</v>
      </c>
      <c r="C7606" s="242">
        <f t="shared" si="237"/>
        <v>11</v>
      </c>
      <c r="D7606" s="242" t="s">
        <v>1846</v>
      </c>
      <c r="E7606" s="845">
        <f t="shared" si="238"/>
        <v>12.222222222222221</v>
      </c>
    </row>
    <row r="7607" spans="2:5">
      <c r="B7607" s="1115">
        <v>45235</v>
      </c>
      <c r="C7607" s="242">
        <f t="shared" si="237"/>
        <v>11</v>
      </c>
      <c r="D7607" s="242">
        <v>53.6</v>
      </c>
      <c r="E7607" s="845">
        <f t="shared" si="238"/>
        <v>12</v>
      </c>
    </row>
    <row r="7608" spans="2:5">
      <c r="B7608" s="1115">
        <v>45235</v>
      </c>
      <c r="C7608" s="242">
        <f t="shared" si="237"/>
        <v>11</v>
      </c>
      <c r="D7608" s="242">
        <v>53.4</v>
      </c>
      <c r="E7608" s="845">
        <f t="shared" si="238"/>
        <v>11.888888888888888</v>
      </c>
    </row>
    <row r="7609" spans="2:5">
      <c r="B7609" s="1115">
        <v>45235</v>
      </c>
      <c r="C7609" s="242">
        <f t="shared" si="237"/>
        <v>11</v>
      </c>
      <c r="D7609" s="242">
        <v>52.9</v>
      </c>
      <c r="E7609" s="845">
        <f t="shared" si="238"/>
        <v>11.611111111111111</v>
      </c>
    </row>
    <row r="7610" spans="2:5">
      <c r="B7610" s="1115">
        <v>45235</v>
      </c>
      <c r="C7610" s="242">
        <f t="shared" si="237"/>
        <v>11</v>
      </c>
      <c r="D7610" s="242">
        <v>52.7</v>
      </c>
      <c r="E7610" s="845">
        <f t="shared" si="238"/>
        <v>11.500000000000002</v>
      </c>
    </row>
    <row r="7611" spans="2:5">
      <c r="B7611" s="1115">
        <v>45235</v>
      </c>
      <c r="C7611" s="242">
        <f t="shared" si="237"/>
        <v>11</v>
      </c>
      <c r="D7611" s="242">
        <v>52.7</v>
      </c>
      <c r="E7611" s="845">
        <f t="shared" si="238"/>
        <v>11.500000000000002</v>
      </c>
    </row>
    <row r="7612" spans="2:5">
      <c r="B7612" s="1115">
        <v>45235</v>
      </c>
      <c r="C7612" s="242">
        <f t="shared" si="237"/>
        <v>11</v>
      </c>
      <c r="D7612" s="242">
        <v>53.1</v>
      </c>
      <c r="E7612" s="845">
        <f t="shared" si="238"/>
        <v>11.722222222222223</v>
      </c>
    </row>
    <row r="7613" spans="2:5">
      <c r="B7613" s="1115">
        <v>45235</v>
      </c>
      <c r="C7613" s="242">
        <f t="shared" si="237"/>
        <v>11</v>
      </c>
      <c r="D7613" s="242">
        <v>53.4</v>
      </c>
      <c r="E7613" s="845">
        <f t="shared" si="238"/>
        <v>11.888888888888888</v>
      </c>
    </row>
    <row r="7614" spans="2:5">
      <c r="B7614" s="1115">
        <v>45235</v>
      </c>
      <c r="C7614" s="242">
        <f t="shared" si="237"/>
        <v>11</v>
      </c>
      <c r="D7614" s="242">
        <v>53.8</v>
      </c>
      <c r="E7614" s="845">
        <f t="shared" si="238"/>
        <v>12.111111111111109</v>
      </c>
    </row>
    <row r="7615" spans="2:5">
      <c r="B7615" s="1115">
        <v>45235</v>
      </c>
      <c r="C7615" s="242">
        <f t="shared" si="237"/>
        <v>11</v>
      </c>
      <c r="D7615" s="242" t="s">
        <v>1846</v>
      </c>
      <c r="E7615" s="845">
        <f t="shared" si="238"/>
        <v>12.222222222222221</v>
      </c>
    </row>
    <row r="7616" spans="2:5">
      <c r="B7616" s="1115">
        <v>45235</v>
      </c>
      <c r="C7616" s="242">
        <f t="shared" si="237"/>
        <v>11</v>
      </c>
      <c r="D7616" s="242" t="s">
        <v>1846</v>
      </c>
      <c r="E7616" s="845">
        <f t="shared" si="238"/>
        <v>12.222222222222221</v>
      </c>
    </row>
    <row r="7617" spans="2:5">
      <c r="B7617" s="1115">
        <v>45236</v>
      </c>
      <c r="C7617" s="242">
        <f t="shared" si="237"/>
        <v>11</v>
      </c>
      <c r="D7617" s="242" t="s">
        <v>1846</v>
      </c>
      <c r="E7617" s="845">
        <f t="shared" si="238"/>
        <v>12.222222222222221</v>
      </c>
    </row>
    <row r="7618" spans="2:5">
      <c r="B7618" s="1115">
        <v>45236</v>
      </c>
      <c r="C7618" s="242">
        <f t="shared" si="237"/>
        <v>11</v>
      </c>
      <c r="D7618" s="242" t="s">
        <v>1846</v>
      </c>
      <c r="E7618" s="845">
        <f t="shared" si="238"/>
        <v>12.222222222222221</v>
      </c>
    </row>
    <row r="7619" spans="2:5">
      <c r="B7619" s="1115">
        <v>45236</v>
      </c>
      <c r="C7619" s="242">
        <f t="shared" si="237"/>
        <v>11</v>
      </c>
      <c r="D7619" s="242">
        <v>53.8</v>
      </c>
      <c r="E7619" s="845">
        <f t="shared" si="238"/>
        <v>12.111111111111109</v>
      </c>
    </row>
    <row r="7620" spans="2:5">
      <c r="B7620" s="1115">
        <v>45236</v>
      </c>
      <c r="C7620" s="242">
        <f t="shared" si="237"/>
        <v>11</v>
      </c>
      <c r="D7620" s="242">
        <v>53.4</v>
      </c>
      <c r="E7620" s="845">
        <f t="shared" si="238"/>
        <v>11.888888888888888</v>
      </c>
    </row>
    <row r="7621" spans="2:5">
      <c r="B7621" s="1115">
        <v>45236</v>
      </c>
      <c r="C7621" s="242">
        <f t="shared" si="237"/>
        <v>11</v>
      </c>
      <c r="D7621" s="242">
        <v>52.9</v>
      </c>
      <c r="E7621" s="845">
        <f t="shared" si="238"/>
        <v>11.611111111111111</v>
      </c>
    </row>
    <row r="7622" spans="2:5">
      <c r="B7622" s="1115">
        <v>45236</v>
      </c>
      <c r="C7622" s="242">
        <f t="shared" si="237"/>
        <v>11</v>
      </c>
      <c r="D7622" s="242">
        <v>52.5</v>
      </c>
      <c r="E7622" s="845">
        <f t="shared" si="238"/>
        <v>11.388888888888889</v>
      </c>
    </row>
    <row r="7623" spans="2:5">
      <c r="B7623" s="1115">
        <v>45236</v>
      </c>
      <c r="C7623" s="242">
        <f t="shared" si="237"/>
        <v>11</v>
      </c>
      <c r="D7623" s="242">
        <v>52.3</v>
      </c>
      <c r="E7623" s="845">
        <f t="shared" si="238"/>
        <v>11.277777777777777</v>
      </c>
    </row>
    <row r="7624" spans="2:5">
      <c r="B7624" s="1115">
        <v>45236</v>
      </c>
      <c r="C7624" s="242">
        <f t="shared" si="237"/>
        <v>11</v>
      </c>
      <c r="D7624" s="242">
        <v>52.3</v>
      </c>
      <c r="E7624" s="845">
        <f t="shared" si="238"/>
        <v>11.277777777777777</v>
      </c>
    </row>
    <row r="7625" spans="2:5">
      <c r="B7625" s="1115">
        <v>45236</v>
      </c>
      <c r="C7625" s="242">
        <f t="shared" si="237"/>
        <v>11</v>
      </c>
      <c r="D7625" s="242">
        <v>52.5</v>
      </c>
      <c r="E7625" s="845">
        <f t="shared" si="238"/>
        <v>11.388888888888889</v>
      </c>
    </row>
    <row r="7626" spans="2:5">
      <c r="B7626" s="1115">
        <v>45236</v>
      </c>
      <c r="C7626" s="242">
        <f t="shared" ref="C7626:C7689" si="239">MONTH(B7626)</f>
        <v>11</v>
      </c>
      <c r="D7626" s="242">
        <v>53.1</v>
      </c>
      <c r="E7626" s="845">
        <f t="shared" ref="E7626:E7689" si="240">CONVERT(D7626,"F","C")</f>
        <v>11.722222222222223</v>
      </c>
    </row>
    <row r="7627" spans="2:5">
      <c r="B7627" s="1115">
        <v>45236</v>
      </c>
      <c r="C7627" s="242">
        <f t="shared" si="239"/>
        <v>11</v>
      </c>
      <c r="D7627" s="242">
        <v>53.2</v>
      </c>
      <c r="E7627" s="845">
        <f t="shared" si="240"/>
        <v>11.777777777777779</v>
      </c>
    </row>
    <row r="7628" spans="2:5">
      <c r="B7628" s="1115">
        <v>45236</v>
      </c>
      <c r="C7628" s="242">
        <f t="shared" si="239"/>
        <v>11</v>
      </c>
      <c r="D7628" s="242">
        <v>53.6</v>
      </c>
      <c r="E7628" s="845">
        <f t="shared" si="240"/>
        <v>12</v>
      </c>
    </row>
    <row r="7629" spans="2:5">
      <c r="B7629" s="1115">
        <v>45236</v>
      </c>
      <c r="C7629" s="242">
        <f t="shared" si="239"/>
        <v>11</v>
      </c>
      <c r="D7629" s="242">
        <v>53.6</v>
      </c>
      <c r="E7629" s="845">
        <f t="shared" si="240"/>
        <v>12</v>
      </c>
    </row>
    <row r="7630" spans="2:5">
      <c r="B7630" s="1115">
        <v>45236</v>
      </c>
      <c r="C7630" s="242">
        <f t="shared" si="239"/>
        <v>11</v>
      </c>
      <c r="D7630" s="242">
        <v>53.6</v>
      </c>
      <c r="E7630" s="845">
        <f t="shared" si="240"/>
        <v>12</v>
      </c>
    </row>
    <row r="7631" spans="2:5">
      <c r="B7631" s="1115">
        <v>45236</v>
      </c>
      <c r="C7631" s="242">
        <f t="shared" si="239"/>
        <v>11</v>
      </c>
      <c r="D7631" s="242">
        <v>53.6</v>
      </c>
      <c r="E7631" s="845">
        <f t="shared" si="240"/>
        <v>12</v>
      </c>
    </row>
    <row r="7632" spans="2:5">
      <c r="B7632" s="1115">
        <v>45236</v>
      </c>
      <c r="C7632" s="242">
        <f t="shared" si="239"/>
        <v>11</v>
      </c>
      <c r="D7632" s="242">
        <v>53.4</v>
      </c>
      <c r="E7632" s="845">
        <f t="shared" si="240"/>
        <v>11.888888888888888</v>
      </c>
    </row>
    <row r="7633" spans="2:5">
      <c r="B7633" s="1115">
        <v>45236</v>
      </c>
      <c r="C7633" s="242">
        <f t="shared" si="239"/>
        <v>11</v>
      </c>
      <c r="D7633" s="242">
        <v>53.1</v>
      </c>
      <c r="E7633" s="845">
        <f t="shared" si="240"/>
        <v>11.722222222222223</v>
      </c>
    </row>
    <row r="7634" spans="2:5">
      <c r="B7634" s="1115">
        <v>45236</v>
      </c>
      <c r="C7634" s="242">
        <f t="shared" si="239"/>
        <v>11</v>
      </c>
      <c r="D7634" s="242">
        <v>52.7</v>
      </c>
      <c r="E7634" s="845">
        <f t="shared" si="240"/>
        <v>11.500000000000002</v>
      </c>
    </row>
    <row r="7635" spans="2:5">
      <c r="B7635" s="1115">
        <v>45236</v>
      </c>
      <c r="C7635" s="242">
        <f t="shared" si="239"/>
        <v>11</v>
      </c>
      <c r="D7635" s="242">
        <v>52.3</v>
      </c>
      <c r="E7635" s="845">
        <f t="shared" si="240"/>
        <v>11.277777777777777</v>
      </c>
    </row>
    <row r="7636" spans="2:5">
      <c r="B7636" s="1115">
        <v>45236</v>
      </c>
      <c r="C7636" s="242">
        <f t="shared" si="239"/>
        <v>11</v>
      </c>
      <c r="D7636" s="242">
        <v>52.3</v>
      </c>
      <c r="E7636" s="845">
        <f t="shared" si="240"/>
        <v>11.277777777777777</v>
      </c>
    </row>
    <row r="7637" spans="2:5">
      <c r="B7637" s="1115">
        <v>45236</v>
      </c>
      <c r="C7637" s="242">
        <f t="shared" si="239"/>
        <v>11</v>
      </c>
      <c r="D7637" s="242">
        <v>52.5</v>
      </c>
      <c r="E7637" s="845">
        <f t="shared" si="240"/>
        <v>11.388888888888889</v>
      </c>
    </row>
    <row r="7638" spans="2:5">
      <c r="B7638" s="1115">
        <v>45236</v>
      </c>
      <c r="C7638" s="242">
        <f t="shared" si="239"/>
        <v>11</v>
      </c>
      <c r="D7638" s="242">
        <v>53.1</v>
      </c>
      <c r="E7638" s="845">
        <f t="shared" si="240"/>
        <v>11.722222222222223</v>
      </c>
    </row>
    <row r="7639" spans="2:5">
      <c r="B7639" s="1115">
        <v>45236</v>
      </c>
      <c r="C7639" s="242">
        <f t="shared" si="239"/>
        <v>11</v>
      </c>
      <c r="D7639" s="242">
        <v>53.2</v>
      </c>
      <c r="E7639" s="845">
        <f t="shared" si="240"/>
        <v>11.777777777777779</v>
      </c>
    </row>
    <row r="7640" spans="2:5">
      <c r="B7640" s="1115">
        <v>45236</v>
      </c>
      <c r="C7640" s="242">
        <f t="shared" si="239"/>
        <v>11</v>
      </c>
      <c r="D7640" s="242">
        <v>53.4</v>
      </c>
      <c r="E7640" s="845">
        <f t="shared" si="240"/>
        <v>11.888888888888888</v>
      </c>
    </row>
    <row r="7641" spans="2:5">
      <c r="B7641" s="1115">
        <v>45237</v>
      </c>
      <c r="C7641" s="242">
        <f t="shared" si="239"/>
        <v>11</v>
      </c>
      <c r="D7641" s="242">
        <v>53.6</v>
      </c>
      <c r="E7641" s="845">
        <f t="shared" si="240"/>
        <v>12</v>
      </c>
    </row>
    <row r="7642" spans="2:5">
      <c r="B7642" s="1115">
        <v>45237</v>
      </c>
      <c r="C7642" s="242">
        <f t="shared" si="239"/>
        <v>11</v>
      </c>
      <c r="D7642" s="242">
        <v>53.6</v>
      </c>
      <c r="E7642" s="845">
        <f t="shared" si="240"/>
        <v>12</v>
      </c>
    </row>
    <row r="7643" spans="2:5">
      <c r="B7643" s="1115">
        <v>45237</v>
      </c>
      <c r="C7643" s="242">
        <f t="shared" si="239"/>
        <v>11</v>
      </c>
      <c r="D7643" s="242">
        <v>53.4</v>
      </c>
      <c r="E7643" s="845">
        <f t="shared" si="240"/>
        <v>11.888888888888888</v>
      </c>
    </row>
    <row r="7644" spans="2:5">
      <c r="B7644" s="1115">
        <v>45237</v>
      </c>
      <c r="C7644" s="242">
        <f t="shared" si="239"/>
        <v>11</v>
      </c>
      <c r="D7644" s="242">
        <v>53.2</v>
      </c>
      <c r="E7644" s="845">
        <f t="shared" si="240"/>
        <v>11.777777777777779</v>
      </c>
    </row>
    <row r="7645" spans="2:5">
      <c r="B7645" s="1115">
        <v>45237</v>
      </c>
      <c r="C7645" s="242">
        <f t="shared" si="239"/>
        <v>11</v>
      </c>
      <c r="D7645" s="242">
        <v>53.1</v>
      </c>
      <c r="E7645" s="845">
        <f t="shared" si="240"/>
        <v>11.722222222222223</v>
      </c>
    </row>
    <row r="7646" spans="2:5">
      <c r="B7646" s="1115">
        <v>45237</v>
      </c>
      <c r="C7646" s="242">
        <f t="shared" si="239"/>
        <v>11</v>
      </c>
      <c r="D7646" s="242">
        <v>52.5</v>
      </c>
      <c r="E7646" s="845">
        <f t="shared" si="240"/>
        <v>11.388888888888889</v>
      </c>
    </row>
    <row r="7647" spans="2:5">
      <c r="B7647" s="1115">
        <v>45237</v>
      </c>
      <c r="C7647" s="242">
        <f t="shared" si="239"/>
        <v>11</v>
      </c>
      <c r="D7647" s="242">
        <v>52.2</v>
      </c>
      <c r="E7647" s="845">
        <f t="shared" si="240"/>
        <v>11.222222222222223</v>
      </c>
    </row>
    <row r="7648" spans="2:5">
      <c r="B7648" s="1115">
        <v>45237</v>
      </c>
      <c r="C7648" s="242">
        <f t="shared" si="239"/>
        <v>11</v>
      </c>
      <c r="D7648" s="242" t="s">
        <v>1845</v>
      </c>
      <c r="E7648" s="845">
        <f t="shared" si="240"/>
        <v>11.111111111111111</v>
      </c>
    </row>
    <row r="7649" spans="2:5">
      <c r="B7649" s="1115">
        <v>45237</v>
      </c>
      <c r="C7649" s="242">
        <f t="shared" si="239"/>
        <v>11</v>
      </c>
      <c r="D7649" s="242" t="s">
        <v>1845</v>
      </c>
      <c r="E7649" s="845">
        <f t="shared" si="240"/>
        <v>11.111111111111111</v>
      </c>
    </row>
    <row r="7650" spans="2:5">
      <c r="B7650" s="1115">
        <v>45237</v>
      </c>
      <c r="C7650" s="242">
        <f t="shared" si="239"/>
        <v>11</v>
      </c>
      <c r="D7650" s="242">
        <v>52.3</v>
      </c>
      <c r="E7650" s="845">
        <f t="shared" si="240"/>
        <v>11.277777777777777</v>
      </c>
    </row>
    <row r="7651" spans="2:5">
      <c r="B7651" s="1115">
        <v>45237</v>
      </c>
      <c r="C7651" s="242">
        <f t="shared" si="239"/>
        <v>11</v>
      </c>
      <c r="D7651" s="242">
        <v>52.7</v>
      </c>
      <c r="E7651" s="845">
        <f t="shared" si="240"/>
        <v>11.500000000000002</v>
      </c>
    </row>
    <row r="7652" spans="2:5">
      <c r="B7652" s="1115">
        <v>45237</v>
      </c>
      <c r="C7652" s="242">
        <f t="shared" si="239"/>
        <v>11</v>
      </c>
      <c r="D7652" s="242">
        <v>52.9</v>
      </c>
      <c r="E7652" s="845">
        <f t="shared" si="240"/>
        <v>11.611111111111111</v>
      </c>
    </row>
    <row r="7653" spans="2:5">
      <c r="B7653" s="1115">
        <v>45237</v>
      </c>
      <c r="C7653" s="242">
        <f t="shared" si="239"/>
        <v>11</v>
      </c>
      <c r="D7653" s="242">
        <v>53.2</v>
      </c>
      <c r="E7653" s="845">
        <f t="shared" si="240"/>
        <v>11.777777777777779</v>
      </c>
    </row>
    <row r="7654" spans="2:5">
      <c r="B7654" s="1115">
        <v>45237</v>
      </c>
      <c r="C7654" s="242">
        <f t="shared" si="239"/>
        <v>11</v>
      </c>
      <c r="D7654" s="242">
        <v>53.2</v>
      </c>
      <c r="E7654" s="845">
        <f t="shared" si="240"/>
        <v>11.777777777777779</v>
      </c>
    </row>
    <row r="7655" spans="2:5">
      <c r="B7655" s="1115">
        <v>45237</v>
      </c>
      <c r="C7655" s="242">
        <f t="shared" si="239"/>
        <v>11</v>
      </c>
      <c r="D7655" s="242">
        <v>53.2</v>
      </c>
      <c r="E7655" s="845">
        <f t="shared" si="240"/>
        <v>11.777777777777779</v>
      </c>
    </row>
    <row r="7656" spans="2:5">
      <c r="B7656" s="1115">
        <v>45237</v>
      </c>
      <c r="C7656" s="242">
        <f t="shared" si="239"/>
        <v>11</v>
      </c>
      <c r="D7656" s="242">
        <v>53.2</v>
      </c>
      <c r="E7656" s="845">
        <f t="shared" si="240"/>
        <v>11.777777777777779</v>
      </c>
    </row>
    <row r="7657" spans="2:5">
      <c r="B7657" s="1115">
        <v>45237</v>
      </c>
      <c r="C7657" s="242">
        <f t="shared" si="239"/>
        <v>11</v>
      </c>
      <c r="D7657" s="242">
        <v>53.1</v>
      </c>
      <c r="E7657" s="845">
        <f t="shared" si="240"/>
        <v>11.722222222222223</v>
      </c>
    </row>
    <row r="7658" spans="2:5">
      <c r="B7658" s="1115">
        <v>45237</v>
      </c>
      <c r="C7658" s="242">
        <f t="shared" si="239"/>
        <v>11</v>
      </c>
      <c r="D7658" s="242">
        <v>52.9</v>
      </c>
      <c r="E7658" s="845">
        <f t="shared" si="240"/>
        <v>11.611111111111111</v>
      </c>
    </row>
    <row r="7659" spans="2:5">
      <c r="B7659" s="1115">
        <v>45237</v>
      </c>
      <c r="C7659" s="242">
        <f t="shared" si="239"/>
        <v>11</v>
      </c>
      <c r="D7659" s="242">
        <v>52.7</v>
      </c>
      <c r="E7659" s="845">
        <f t="shared" si="240"/>
        <v>11.500000000000002</v>
      </c>
    </row>
    <row r="7660" spans="2:5">
      <c r="B7660" s="1115">
        <v>45237</v>
      </c>
      <c r="C7660" s="242">
        <f t="shared" si="239"/>
        <v>11</v>
      </c>
      <c r="D7660" s="242">
        <v>52.5</v>
      </c>
      <c r="E7660" s="845">
        <f t="shared" si="240"/>
        <v>11.388888888888889</v>
      </c>
    </row>
    <row r="7661" spans="2:5">
      <c r="B7661" s="1115">
        <v>45237</v>
      </c>
      <c r="C7661" s="242">
        <f t="shared" si="239"/>
        <v>11</v>
      </c>
      <c r="D7661" s="242">
        <v>52.5</v>
      </c>
      <c r="E7661" s="845">
        <f t="shared" si="240"/>
        <v>11.388888888888889</v>
      </c>
    </row>
    <row r="7662" spans="2:5">
      <c r="B7662" s="1115">
        <v>45237</v>
      </c>
      <c r="C7662" s="242">
        <f t="shared" si="239"/>
        <v>11</v>
      </c>
      <c r="D7662" s="242">
        <v>52.7</v>
      </c>
      <c r="E7662" s="845">
        <f t="shared" si="240"/>
        <v>11.500000000000002</v>
      </c>
    </row>
    <row r="7663" spans="2:5">
      <c r="B7663" s="1115">
        <v>45237</v>
      </c>
      <c r="C7663" s="242">
        <f t="shared" si="239"/>
        <v>11</v>
      </c>
      <c r="D7663" s="242">
        <v>53.1</v>
      </c>
      <c r="E7663" s="845">
        <f t="shared" si="240"/>
        <v>11.722222222222223</v>
      </c>
    </row>
    <row r="7664" spans="2:5">
      <c r="B7664" s="1115">
        <v>45237</v>
      </c>
      <c r="C7664" s="242">
        <f t="shared" si="239"/>
        <v>11</v>
      </c>
      <c r="D7664" s="242">
        <v>53.1</v>
      </c>
      <c r="E7664" s="845">
        <f t="shared" si="240"/>
        <v>11.722222222222223</v>
      </c>
    </row>
    <row r="7665" spans="2:5">
      <c r="B7665" s="1115">
        <v>45238</v>
      </c>
      <c r="C7665" s="242">
        <f t="shared" si="239"/>
        <v>11</v>
      </c>
      <c r="D7665" s="242">
        <v>53.4</v>
      </c>
      <c r="E7665" s="845">
        <f t="shared" si="240"/>
        <v>11.888888888888888</v>
      </c>
    </row>
    <row r="7666" spans="2:5">
      <c r="B7666" s="1115">
        <v>45238</v>
      </c>
      <c r="C7666" s="242">
        <f t="shared" si="239"/>
        <v>11</v>
      </c>
      <c r="D7666" s="242">
        <v>53.4</v>
      </c>
      <c r="E7666" s="845">
        <f t="shared" si="240"/>
        <v>11.888888888888888</v>
      </c>
    </row>
    <row r="7667" spans="2:5">
      <c r="B7667" s="1115">
        <v>45238</v>
      </c>
      <c r="C7667" s="242">
        <f t="shared" si="239"/>
        <v>11</v>
      </c>
      <c r="D7667" s="242">
        <v>53.4</v>
      </c>
      <c r="E7667" s="845">
        <f t="shared" si="240"/>
        <v>11.888888888888888</v>
      </c>
    </row>
    <row r="7668" spans="2:5">
      <c r="B7668" s="1115">
        <v>45238</v>
      </c>
      <c r="C7668" s="242">
        <f t="shared" si="239"/>
        <v>11</v>
      </c>
      <c r="D7668" s="242">
        <v>53.4</v>
      </c>
      <c r="E7668" s="845">
        <f t="shared" si="240"/>
        <v>11.888888888888888</v>
      </c>
    </row>
    <row r="7669" spans="2:5">
      <c r="B7669" s="1115">
        <v>45238</v>
      </c>
      <c r="C7669" s="242">
        <f t="shared" si="239"/>
        <v>11</v>
      </c>
      <c r="D7669" s="242">
        <v>53.2</v>
      </c>
      <c r="E7669" s="845">
        <f t="shared" si="240"/>
        <v>11.777777777777779</v>
      </c>
    </row>
    <row r="7670" spans="2:5">
      <c r="B7670" s="1115">
        <v>45238</v>
      </c>
      <c r="C7670" s="242">
        <f t="shared" si="239"/>
        <v>11</v>
      </c>
      <c r="D7670" s="242">
        <v>52.9</v>
      </c>
      <c r="E7670" s="845">
        <f t="shared" si="240"/>
        <v>11.611111111111111</v>
      </c>
    </row>
    <row r="7671" spans="2:5">
      <c r="B7671" s="1115">
        <v>45238</v>
      </c>
      <c r="C7671" s="242">
        <f t="shared" si="239"/>
        <v>11</v>
      </c>
      <c r="D7671" s="242">
        <v>52.5</v>
      </c>
      <c r="E7671" s="845">
        <f t="shared" si="240"/>
        <v>11.388888888888889</v>
      </c>
    </row>
    <row r="7672" spans="2:5">
      <c r="B7672" s="1115">
        <v>45238</v>
      </c>
      <c r="C7672" s="242">
        <f t="shared" si="239"/>
        <v>11</v>
      </c>
      <c r="D7672" s="242">
        <v>52.2</v>
      </c>
      <c r="E7672" s="845">
        <f t="shared" si="240"/>
        <v>11.222222222222223</v>
      </c>
    </row>
    <row r="7673" spans="2:5">
      <c r="B7673" s="1115">
        <v>45238</v>
      </c>
      <c r="C7673" s="242">
        <f t="shared" si="239"/>
        <v>11</v>
      </c>
      <c r="D7673" s="242" t="s">
        <v>1845</v>
      </c>
      <c r="E7673" s="845">
        <f t="shared" si="240"/>
        <v>11.111111111111111</v>
      </c>
    </row>
    <row r="7674" spans="2:5">
      <c r="B7674" s="1115">
        <v>45238</v>
      </c>
      <c r="C7674" s="242">
        <f t="shared" si="239"/>
        <v>11</v>
      </c>
      <c r="D7674" s="242">
        <v>51.8</v>
      </c>
      <c r="E7674" s="845">
        <f t="shared" si="240"/>
        <v>10.999999999999998</v>
      </c>
    </row>
    <row r="7675" spans="2:5">
      <c r="B7675" s="1115">
        <v>45238</v>
      </c>
      <c r="C7675" s="242">
        <f t="shared" si="239"/>
        <v>11</v>
      </c>
      <c r="D7675" s="242" t="s">
        <v>1845</v>
      </c>
      <c r="E7675" s="845">
        <f t="shared" si="240"/>
        <v>11.111111111111111</v>
      </c>
    </row>
    <row r="7676" spans="2:5">
      <c r="B7676" s="1115">
        <v>45238</v>
      </c>
      <c r="C7676" s="242">
        <f t="shared" si="239"/>
        <v>11</v>
      </c>
      <c r="D7676" s="242">
        <v>52.7</v>
      </c>
      <c r="E7676" s="845">
        <f t="shared" si="240"/>
        <v>11.500000000000002</v>
      </c>
    </row>
    <row r="7677" spans="2:5">
      <c r="B7677" s="1115">
        <v>45238</v>
      </c>
      <c r="C7677" s="242">
        <f t="shared" si="239"/>
        <v>11</v>
      </c>
      <c r="D7677" s="242">
        <v>52.9</v>
      </c>
      <c r="E7677" s="845">
        <f t="shared" si="240"/>
        <v>11.611111111111111</v>
      </c>
    </row>
    <row r="7678" spans="2:5">
      <c r="B7678" s="1115">
        <v>45238</v>
      </c>
      <c r="C7678" s="242">
        <f t="shared" si="239"/>
        <v>11</v>
      </c>
      <c r="D7678" s="242">
        <v>52.9</v>
      </c>
      <c r="E7678" s="845">
        <f t="shared" si="240"/>
        <v>11.611111111111111</v>
      </c>
    </row>
    <row r="7679" spans="2:5">
      <c r="B7679" s="1115">
        <v>45238</v>
      </c>
      <c r="C7679" s="242">
        <f t="shared" si="239"/>
        <v>11</v>
      </c>
      <c r="D7679" s="242">
        <v>52.9</v>
      </c>
      <c r="E7679" s="845">
        <f t="shared" si="240"/>
        <v>11.611111111111111</v>
      </c>
    </row>
    <row r="7680" spans="2:5">
      <c r="B7680" s="1115">
        <v>45238</v>
      </c>
      <c r="C7680" s="242">
        <f t="shared" si="239"/>
        <v>11</v>
      </c>
      <c r="D7680" s="242">
        <v>53.1</v>
      </c>
      <c r="E7680" s="845">
        <f t="shared" si="240"/>
        <v>11.722222222222223</v>
      </c>
    </row>
    <row r="7681" spans="2:5">
      <c r="B7681" s="1115">
        <v>45238</v>
      </c>
      <c r="C7681" s="242">
        <f t="shared" si="239"/>
        <v>11</v>
      </c>
      <c r="D7681" s="242">
        <v>52.9</v>
      </c>
      <c r="E7681" s="845">
        <f t="shared" si="240"/>
        <v>11.611111111111111</v>
      </c>
    </row>
    <row r="7682" spans="2:5">
      <c r="B7682" s="1115">
        <v>45238</v>
      </c>
      <c r="C7682" s="242">
        <f t="shared" si="239"/>
        <v>11</v>
      </c>
      <c r="D7682" s="242">
        <v>52.5</v>
      </c>
      <c r="E7682" s="845">
        <f t="shared" si="240"/>
        <v>11.388888888888889</v>
      </c>
    </row>
    <row r="7683" spans="2:5">
      <c r="B7683" s="1115">
        <v>45238</v>
      </c>
      <c r="C7683" s="242">
        <f t="shared" si="239"/>
        <v>11</v>
      </c>
      <c r="D7683" s="242">
        <v>52.2</v>
      </c>
      <c r="E7683" s="845">
        <f t="shared" si="240"/>
        <v>11.222222222222223</v>
      </c>
    </row>
    <row r="7684" spans="2:5">
      <c r="B7684" s="1115">
        <v>45238</v>
      </c>
      <c r="C7684" s="242">
        <f t="shared" si="239"/>
        <v>11</v>
      </c>
      <c r="D7684" s="242">
        <v>51.6</v>
      </c>
      <c r="E7684" s="845">
        <f t="shared" si="240"/>
        <v>10.888888888888889</v>
      </c>
    </row>
    <row r="7685" spans="2:5">
      <c r="B7685" s="1115">
        <v>45238</v>
      </c>
      <c r="C7685" s="242">
        <f t="shared" si="239"/>
        <v>11</v>
      </c>
      <c r="D7685" s="242">
        <v>51.4</v>
      </c>
      <c r="E7685" s="845">
        <f t="shared" si="240"/>
        <v>10.777777777777777</v>
      </c>
    </row>
    <row r="7686" spans="2:5">
      <c r="B7686" s="1115">
        <v>45238</v>
      </c>
      <c r="C7686" s="242">
        <f t="shared" si="239"/>
        <v>11</v>
      </c>
      <c r="D7686" s="242">
        <v>51.3</v>
      </c>
      <c r="E7686" s="845">
        <f t="shared" si="240"/>
        <v>10.72222222222222</v>
      </c>
    </row>
    <row r="7687" spans="2:5">
      <c r="B7687" s="1115">
        <v>45238</v>
      </c>
      <c r="C7687" s="242">
        <f t="shared" si="239"/>
        <v>11</v>
      </c>
      <c r="D7687" s="242">
        <v>51.8</v>
      </c>
      <c r="E7687" s="845">
        <f t="shared" si="240"/>
        <v>10.999999999999998</v>
      </c>
    </row>
    <row r="7688" spans="2:5">
      <c r="B7688" s="1115">
        <v>45238</v>
      </c>
      <c r="C7688" s="242">
        <f t="shared" si="239"/>
        <v>11</v>
      </c>
      <c r="D7688" s="242">
        <v>52.2</v>
      </c>
      <c r="E7688" s="845">
        <f t="shared" si="240"/>
        <v>11.222222222222223</v>
      </c>
    </row>
    <row r="7689" spans="2:5">
      <c r="B7689" s="1115">
        <v>45239</v>
      </c>
      <c r="C7689" s="242">
        <f t="shared" si="239"/>
        <v>11</v>
      </c>
      <c r="D7689" s="242">
        <v>52.3</v>
      </c>
      <c r="E7689" s="845">
        <f t="shared" si="240"/>
        <v>11.277777777777777</v>
      </c>
    </row>
    <row r="7690" spans="2:5">
      <c r="B7690" s="1115">
        <v>45239</v>
      </c>
      <c r="C7690" s="242">
        <f t="shared" ref="C7690:C7753" si="241">MONTH(B7690)</f>
        <v>11</v>
      </c>
      <c r="D7690" s="242">
        <v>52.5</v>
      </c>
      <c r="E7690" s="845">
        <f t="shared" ref="E7690:E7753" si="242">CONVERT(D7690,"F","C")</f>
        <v>11.388888888888889</v>
      </c>
    </row>
    <row r="7691" spans="2:5">
      <c r="B7691" s="1115">
        <v>45239</v>
      </c>
      <c r="C7691" s="242">
        <f t="shared" si="241"/>
        <v>11</v>
      </c>
      <c r="D7691" s="242">
        <v>52.7</v>
      </c>
      <c r="E7691" s="845">
        <f t="shared" si="242"/>
        <v>11.500000000000002</v>
      </c>
    </row>
    <row r="7692" spans="2:5">
      <c r="B7692" s="1115">
        <v>45239</v>
      </c>
      <c r="C7692" s="242">
        <f t="shared" si="241"/>
        <v>11</v>
      </c>
      <c r="D7692" s="242">
        <v>52.5</v>
      </c>
      <c r="E7692" s="845">
        <f t="shared" si="242"/>
        <v>11.388888888888889</v>
      </c>
    </row>
    <row r="7693" spans="2:5">
      <c r="B7693" s="1115">
        <v>45239</v>
      </c>
      <c r="C7693" s="242">
        <f t="shared" si="241"/>
        <v>11</v>
      </c>
      <c r="D7693" s="242">
        <v>52.3</v>
      </c>
      <c r="E7693" s="845">
        <f t="shared" si="242"/>
        <v>11.277777777777777</v>
      </c>
    </row>
    <row r="7694" spans="2:5">
      <c r="B7694" s="1115">
        <v>45239</v>
      </c>
      <c r="C7694" s="242">
        <f t="shared" si="241"/>
        <v>11</v>
      </c>
      <c r="D7694" s="242">
        <v>52.2</v>
      </c>
      <c r="E7694" s="845">
        <f t="shared" si="242"/>
        <v>11.222222222222223</v>
      </c>
    </row>
    <row r="7695" spans="2:5">
      <c r="B7695" s="1115">
        <v>45239</v>
      </c>
      <c r="C7695" s="242">
        <f t="shared" si="241"/>
        <v>11</v>
      </c>
      <c r="D7695" s="242">
        <v>51.6</v>
      </c>
      <c r="E7695" s="845">
        <f t="shared" si="242"/>
        <v>10.888888888888889</v>
      </c>
    </row>
    <row r="7696" spans="2:5">
      <c r="B7696" s="1115">
        <v>45239</v>
      </c>
      <c r="C7696" s="242">
        <f t="shared" si="241"/>
        <v>11</v>
      </c>
      <c r="D7696" s="242">
        <v>51.1</v>
      </c>
      <c r="E7696" s="845">
        <f t="shared" si="242"/>
        <v>10.611111111111112</v>
      </c>
    </row>
    <row r="7697" spans="2:5">
      <c r="B7697" s="1115">
        <v>45239</v>
      </c>
      <c r="C7697" s="242">
        <f t="shared" si="241"/>
        <v>11</v>
      </c>
      <c r="D7697" s="242">
        <v>50.9</v>
      </c>
      <c r="E7697" s="845">
        <f t="shared" si="242"/>
        <v>10.499999999999998</v>
      </c>
    </row>
    <row r="7698" spans="2:5">
      <c r="B7698" s="1115">
        <v>45239</v>
      </c>
      <c r="C7698" s="242">
        <f t="shared" si="241"/>
        <v>11</v>
      </c>
      <c r="D7698" s="242">
        <v>50.7</v>
      </c>
      <c r="E7698" s="845">
        <f t="shared" si="242"/>
        <v>10.388888888888891</v>
      </c>
    </row>
    <row r="7699" spans="2:5">
      <c r="B7699" s="1115">
        <v>45239</v>
      </c>
      <c r="C7699" s="242">
        <f t="shared" si="241"/>
        <v>11</v>
      </c>
      <c r="D7699" s="242">
        <v>51.1</v>
      </c>
      <c r="E7699" s="845">
        <f t="shared" si="242"/>
        <v>10.611111111111112</v>
      </c>
    </row>
    <row r="7700" spans="2:5">
      <c r="B7700" s="1115">
        <v>45239</v>
      </c>
      <c r="C7700" s="242">
        <f t="shared" si="241"/>
        <v>11</v>
      </c>
      <c r="D7700" s="242">
        <v>51.3</v>
      </c>
      <c r="E7700" s="845">
        <f t="shared" si="242"/>
        <v>10.72222222222222</v>
      </c>
    </row>
    <row r="7701" spans="2:5">
      <c r="B7701" s="1115">
        <v>45239</v>
      </c>
      <c r="C7701" s="242">
        <f t="shared" si="241"/>
        <v>11</v>
      </c>
      <c r="D7701" s="242">
        <v>51.6</v>
      </c>
      <c r="E7701" s="845">
        <f t="shared" si="242"/>
        <v>10.888888888888889</v>
      </c>
    </row>
    <row r="7702" spans="2:5">
      <c r="B7702" s="1115">
        <v>45239</v>
      </c>
      <c r="C7702" s="242">
        <f t="shared" si="241"/>
        <v>11</v>
      </c>
      <c r="D7702" s="242">
        <v>52.2</v>
      </c>
      <c r="E7702" s="845">
        <f t="shared" si="242"/>
        <v>11.222222222222223</v>
      </c>
    </row>
    <row r="7703" spans="2:5">
      <c r="B7703" s="1115">
        <v>45239</v>
      </c>
      <c r="C7703" s="242">
        <f t="shared" si="241"/>
        <v>11</v>
      </c>
      <c r="D7703" s="242">
        <v>52.3</v>
      </c>
      <c r="E7703" s="845">
        <f t="shared" si="242"/>
        <v>11.277777777777777</v>
      </c>
    </row>
    <row r="7704" spans="2:5">
      <c r="B7704" s="1115">
        <v>45239</v>
      </c>
      <c r="C7704" s="242">
        <f t="shared" si="241"/>
        <v>11</v>
      </c>
      <c r="D7704" s="242">
        <v>52.3</v>
      </c>
      <c r="E7704" s="845">
        <f t="shared" si="242"/>
        <v>11.277777777777777</v>
      </c>
    </row>
    <row r="7705" spans="2:5">
      <c r="B7705" s="1115">
        <v>45239</v>
      </c>
      <c r="C7705" s="242">
        <f t="shared" si="241"/>
        <v>11</v>
      </c>
      <c r="D7705" s="242">
        <v>52.2</v>
      </c>
      <c r="E7705" s="845">
        <f t="shared" si="242"/>
        <v>11.222222222222223</v>
      </c>
    </row>
    <row r="7706" spans="2:5">
      <c r="B7706" s="1115">
        <v>45239</v>
      </c>
      <c r="C7706" s="242">
        <f t="shared" si="241"/>
        <v>11</v>
      </c>
      <c r="D7706" s="242" t="s">
        <v>1845</v>
      </c>
      <c r="E7706" s="845">
        <f t="shared" si="242"/>
        <v>11.111111111111111</v>
      </c>
    </row>
    <row r="7707" spans="2:5">
      <c r="B7707" s="1115">
        <v>45239</v>
      </c>
      <c r="C7707" s="242">
        <f t="shared" si="241"/>
        <v>11</v>
      </c>
      <c r="D7707" s="242">
        <v>51.6</v>
      </c>
      <c r="E7707" s="845">
        <f t="shared" si="242"/>
        <v>10.888888888888889</v>
      </c>
    </row>
    <row r="7708" spans="2:5">
      <c r="B7708" s="1115">
        <v>45239</v>
      </c>
      <c r="C7708" s="242">
        <f t="shared" si="241"/>
        <v>11</v>
      </c>
      <c r="D7708" s="242">
        <v>51.1</v>
      </c>
      <c r="E7708" s="845">
        <f t="shared" si="242"/>
        <v>10.611111111111112</v>
      </c>
    </row>
    <row r="7709" spans="2:5">
      <c r="B7709" s="1115">
        <v>45239</v>
      </c>
      <c r="C7709" s="242">
        <f t="shared" si="241"/>
        <v>11</v>
      </c>
      <c r="D7709" s="242">
        <v>50.7</v>
      </c>
      <c r="E7709" s="845">
        <f t="shared" si="242"/>
        <v>10.388888888888891</v>
      </c>
    </row>
    <row r="7710" spans="2:5">
      <c r="B7710" s="1115">
        <v>45239</v>
      </c>
      <c r="C7710" s="242">
        <f t="shared" si="241"/>
        <v>11</v>
      </c>
      <c r="D7710" s="242">
        <v>50.5</v>
      </c>
      <c r="E7710" s="845">
        <f t="shared" si="242"/>
        <v>10.277777777777777</v>
      </c>
    </row>
    <row r="7711" spans="2:5">
      <c r="B7711" s="1115">
        <v>45239</v>
      </c>
      <c r="C7711" s="242">
        <f t="shared" si="241"/>
        <v>11</v>
      </c>
      <c r="D7711" s="242">
        <v>50.4</v>
      </c>
      <c r="E7711" s="845">
        <f t="shared" si="242"/>
        <v>10.222222222222221</v>
      </c>
    </row>
    <row r="7712" spans="2:5">
      <c r="B7712" s="1115">
        <v>45239</v>
      </c>
      <c r="C7712" s="242">
        <f t="shared" si="241"/>
        <v>11</v>
      </c>
      <c r="D7712" s="242">
        <v>51.1</v>
      </c>
      <c r="E7712" s="845">
        <f t="shared" si="242"/>
        <v>10.611111111111112</v>
      </c>
    </row>
    <row r="7713" spans="2:5">
      <c r="B7713" s="1115">
        <v>45240</v>
      </c>
      <c r="C7713" s="242">
        <f t="shared" si="241"/>
        <v>11</v>
      </c>
      <c r="D7713" s="242">
        <v>51.3</v>
      </c>
      <c r="E7713" s="845">
        <f t="shared" si="242"/>
        <v>10.72222222222222</v>
      </c>
    </row>
    <row r="7714" spans="2:5">
      <c r="B7714" s="1115">
        <v>45240</v>
      </c>
      <c r="C7714" s="242">
        <f t="shared" si="241"/>
        <v>11</v>
      </c>
      <c r="D7714" s="242">
        <v>51.8</v>
      </c>
      <c r="E7714" s="845">
        <f t="shared" si="242"/>
        <v>10.999999999999998</v>
      </c>
    </row>
    <row r="7715" spans="2:5">
      <c r="B7715" s="1115">
        <v>45240</v>
      </c>
      <c r="C7715" s="242">
        <f t="shared" si="241"/>
        <v>11</v>
      </c>
      <c r="D7715" s="242" t="s">
        <v>1845</v>
      </c>
      <c r="E7715" s="845">
        <f t="shared" si="242"/>
        <v>11.111111111111111</v>
      </c>
    </row>
    <row r="7716" spans="2:5">
      <c r="B7716" s="1115">
        <v>45240</v>
      </c>
      <c r="C7716" s="242">
        <f t="shared" si="241"/>
        <v>11</v>
      </c>
      <c r="D7716" s="242">
        <v>52.2</v>
      </c>
      <c r="E7716" s="845">
        <f t="shared" si="242"/>
        <v>11.222222222222223</v>
      </c>
    </row>
    <row r="7717" spans="2:5">
      <c r="B7717" s="1115">
        <v>45240</v>
      </c>
      <c r="C7717" s="242">
        <f t="shared" si="241"/>
        <v>11</v>
      </c>
      <c r="D7717" s="242">
        <v>52.2</v>
      </c>
      <c r="E7717" s="845">
        <f t="shared" si="242"/>
        <v>11.222222222222223</v>
      </c>
    </row>
    <row r="7718" spans="2:5">
      <c r="B7718" s="1115">
        <v>45240</v>
      </c>
      <c r="C7718" s="242">
        <f t="shared" si="241"/>
        <v>11</v>
      </c>
      <c r="D7718" s="242" t="s">
        <v>1845</v>
      </c>
      <c r="E7718" s="845">
        <f t="shared" si="242"/>
        <v>11.111111111111111</v>
      </c>
    </row>
    <row r="7719" spans="2:5">
      <c r="B7719" s="1115">
        <v>45240</v>
      </c>
      <c r="C7719" s="242">
        <f t="shared" si="241"/>
        <v>11</v>
      </c>
      <c r="D7719" s="242">
        <v>51.6</v>
      </c>
      <c r="E7719" s="845">
        <f t="shared" si="242"/>
        <v>10.888888888888889</v>
      </c>
    </row>
    <row r="7720" spans="2:5">
      <c r="B7720" s="1115">
        <v>45240</v>
      </c>
      <c r="C7720" s="242">
        <f t="shared" si="241"/>
        <v>11</v>
      </c>
      <c r="D7720" s="242">
        <v>51.1</v>
      </c>
      <c r="E7720" s="845">
        <f t="shared" si="242"/>
        <v>10.611111111111112</v>
      </c>
    </row>
    <row r="7721" spans="2:5">
      <c r="B7721" s="1115">
        <v>45240</v>
      </c>
      <c r="C7721" s="242">
        <f t="shared" si="241"/>
        <v>11</v>
      </c>
      <c r="D7721" s="242">
        <v>50.5</v>
      </c>
      <c r="E7721" s="845">
        <f t="shared" si="242"/>
        <v>10.277777777777777</v>
      </c>
    </row>
    <row r="7722" spans="2:5">
      <c r="B7722" s="1115">
        <v>45240</v>
      </c>
      <c r="C7722" s="242">
        <f t="shared" si="241"/>
        <v>11</v>
      </c>
      <c r="D7722" s="242">
        <v>50.2</v>
      </c>
      <c r="E7722" s="845">
        <f t="shared" si="242"/>
        <v>10.111111111111112</v>
      </c>
    </row>
    <row r="7723" spans="2:5">
      <c r="B7723" s="1115">
        <v>45240</v>
      </c>
      <c r="C7723" s="242">
        <f t="shared" si="241"/>
        <v>11</v>
      </c>
      <c r="D7723" s="242" t="s">
        <v>1844</v>
      </c>
      <c r="E7723" s="845">
        <f t="shared" si="242"/>
        <v>10</v>
      </c>
    </row>
    <row r="7724" spans="2:5">
      <c r="B7724" s="1115">
        <v>45240</v>
      </c>
      <c r="C7724" s="242">
        <f t="shared" si="241"/>
        <v>11</v>
      </c>
      <c r="D7724" s="242">
        <v>50.4</v>
      </c>
      <c r="E7724" s="845">
        <f t="shared" si="242"/>
        <v>10.222222222222221</v>
      </c>
    </row>
    <row r="7725" spans="2:5">
      <c r="B7725" s="1115">
        <v>45240</v>
      </c>
      <c r="C7725" s="242">
        <f t="shared" si="241"/>
        <v>11</v>
      </c>
      <c r="D7725" s="242">
        <v>50.9</v>
      </c>
      <c r="E7725" s="845">
        <f t="shared" si="242"/>
        <v>10.499999999999998</v>
      </c>
    </row>
    <row r="7726" spans="2:5">
      <c r="B7726" s="1115">
        <v>45240</v>
      </c>
      <c r="C7726" s="242">
        <f t="shared" si="241"/>
        <v>11</v>
      </c>
      <c r="D7726" s="242">
        <v>51.3</v>
      </c>
      <c r="E7726" s="845">
        <f t="shared" si="242"/>
        <v>10.72222222222222</v>
      </c>
    </row>
    <row r="7727" spans="2:5">
      <c r="B7727" s="1115">
        <v>45240</v>
      </c>
      <c r="C7727" s="242">
        <f t="shared" si="241"/>
        <v>11</v>
      </c>
      <c r="D7727" s="242">
        <v>51.8</v>
      </c>
      <c r="E7727" s="845">
        <f t="shared" si="242"/>
        <v>10.999999999999998</v>
      </c>
    </row>
    <row r="7728" spans="2:5">
      <c r="B7728" s="1115">
        <v>45240</v>
      </c>
      <c r="C7728" s="242">
        <f t="shared" si="241"/>
        <v>11</v>
      </c>
      <c r="D7728" s="242" t="s">
        <v>1845</v>
      </c>
      <c r="E7728" s="845">
        <f t="shared" si="242"/>
        <v>11.111111111111111</v>
      </c>
    </row>
    <row r="7729" spans="2:5">
      <c r="B7729" s="1115">
        <v>45240</v>
      </c>
      <c r="C7729" s="242">
        <f t="shared" si="241"/>
        <v>11</v>
      </c>
      <c r="D7729" s="242">
        <v>52.2</v>
      </c>
      <c r="E7729" s="845">
        <f t="shared" si="242"/>
        <v>11.222222222222223</v>
      </c>
    </row>
    <row r="7730" spans="2:5">
      <c r="B7730" s="1115">
        <v>45240</v>
      </c>
      <c r="C7730" s="242">
        <f t="shared" si="241"/>
        <v>11</v>
      </c>
      <c r="D7730" s="242" t="s">
        <v>1845</v>
      </c>
      <c r="E7730" s="845">
        <f t="shared" si="242"/>
        <v>11.111111111111111</v>
      </c>
    </row>
    <row r="7731" spans="2:5">
      <c r="B7731" s="1115">
        <v>45240</v>
      </c>
      <c r="C7731" s="242">
        <f t="shared" si="241"/>
        <v>11</v>
      </c>
      <c r="D7731" s="242">
        <v>51.6</v>
      </c>
      <c r="E7731" s="845">
        <f t="shared" si="242"/>
        <v>10.888888888888889</v>
      </c>
    </row>
    <row r="7732" spans="2:5">
      <c r="B7732" s="1115">
        <v>45240</v>
      </c>
      <c r="C7732" s="242">
        <f t="shared" si="241"/>
        <v>11</v>
      </c>
      <c r="D7732" s="242">
        <v>51.1</v>
      </c>
      <c r="E7732" s="845">
        <f t="shared" si="242"/>
        <v>10.611111111111112</v>
      </c>
    </row>
    <row r="7733" spans="2:5">
      <c r="B7733" s="1115">
        <v>45240</v>
      </c>
      <c r="C7733" s="242">
        <f t="shared" si="241"/>
        <v>11</v>
      </c>
      <c r="D7733" s="242">
        <v>50.5</v>
      </c>
      <c r="E7733" s="845">
        <f t="shared" si="242"/>
        <v>10.277777777777777</v>
      </c>
    </row>
    <row r="7734" spans="2:5">
      <c r="B7734" s="1115">
        <v>45240</v>
      </c>
      <c r="C7734" s="242">
        <f t="shared" si="241"/>
        <v>11</v>
      </c>
      <c r="D7734" s="242">
        <v>50.2</v>
      </c>
      <c r="E7734" s="845">
        <f t="shared" si="242"/>
        <v>10.111111111111112</v>
      </c>
    </row>
    <row r="7735" spans="2:5">
      <c r="B7735" s="1115">
        <v>45240</v>
      </c>
      <c r="C7735" s="242">
        <f t="shared" si="241"/>
        <v>11</v>
      </c>
      <c r="D7735" s="242">
        <v>49.8</v>
      </c>
      <c r="E7735" s="845">
        <f t="shared" si="242"/>
        <v>9.8888888888888875</v>
      </c>
    </row>
    <row r="7736" spans="2:5">
      <c r="B7736" s="1115">
        <v>45240</v>
      </c>
      <c r="C7736" s="242">
        <f t="shared" si="241"/>
        <v>11</v>
      </c>
      <c r="D7736" s="242">
        <v>49.8</v>
      </c>
      <c r="E7736" s="845">
        <f t="shared" si="242"/>
        <v>9.8888888888888875</v>
      </c>
    </row>
    <row r="7737" spans="2:5">
      <c r="B7737" s="1115">
        <v>45241</v>
      </c>
      <c r="C7737" s="242">
        <f t="shared" si="241"/>
        <v>11</v>
      </c>
      <c r="D7737" s="242">
        <v>50.5</v>
      </c>
      <c r="E7737" s="845">
        <f t="shared" si="242"/>
        <v>10.277777777777777</v>
      </c>
    </row>
    <row r="7738" spans="2:5">
      <c r="B7738" s="1115">
        <v>45241</v>
      </c>
      <c r="C7738" s="242">
        <f t="shared" si="241"/>
        <v>11</v>
      </c>
      <c r="D7738" s="242">
        <v>50.9</v>
      </c>
      <c r="E7738" s="845">
        <f t="shared" si="242"/>
        <v>10.499999999999998</v>
      </c>
    </row>
    <row r="7739" spans="2:5">
      <c r="B7739" s="1115">
        <v>45241</v>
      </c>
      <c r="C7739" s="242">
        <f t="shared" si="241"/>
        <v>11</v>
      </c>
      <c r="D7739" s="242">
        <v>51.4</v>
      </c>
      <c r="E7739" s="845">
        <f t="shared" si="242"/>
        <v>10.777777777777777</v>
      </c>
    </row>
    <row r="7740" spans="2:5">
      <c r="B7740" s="1115">
        <v>45241</v>
      </c>
      <c r="C7740" s="242">
        <f t="shared" si="241"/>
        <v>11</v>
      </c>
      <c r="D7740" s="242" t="s">
        <v>1845</v>
      </c>
      <c r="E7740" s="845">
        <f t="shared" si="242"/>
        <v>11.111111111111111</v>
      </c>
    </row>
    <row r="7741" spans="2:5">
      <c r="B7741" s="1115">
        <v>45241</v>
      </c>
      <c r="C7741" s="242">
        <f t="shared" si="241"/>
        <v>11</v>
      </c>
      <c r="D7741" s="242" t="s">
        <v>1845</v>
      </c>
      <c r="E7741" s="845">
        <f t="shared" si="242"/>
        <v>11.111111111111111</v>
      </c>
    </row>
    <row r="7742" spans="2:5">
      <c r="B7742" s="1115">
        <v>45241</v>
      </c>
      <c r="C7742" s="242">
        <f t="shared" si="241"/>
        <v>11</v>
      </c>
      <c r="D7742" s="242">
        <v>51.8</v>
      </c>
      <c r="E7742" s="845">
        <f t="shared" si="242"/>
        <v>10.999999999999998</v>
      </c>
    </row>
    <row r="7743" spans="2:5">
      <c r="B7743" s="1115">
        <v>45241</v>
      </c>
      <c r="C7743" s="242">
        <f t="shared" si="241"/>
        <v>11</v>
      </c>
      <c r="D7743" s="242">
        <v>51.6</v>
      </c>
      <c r="E7743" s="845">
        <f t="shared" si="242"/>
        <v>10.888888888888889</v>
      </c>
    </row>
    <row r="7744" spans="2:5">
      <c r="B7744" s="1115">
        <v>45241</v>
      </c>
      <c r="C7744" s="242">
        <f t="shared" si="241"/>
        <v>11</v>
      </c>
      <c r="D7744" s="242">
        <v>51.3</v>
      </c>
      <c r="E7744" s="845">
        <f t="shared" si="242"/>
        <v>10.72222222222222</v>
      </c>
    </row>
    <row r="7745" spans="2:5">
      <c r="B7745" s="1115">
        <v>45241</v>
      </c>
      <c r="C7745" s="242">
        <f t="shared" si="241"/>
        <v>11</v>
      </c>
      <c r="D7745" s="242">
        <v>50.4</v>
      </c>
      <c r="E7745" s="845">
        <f t="shared" si="242"/>
        <v>10.222222222222221</v>
      </c>
    </row>
    <row r="7746" spans="2:5">
      <c r="B7746" s="1115">
        <v>45241</v>
      </c>
      <c r="C7746" s="242">
        <f t="shared" si="241"/>
        <v>11</v>
      </c>
      <c r="D7746" s="242" t="s">
        <v>1844</v>
      </c>
      <c r="E7746" s="845">
        <f t="shared" si="242"/>
        <v>10</v>
      </c>
    </row>
    <row r="7747" spans="2:5">
      <c r="B7747" s="1115">
        <v>45241</v>
      </c>
      <c r="C7747" s="242">
        <f t="shared" si="241"/>
        <v>11</v>
      </c>
      <c r="D7747" s="242">
        <v>49.6</v>
      </c>
      <c r="E7747" s="845">
        <f t="shared" si="242"/>
        <v>9.7777777777777786</v>
      </c>
    </row>
    <row r="7748" spans="2:5">
      <c r="B7748" s="1115">
        <v>45241</v>
      </c>
      <c r="C7748" s="242">
        <f t="shared" si="241"/>
        <v>11</v>
      </c>
      <c r="D7748" s="242">
        <v>49.5</v>
      </c>
      <c r="E7748" s="845">
        <f t="shared" si="242"/>
        <v>9.7222222222222214</v>
      </c>
    </row>
    <row r="7749" spans="2:5">
      <c r="B7749" s="1115">
        <v>45241</v>
      </c>
      <c r="C7749" s="242">
        <f t="shared" si="241"/>
        <v>11</v>
      </c>
      <c r="D7749" s="242">
        <v>50.4</v>
      </c>
      <c r="E7749" s="845">
        <f t="shared" si="242"/>
        <v>10.222222222222221</v>
      </c>
    </row>
    <row r="7750" spans="2:5">
      <c r="B7750" s="1115">
        <v>45241</v>
      </c>
      <c r="C7750" s="242">
        <f t="shared" si="241"/>
        <v>11</v>
      </c>
      <c r="D7750" s="242">
        <v>50.7</v>
      </c>
      <c r="E7750" s="845">
        <f t="shared" si="242"/>
        <v>10.388888888888891</v>
      </c>
    </row>
    <row r="7751" spans="2:5">
      <c r="B7751" s="1115">
        <v>45241</v>
      </c>
      <c r="C7751" s="242">
        <f t="shared" si="241"/>
        <v>11</v>
      </c>
      <c r="D7751" s="242">
        <v>51.6</v>
      </c>
      <c r="E7751" s="845">
        <f t="shared" si="242"/>
        <v>10.888888888888889</v>
      </c>
    </row>
    <row r="7752" spans="2:5">
      <c r="B7752" s="1115">
        <v>45241</v>
      </c>
      <c r="C7752" s="242">
        <f t="shared" si="241"/>
        <v>11</v>
      </c>
      <c r="D7752" s="242" t="s">
        <v>1845</v>
      </c>
      <c r="E7752" s="845">
        <f t="shared" si="242"/>
        <v>11.111111111111111</v>
      </c>
    </row>
    <row r="7753" spans="2:5">
      <c r="B7753" s="1115">
        <v>45241</v>
      </c>
      <c r="C7753" s="242">
        <f t="shared" si="241"/>
        <v>11</v>
      </c>
      <c r="D7753" s="242">
        <v>52.2</v>
      </c>
      <c r="E7753" s="845">
        <f t="shared" si="242"/>
        <v>11.222222222222223</v>
      </c>
    </row>
    <row r="7754" spans="2:5">
      <c r="B7754" s="1115">
        <v>45241</v>
      </c>
      <c r="C7754" s="242">
        <f t="shared" ref="C7754:C7817" si="243">MONTH(B7754)</f>
        <v>11</v>
      </c>
      <c r="D7754" s="242">
        <v>52.2</v>
      </c>
      <c r="E7754" s="845">
        <f t="shared" ref="E7754:E7817" si="244">CONVERT(D7754,"F","C")</f>
        <v>11.222222222222223</v>
      </c>
    </row>
    <row r="7755" spans="2:5">
      <c r="B7755" s="1115">
        <v>45241</v>
      </c>
      <c r="C7755" s="242">
        <f t="shared" si="243"/>
        <v>11</v>
      </c>
      <c r="D7755" s="242" t="s">
        <v>1845</v>
      </c>
      <c r="E7755" s="845">
        <f t="shared" si="244"/>
        <v>11.111111111111111</v>
      </c>
    </row>
    <row r="7756" spans="2:5">
      <c r="B7756" s="1115">
        <v>45241</v>
      </c>
      <c r="C7756" s="242">
        <f t="shared" si="243"/>
        <v>11</v>
      </c>
      <c r="D7756" s="242">
        <v>51.4</v>
      </c>
      <c r="E7756" s="845">
        <f t="shared" si="244"/>
        <v>10.777777777777777</v>
      </c>
    </row>
    <row r="7757" spans="2:5">
      <c r="B7757" s="1115">
        <v>45241</v>
      </c>
      <c r="C7757" s="242">
        <f t="shared" si="243"/>
        <v>11</v>
      </c>
      <c r="D7757" s="242">
        <v>50.7</v>
      </c>
      <c r="E7757" s="845">
        <f t="shared" si="244"/>
        <v>10.388888888888891</v>
      </c>
    </row>
    <row r="7758" spans="2:5">
      <c r="B7758" s="1115">
        <v>45241</v>
      </c>
      <c r="C7758" s="242">
        <f t="shared" si="243"/>
        <v>11</v>
      </c>
      <c r="D7758" s="242" t="s">
        <v>1844</v>
      </c>
      <c r="E7758" s="845">
        <f t="shared" si="244"/>
        <v>10</v>
      </c>
    </row>
    <row r="7759" spans="2:5">
      <c r="B7759" s="1115">
        <v>45241</v>
      </c>
      <c r="C7759" s="242">
        <f t="shared" si="243"/>
        <v>11</v>
      </c>
      <c r="D7759" s="242">
        <v>49.6</v>
      </c>
      <c r="E7759" s="845">
        <f t="shared" si="244"/>
        <v>9.7777777777777786</v>
      </c>
    </row>
    <row r="7760" spans="2:5">
      <c r="B7760" s="1115">
        <v>45241</v>
      </c>
      <c r="C7760" s="242">
        <f t="shared" si="243"/>
        <v>11</v>
      </c>
      <c r="D7760" s="242">
        <v>49.3</v>
      </c>
      <c r="E7760" s="845">
        <f t="shared" si="244"/>
        <v>9.6111111111111089</v>
      </c>
    </row>
    <row r="7761" spans="2:5">
      <c r="B7761" s="1115">
        <v>45242</v>
      </c>
      <c r="C7761" s="242">
        <f t="shared" si="243"/>
        <v>11</v>
      </c>
      <c r="D7761" s="242">
        <v>49.6</v>
      </c>
      <c r="E7761" s="845">
        <f t="shared" si="244"/>
        <v>9.7777777777777786</v>
      </c>
    </row>
    <row r="7762" spans="2:5">
      <c r="B7762" s="1115">
        <v>45242</v>
      </c>
      <c r="C7762" s="242">
        <f t="shared" si="243"/>
        <v>11</v>
      </c>
      <c r="D7762" s="242">
        <v>50.4</v>
      </c>
      <c r="E7762" s="845">
        <f t="shared" si="244"/>
        <v>10.222222222222221</v>
      </c>
    </row>
    <row r="7763" spans="2:5">
      <c r="B7763" s="1115">
        <v>45242</v>
      </c>
      <c r="C7763" s="242">
        <f t="shared" si="243"/>
        <v>11</v>
      </c>
      <c r="D7763" s="242">
        <v>50.9</v>
      </c>
      <c r="E7763" s="845">
        <f t="shared" si="244"/>
        <v>10.499999999999998</v>
      </c>
    </row>
    <row r="7764" spans="2:5">
      <c r="B7764" s="1115">
        <v>45242</v>
      </c>
      <c r="C7764" s="242">
        <f t="shared" si="243"/>
        <v>11</v>
      </c>
      <c r="D7764" s="242">
        <v>51.6</v>
      </c>
      <c r="E7764" s="845">
        <f t="shared" si="244"/>
        <v>10.888888888888889</v>
      </c>
    </row>
    <row r="7765" spans="2:5">
      <c r="B7765" s="1115">
        <v>45242</v>
      </c>
      <c r="C7765" s="242">
        <f t="shared" si="243"/>
        <v>11</v>
      </c>
      <c r="D7765" s="242">
        <v>51.8</v>
      </c>
      <c r="E7765" s="845">
        <f t="shared" si="244"/>
        <v>10.999999999999998</v>
      </c>
    </row>
    <row r="7766" spans="2:5">
      <c r="B7766" s="1115">
        <v>45242</v>
      </c>
      <c r="C7766" s="242">
        <f t="shared" si="243"/>
        <v>11</v>
      </c>
      <c r="D7766" s="242" t="s">
        <v>1845</v>
      </c>
      <c r="E7766" s="845">
        <f t="shared" si="244"/>
        <v>11.111111111111111</v>
      </c>
    </row>
    <row r="7767" spans="2:5">
      <c r="B7767" s="1115">
        <v>45242</v>
      </c>
      <c r="C7767" s="242">
        <f t="shared" si="243"/>
        <v>11</v>
      </c>
      <c r="D7767" s="242">
        <v>51.8</v>
      </c>
      <c r="E7767" s="845">
        <f t="shared" si="244"/>
        <v>10.999999999999998</v>
      </c>
    </row>
    <row r="7768" spans="2:5">
      <c r="B7768" s="1115">
        <v>45242</v>
      </c>
      <c r="C7768" s="242">
        <f t="shared" si="243"/>
        <v>11</v>
      </c>
      <c r="D7768" s="242">
        <v>51.3</v>
      </c>
      <c r="E7768" s="845">
        <f t="shared" si="244"/>
        <v>10.72222222222222</v>
      </c>
    </row>
    <row r="7769" spans="2:5">
      <c r="B7769" s="1115">
        <v>45242</v>
      </c>
      <c r="C7769" s="242">
        <f t="shared" si="243"/>
        <v>11</v>
      </c>
      <c r="D7769" s="242">
        <v>50.7</v>
      </c>
      <c r="E7769" s="845">
        <f t="shared" si="244"/>
        <v>10.388888888888891</v>
      </c>
    </row>
    <row r="7770" spans="2:5">
      <c r="B7770" s="1115">
        <v>45242</v>
      </c>
      <c r="C7770" s="242">
        <f t="shared" si="243"/>
        <v>11</v>
      </c>
      <c r="D7770" s="242">
        <v>49.8</v>
      </c>
      <c r="E7770" s="845">
        <f t="shared" si="244"/>
        <v>9.8888888888888875</v>
      </c>
    </row>
    <row r="7771" spans="2:5">
      <c r="B7771" s="1115">
        <v>45242</v>
      </c>
      <c r="C7771" s="242">
        <f t="shared" si="243"/>
        <v>11</v>
      </c>
      <c r="D7771" s="242">
        <v>49.3</v>
      </c>
      <c r="E7771" s="845">
        <f t="shared" si="244"/>
        <v>9.6111111111111089</v>
      </c>
    </row>
    <row r="7772" spans="2:5">
      <c r="B7772" s="1115">
        <v>45242</v>
      </c>
      <c r="C7772" s="242">
        <f t="shared" si="243"/>
        <v>11</v>
      </c>
      <c r="D7772" s="242">
        <v>49.1</v>
      </c>
      <c r="E7772" s="845">
        <f t="shared" si="244"/>
        <v>9.5</v>
      </c>
    </row>
    <row r="7773" spans="2:5">
      <c r="B7773" s="1115">
        <v>45242</v>
      </c>
      <c r="C7773" s="242">
        <f t="shared" si="243"/>
        <v>11</v>
      </c>
      <c r="D7773" s="242">
        <v>49.3</v>
      </c>
      <c r="E7773" s="845">
        <f t="shared" si="244"/>
        <v>9.6111111111111089</v>
      </c>
    </row>
    <row r="7774" spans="2:5">
      <c r="B7774" s="1115">
        <v>45242</v>
      </c>
      <c r="C7774" s="242">
        <f t="shared" si="243"/>
        <v>11</v>
      </c>
      <c r="D7774" s="242">
        <v>50.4</v>
      </c>
      <c r="E7774" s="845">
        <f t="shared" si="244"/>
        <v>10.222222222222221</v>
      </c>
    </row>
    <row r="7775" spans="2:5">
      <c r="B7775" s="1115">
        <v>45242</v>
      </c>
      <c r="C7775" s="242">
        <f t="shared" si="243"/>
        <v>11</v>
      </c>
      <c r="D7775" s="242">
        <v>51.1</v>
      </c>
      <c r="E7775" s="845">
        <f t="shared" si="244"/>
        <v>10.611111111111112</v>
      </c>
    </row>
    <row r="7776" spans="2:5">
      <c r="B7776" s="1115">
        <v>45242</v>
      </c>
      <c r="C7776" s="242">
        <f t="shared" si="243"/>
        <v>11</v>
      </c>
      <c r="D7776" s="242">
        <v>51.4</v>
      </c>
      <c r="E7776" s="845">
        <f t="shared" si="244"/>
        <v>10.777777777777777</v>
      </c>
    </row>
    <row r="7777" spans="2:5">
      <c r="B7777" s="1115">
        <v>45242</v>
      </c>
      <c r="C7777" s="242">
        <f t="shared" si="243"/>
        <v>11</v>
      </c>
      <c r="D7777" s="242">
        <v>51.8</v>
      </c>
      <c r="E7777" s="845">
        <f t="shared" si="244"/>
        <v>10.999999999999998</v>
      </c>
    </row>
    <row r="7778" spans="2:5">
      <c r="B7778" s="1115">
        <v>45242</v>
      </c>
      <c r="C7778" s="242">
        <f t="shared" si="243"/>
        <v>11</v>
      </c>
      <c r="D7778" s="242">
        <v>51.8</v>
      </c>
      <c r="E7778" s="845">
        <f t="shared" si="244"/>
        <v>10.999999999999998</v>
      </c>
    </row>
    <row r="7779" spans="2:5">
      <c r="B7779" s="1115">
        <v>45242</v>
      </c>
      <c r="C7779" s="242">
        <f t="shared" si="243"/>
        <v>11</v>
      </c>
      <c r="D7779" s="242">
        <v>51.8</v>
      </c>
      <c r="E7779" s="845">
        <f t="shared" si="244"/>
        <v>10.999999999999998</v>
      </c>
    </row>
    <row r="7780" spans="2:5">
      <c r="B7780" s="1115">
        <v>45242</v>
      </c>
      <c r="C7780" s="242">
        <f t="shared" si="243"/>
        <v>11</v>
      </c>
      <c r="D7780" s="242">
        <v>51.4</v>
      </c>
      <c r="E7780" s="845">
        <f t="shared" si="244"/>
        <v>10.777777777777777</v>
      </c>
    </row>
    <row r="7781" spans="2:5">
      <c r="B7781" s="1115">
        <v>45242</v>
      </c>
      <c r="C7781" s="242">
        <f t="shared" si="243"/>
        <v>11</v>
      </c>
      <c r="D7781" s="242">
        <v>50.9</v>
      </c>
      <c r="E7781" s="845">
        <f t="shared" si="244"/>
        <v>10.499999999999998</v>
      </c>
    </row>
    <row r="7782" spans="2:5">
      <c r="B7782" s="1115">
        <v>45242</v>
      </c>
      <c r="C7782" s="242">
        <f t="shared" si="243"/>
        <v>11</v>
      </c>
      <c r="D7782" s="242" t="s">
        <v>1844</v>
      </c>
      <c r="E7782" s="845">
        <f t="shared" si="244"/>
        <v>10</v>
      </c>
    </row>
    <row r="7783" spans="2:5">
      <c r="B7783" s="1115">
        <v>45242</v>
      </c>
      <c r="C7783" s="242">
        <f t="shared" si="243"/>
        <v>11</v>
      </c>
      <c r="D7783" s="242">
        <v>49.5</v>
      </c>
      <c r="E7783" s="845">
        <f t="shared" si="244"/>
        <v>9.7222222222222214</v>
      </c>
    </row>
    <row r="7784" spans="2:5">
      <c r="B7784" s="1115">
        <v>45242</v>
      </c>
      <c r="C7784" s="242">
        <f t="shared" si="243"/>
        <v>11</v>
      </c>
      <c r="D7784" s="242">
        <v>49.1</v>
      </c>
      <c r="E7784" s="845">
        <f t="shared" si="244"/>
        <v>9.5</v>
      </c>
    </row>
    <row r="7785" spans="2:5">
      <c r="B7785" s="1115">
        <v>45243</v>
      </c>
      <c r="C7785" s="242">
        <f t="shared" si="243"/>
        <v>11</v>
      </c>
      <c r="D7785" s="242">
        <v>48.7</v>
      </c>
      <c r="E7785" s="845">
        <f t="shared" si="244"/>
        <v>9.2777777777777786</v>
      </c>
    </row>
    <row r="7786" spans="2:5">
      <c r="B7786" s="1115">
        <v>45243</v>
      </c>
      <c r="C7786" s="242">
        <f t="shared" si="243"/>
        <v>11</v>
      </c>
      <c r="D7786" s="242">
        <v>49.3</v>
      </c>
      <c r="E7786" s="845">
        <f t="shared" si="244"/>
        <v>9.6111111111111089</v>
      </c>
    </row>
    <row r="7787" spans="2:5">
      <c r="B7787" s="1115">
        <v>45243</v>
      </c>
      <c r="C7787" s="242">
        <f t="shared" si="243"/>
        <v>11</v>
      </c>
      <c r="D7787" s="242">
        <v>50.2</v>
      </c>
      <c r="E7787" s="845">
        <f t="shared" si="244"/>
        <v>10.111111111111112</v>
      </c>
    </row>
    <row r="7788" spans="2:5">
      <c r="B7788" s="1115">
        <v>45243</v>
      </c>
      <c r="C7788" s="242">
        <f t="shared" si="243"/>
        <v>11</v>
      </c>
      <c r="D7788" s="242">
        <v>50.9</v>
      </c>
      <c r="E7788" s="845">
        <f t="shared" si="244"/>
        <v>10.499999999999998</v>
      </c>
    </row>
    <row r="7789" spans="2:5">
      <c r="B7789" s="1115">
        <v>45243</v>
      </c>
      <c r="C7789" s="242">
        <f t="shared" si="243"/>
        <v>11</v>
      </c>
      <c r="D7789" s="242">
        <v>51.4</v>
      </c>
      <c r="E7789" s="845">
        <f t="shared" si="244"/>
        <v>10.777777777777777</v>
      </c>
    </row>
    <row r="7790" spans="2:5">
      <c r="B7790" s="1115">
        <v>45243</v>
      </c>
      <c r="C7790" s="242">
        <f t="shared" si="243"/>
        <v>11</v>
      </c>
      <c r="D7790" s="242">
        <v>51.4</v>
      </c>
      <c r="E7790" s="845">
        <f t="shared" si="244"/>
        <v>10.777777777777777</v>
      </c>
    </row>
    <row r="7791" spans="2:5">
      <c r="B7791" s="1115">
        <v>45243</v>
      </c>
      <c r="C7791" s="242">
        <f t="shared" si="243"/>
        <v>11</v>
      </c>
      <c r="D7791" s="242">
        <v>51.4</v>
      </c>
      <c r="E7791" s="845">
        <f t="shared" si="244"/>
        <v>10.777777777777777</v>
      </c>
    </row>
    <row r="7792" spans="2:5">
      <c r="B7792" s="1115">
        <v>45243</v>
      </c>
      <c r="C7792" s="242">
        <f t="shared" si="243"/>
        <v>11</v>
      </c>
      <c r="D7792" s="242">
        <v>51.3</v>
      </c>
      <c r="E7792" s="845">
        <f t="shared" si="244"/>
        <v>10.72222222222222</v>
      </c>
    </row>
    <row r="7793" spans="2:5">
      <c r="B7793" s="1115">
        <v>45243</v>
      </c>
      <c r="C7793" s="242">
        <f t="shared" si="243"/>
        <v>11</v>
      </c>
      <c r="D7793" s="242">
        <v>50.7</v>
      </c>
      <c r="E7793" s="845">
        <f t="shared" si="244"/>
        <v>10.388888888888891</v>
      </c>
    </row>
    <row r="7794" spans="2:5">
      <c r="B7794" s="1115">
        <v>45243</v>
      </c>
      <c r="C7794" s="242">
        <f t="shared" si="243"/>
        <v>11</v>
      </c>
      <c r="D7794" s="242" t="s">
        <v>1844</v>
      </c>
      <c r="E7794" s="845">
        <f t="shared" si="244"/>
        <v>10</v>
      </c>
    </row>
    <row r="7795" spans="2:5">
      <c r="B7795" s="1115">
        <v>45243</v>
      </c>
      <c r="C7795" s="242">
        <f t="shared" si="243"/>
        <v>11</v>
      </c>
      <c r="D7795" s="242">
        <v>49.1</v>
      </c>
      <c r="E7795" s="845">
        <f t="shared" si="244"/>
        <v>9.5</v>
      </c>
    </row>
    <row r="7796" spans="2:5">
      <c r="B7796" s="1115">
        <v>45243</v>
      </c>
      <c r="C7796" s="242">
        <f t="shared" si="243"/>
        <v>11</v>
      </c>
      <c r="D7796" s="242">
        <v>48.7</v>
      </c>
      <c r="E7796" s="845">
        <f t="shared" si="244"/>
        <v>9.2777777777777786</v>
      </c>
    </row>
    <row r="7797" spans="2:5">
      <c r="B7797" s="1115">
        <v>45243</v>
      </c>
      <c r="C7797" s="242">
        <f t="shared" si="243"/>
        <v>11</v>
      </c>
      <c r="D7797" s="242">
        <v>48.4</v>
      </c>
      <c r="E7797" s="845">
        <f t="shared" si="244"/>
        <v>9.1111111111111107</v>
      </c>
    </row>
    <row r="7798" spans="2:5">
      <c r="B7798" s="1115">
        <v>45243</v>
      </c>
      <c r="C7798" s="242">
        <f t="shared" si="243"/>
        <v>11</v>
      </c>
      <c r="D7798" s="242">
        <v>49.1</v>
      </c>
      <c r="E7798" s="845">
        <f t="shared" si="244"/>
        <v>9.5</v>
      </c>
    </row>
    <row r="7799" spans="2:5">
      <c r="B7799" s="1115">
        <v>45243</v>
      </c>
      <c r="C7799" s="242">
        <f t="shared" si="243"/>
        <v>11</v>
      </c>
      <c r="D7799" s="242" t="s">
        <v>1844</v>
      </c>
      <c r="E7799" s="845">
        <f t="shared" si="244"/>
        <v>10</v>
      </c>
    </row>
    <row r="7800" spans="2:5">
      <c r="B7800" s="1115">
        <v>45243</v>
      </c>
      <c r="C7800" s="242">
        <f t="shared" si="243"/>
        <v>11</v>
      </c>
      <c r="D7800" s="242">
        <v>50.7</v>
      </c>
      <c r="E7800" s="845">
        <f t="shared" si="244"/>
        <v>10.388888888888891</v>
      </c>
    </row>
    <row r="7801" spans="2:5">
      <c r="B7801" s="1115">
        <v>45243</v>
      </c>
      <c r="C7801" s="242">
        <f t="shared" si="243"/>
        <v>11</v>
      </c>
      <c r="D7801" s="242">
        <v>51.1</v>
      </c>
      <c r="E7801" s="845">
        <f t="shared" si="244"/>
        <v>10.611111111111112</v>
      </c>
    </row>
    <row r="7802" spans="2:5">
      <c r="B7802" s="1115">
        <v>45243</v>
      </c>
      <c r="C7802" s="242">
        <f t="shared" si="243"/>
        <v>11</v>
      </c>
      <c r="D7802" s="242">
        <v>51.3</v>
      </c>
      <c r="E7802" s="845">
        <f t="shared" si="244"/>
        <v>10.72222222222222</v>
      </c>
    </row>
    <row r="7803" spans="2:5">
      <c r="B7803" s="1115">
        <v>45243</v>
      </c>
      <c r="C7803" s="242">
        <f t="shared" si="243"/>
        <v>11</v>
      </c>
      <c r="D7803" s="242">
        <v>51.3</v>
      </c>
      <c r="E7803" s="845">
        <f t="shared" si="244"/>
        <v>10.72222222222222</v>
      </c>
    </row>
    <row r="7804" spans="2:5">
      <c r="B7804" s="1115">
        <v>45243</v>
      </c>
      <c r="C7804" s="242">
        <f t="shared" si="243"/>
        <v>11</v>
      </c>
      <c r="D7804" s="242">
        <v>51.1</v>
      </c>
      <c r="E7804" s="845">
        <f t="shared" si="244"/>
        <v>10.611111111111112</v>
      </c>
    </row>
    <row r="7805" spans="2:5">
      <c r="B7805" s="1115">
        <v>45243</v>
      </c>
      <c r="C7805" s="242">
        <f t="shared" si="243"/>
        <v>11</v>
      </c>
      <c r="D7805" s="242">
        <v>50.9</v>
      </c>
      <c r="E7805" s="845">
        <f t="shared" si="244"/>
        <v>10.499999999999998</v>
      </c>
    </row>
    <row r="7806" spans="2:5">
      <c r="B7806" s="1115">
        <v>45243</v>
      </c>
      <c r="C7806" s="242">
        <f t="shared" si="243"/>
        <v>11</v>
      </c>
      <c r="D7806" s="242">
        <v>50.2</v>
      </c>
      <c r="E7806" s="845">
        <f t="shared" si="244"/>
        <v>10.111111111111112</v>
      </c>
    </row>
    <row r="7807" spans="2:5">
      <c r="B7807" s="1115">
        <v>45243</v>
      </c>
      <c r="C7807" s="242">
        <f t="shared" si="243"/>
        <v>11</v>
      </c>
      <c r="D7807" s="242">
        <v>49.5</v>
      </c>
      <c r="E7807" s="845">
        <f t="shared" si="244"/>
        <v>9.7222222222222214</v>
      </c>
    </row>
    <row r="7808" spans="2:5">
      <c r="B7808" s="1115">
        <v>45243</v>
      </c>
      <c r="C7808" s="242">
        <f t="shared" si="243"/>
        <v>11</v>
      </c>
      <c r="D7808" s="242">
        <v>48.9</v>
      </c>
      <c r="E7808" s="845">
        <f t="shared" si="244"/>
        <v>9.3888888888888875</v>
      </c>
    </row>
    <row r="7809" spans="2:5">
      <c r="B7809" s="1115">
        <v>45244</v>
      </c>
      <c r="C7809" s="242">
        <f t="shared" si="243"/>
        <v>11</v>
      </c>
      <c r="D7809" s="242">
        <v>48.6</v>
      </c>
      <c r="E7809" s="845">
        <f t="shared" si="244"/>
        <v>9.2222222222222232</v>
      </c>
    </row>
    <row r="7810" spans="2:5">
      <c r="B7810" s="1115">
        <v>45244</v>
      </c>
      <c r="C7810" s="242">
        <f t="shared" si="243"/>
        <v>11</v>
      </c>
      <c r="D7810" s="242">
        <v>48.4</v>
      </c>
      <c r="E7810" s="845">
        <f t="shared" si="244"/>
        <v>9.1111111111111107</v>
      </c>
    </row>
    <row r="7811" spans="2:5">
      <c r="B7811" s="1115">
        <v>45244</v>
      </c>
      <c r="C7811" s="242">
        <f t="shared" si="243"/>
        <v>11</v>
      </c>
      <c r="D7811" s="242">
        <v>49.3</v>
      </c>
      <c r="E7811" s="845">
        <f t="shared" si="244"/>
        <v>9.6111111111111089</v>
      </c>
    </row>
    <row r="7812" spans="2:5">
      <c r="B7812" s="1115">
        <v>45244</v>
      </c>
      <c r="C7812" s="242">
        <f t="shared" si="243"/>
        <v>11</v>
      </c>
      <c r="D7812" s="242">
        <v>49.8</v>
      </c>
      <c r="E7812" s="845">
        <f t="shared" si="244"/>
        <v>9.8888888888888875</v>
      </c>
    </row>
    <row r="7813" spans="2:5">
      <c r="B7813" s="1115">
        <v>45244</v>
      </c>
      <c r="C7813" s="242">
        <f t="shared" si="243"/>
        <v>11</v>
      </c>
      <c r="D7813" s="242">
        <v>50.4</v>
      </c>
      <c r="E7813" s="845">
        <f t="shared" si="244"/>
        <v>10.222222222222221</v>
      </c>
    </row>
    <row r="7814" spans="2:5">
      <c r="B7814" s="1115">
        <v>45244</v>
      </c>
      <c r="C7814" s="242">
        <f t="shared" si="243"/>
        <v>11</v>
      </c>
      <c r="D7814" s="242">
        <v>50.7</v>
      </c>
      <c r="E7814" s="845">
        <f t="shared" si="244"/>
        <v>10.388888888888891</v>
      </c>
    </row>
    <row r="7815" spans="2:5">
      <c r="B7815" s="1115">
        <v>45244</v>
      </c>
      <c r="C7815" s="242">
        <f t="shared" si="243"/>
        <v>11</v>
      </c>
      <c r="D7815" s="242">
        <v>50.9</v>
      </c>
      <c r="E7815" s="845">
        <f t="shared" si="244"/>
        <v>10.499999999999998</v>
      </c>
    </row>
    <row r="7816" spans="2:5">
      <c r="B7816" s="1115">
        <v>45244</v>
      </c>
      <c r="C7816" s="242">
        <f t="shared" si="243"/>
        <v>11</v>
      </c>
      <c r="D7816" s="242">
        <v>50.7</v>
      </c>
      <c r="E7816" s="845">
        <f t="shared" si="244"/>
        <v>10.388888888888891</v>
      </c>
    </row>
    <row r="7817" spans="2:5">
      <c r="B7817" s="1115">
        <v>45244</v>
      </c>
      <c r="C7817" s="242">
        <f t="shared" si="243"/>
        <v>11</v>
      </c>
      <c r="D7817" s="242">
        <v>50.5</v>
      </c>
      <c r="E7817" s="845">
        <f t="shared" si="244"/>
        <v>10.277777777777777</v>
      </c>
    </row>
    <row r="7818" spans="2:5">
      <c r="B7818" s="1115">
        <v>45244</v>
      </c>
      <c r="C7818" s="242">
        <f t="shared" ref="C7818:C7881" si="245">MONTH(B7818)</f>
        <v>11</v>
      </c>
      <c r="D7818" s="242">
        <v>50.2</v>
      </c>
      <c r="E7818" s="845">
        <f t="shared" ref="E7818:E7881" si="246">CONVERT(D7818,"F","C")</f>
        <v>10.111111111111112</v>
      </c>
    </row>
    <row r="7819" spans="2:5">
      <c r="B7819" s="1115">
        <v>45244</v>
      </c>
      <c r="C7819" s="242">
        <f t="shared" si="245"/>
        <v>11</v>
      </c>
      <c r="D7819" s="242">
        <v>49.3</v>
      </c>
      <c r="E7819" s="845">
        <f t="shared" si="246"/>
        <v>9.6111111111111089</v>
      </c>
    </row>
    <row r="7820" spans="2:5">
      <c r="B7820" s="1115">
        <v>45244</v>
      </c>
      <c r="C7820" s="242">
        <f t="shared" si="245"/>
        <v>11</v>
      </c>
      <c r="D7820" s="242">
        <v>48.9</v>
      </c>
      <c r="E7820" s="845">
        <f t="shared" si="246"/>
        <v>9.3888888888888875</v>
      </c>
    </row>
    <row r="7821" spans="2:5">
      <c r="B7821" s="1115">
        <v>45244</v>
      </c>
      <c r="C7821" s="242">
        <f t="shared" si="245"/>
        <v>11</v>
      </c>
      <c r="D7821" s="242">
        <v>48.4</v>
      </c>
      <c r="E7821" s="845">
        <f t="shared" si="246"/>
        <v>9.1111111111111107</v>
      </c>
    </row>
    <row r="7822" spans="2:5">
      <c r="B7822" s="1115">
        <v>45244</v>
      </c>
      <c r="C7822" s="242">
        <f t="shared" si="245"/>
        <v>11</v>
      </c>
      <c r="D7822" s="242">
        <v>48.6</v>
      </c>
      <c r="E7822" s="845">
        <f t="shared" si="246"/>
        <v>9.2222222222222232</v>
      </c>
    </row>
    <row r="7823" spans="2:5">
      <c r="B7823" s="1115">
        <v>45244</v>
      </c>
      <c r="C7823" s="242">
        <f t="shared" si="245"/>
        <v>11</v>
      </c>
      <c r="D7823" s="242">
        <v>49.5</v>
      </c>
      <c r="E7823" s="845">
        <f t="shared" si="246"/>
        <v>9.7222222222222214</v>
      </c>
    </row>
    <row r="7824" spans="2:5">
      <c r="B7824" s="1115">
        <v>45244</v>
      </c>
      <c r="C7824" s="242">
        <f t="shared" si="245"/>
        <v>11</v>
      </c>
      <c r="D7824" s="242">
        <v>49.8</v>
      </c>
      <c r="E7824" s="845">
        <f t="shared" si="246"/>
        <v>9.8888888888888875</v>
      </c>
    </row>
    <row r="7825" spans="2:5">
      <c r="B7825" s="1115">
        <v>45244</v>
      </c>
      <c r="C7825" s="242">
        <f t="shared" si="245"/>
        <v>11</v>
      </c>
      <c r="D7825" s="242">
        <v>50.4</v>
      </c>
      <c r="E7825" s="845">
        <f t="shared" si="246"/>
        <v>10.222222222222221</v>
      </c>
    </row>
    <row r="7826" spans="2:5">
      <c r="B7826" s="1115">
        <v>45244</v>
      </c>
      <c r="C7826" s="242">
        <f t="shared" si="245"/>
        <v>11</v>
      </c>
      <c r="D7826" s="242">
        <v>50.7</v>
      </c>
      <c r="E7826" s="845">
        <f t="shared" si="246"/>
        <v>10.388888888888891</v>
      </c>
    </row>
    <row r="7827" spans="2:5">
      <c r="B7827" s="1115">
        <v>45244</v>
      </c>
      <c r="C7827" s="242">
        <f t="shared" si="245"/>
        <v>11</v>
      </c>
      <c r="D7827" s="242">
        <v>50.7</v>
      </c>
      <c r="E7827" s="845">
        <f t="shared" si="246"/>
        <v>10.388888888888891</v>
      </c>
    </row>
    <row r="7828" spans="2:5">
      <c r="B7828" s="1115">
        <v>45244</v>
      </c>
      <c r="C7828" s="242">
        <f t="shared" si="245"/>
        <v>11</v>
      </c>
      <c r="D7828" s="242">
        <v>50.7</v>
      </c>
      <c r="E7828" s="845">
        <f t="shared" si="246"/>
        <v>10.388888888888891</v>
      </c>
    </row>
    <row r="7829" spans="2:5">
      <c r="B7829" s="1115">
        <v>45244</v>
      </c>
      <c r="C7829" s="242">
        <f t="shared" si="245"/>
        <v>11</v>
      </c>
      <c r="D7829" s="242">
        <v>50.5</v>
      </c>
      <c r="E7829" s="845">
        <f t="shared" si="246"/>
        <v>10.277777777777777</v>
      </c>
    </row>
    <row r="7830" spans="2:5">
      <c r="B7830" s="1115">
        <v>45244</v>
      </c>
      <c r="C7830" s="242">
        <f t="shared" si="245"/>
        <v>11</v>
      </c>
      <c r="D7830" s="242">
        <v>50.2</v>
      </c>
      <c r="E7830" s="845">
        <f t="shared" si="246"/>
        <v>10.111111111111112</v>
      </c>
    </row>
    <row r="7831" spans="2:5">
      <c r="B7831" s="1115">
        <v>45244</v>
      </c>
      <c r="C7831" s="242">
        <f t="shared" si="245"/>
        <v>11</v>
      </c>
      <c r="D7831" s="242">
        <v>49.5</v>
      </c>
      <c r="E7831" s="845">
        <f t="shared" si="246"/>
        <v>9.7222222222222214</v>
      </c>
    </row>
    <row r="7832" spans="2:5">
      <c r="B7832" s="1115">
        <v>45244</v>
      </c>
      <c r="C7832" s="242">
        <f t="shared" si="245"/>
        <v>11</v>
      </c>
      <c r="D7832" s="242">
        <v>48.9</v>
      </c>
      <c r="E7832" s="845">
        <f t="shared" si="246"/>
        <v>9.3888888888888875</v>
      </c>
    </row>
    <row r="7833" spans="2:5">
      <c r="B7833" s="1115">
        <v>45245</v>
      </c>
      <c r="C7833" s="242">
        <f t="shared" si="245"/>
        <v>11</v>
      </c>
      <c r="D7833" s="242">
        <v>48.4</v>
      </c>
      <c r="E7833" s="845">
        <f t="shared" si="246"/>
        <v>9.1111111111111107</v>
      </c>
    </row>
    <row r="7834" spans="2:5">
      <c r="B7834" s="1115">
        <v>45245</v>
      </c>
      <c r="C7834" s="242">
        <f t="shared" si="245"/>
        <v>11</v>
      </c>
      <c r="D7834" s="242" t="s">
        <v>1843</v>
      </c>
      <c r="E7834" s="845">
        <f t="shared" si="246"/>
        <v>8.8888888888888893</v>
      </c>
    </row>
    <row r="7835" spans="2:5">
      <c r="B7835" s="1115">
        <v>45245</v>
      </c>
      <c r="C7835" s="242">
        <f t="shared" si="245"/>
        <v>11</v>
      </c>
      <c r="D7835" s="242">
        <v>48.2</v>
      </c>
      <c r="E7835" s="845">
        <f t="shared" si="246"/>
        <v>9.0000000000000018</v>
      </c>
    </row>
    <row r="7836" spans="2:5">
      <c r="B7836" s="1115">
        <v>45245</v>
      </c>
      <c r="C7836" s="242">
        <f t="shared" si="245"/>
        <v>11</v>
      </c>
      <c r="D7836" s="242">
        <v>49.1</v>
      </c>
      <c r="E7836" s="845">
        <f t="shared" si="246"/>
        <v>9.5</v>
      </c>
    </row>
    <row r="7837" spans="2:5">
      <c r="B7837" s="1115">
        <v>45245</v>
      </c>
      <c r="C7837" s="242">
        <f t="shared" si="245"/>
        <v>11</v>
      </c>
      <c r="D7837" s="242">
        <v>49.6</v>
      </c>
      <c r="E7837" s="845">
        <f t="shared" si="246"/>
        <v>9.7777777777777786</v>
      </c>
    </row>
    <row r="7838" spans="2:5">
      <c r="B7838" s="1115">
        <v>45245</v>
      </c>
      <c r="C7838" s="242">
        <f t="shared" si="245"/>
        <v>11</v>
      </c>
      <c r="D7838" s="242">
        <v>50.2</v>
      </c>
      <c r="E7838" s="845">
        <f t="shared" si="246"/>
        <v>10.111111111111112</v>
      </c>
    </row>
    <row r="7839" spans="2:5">
      <c r="B7839" s="1115">
        <v>45245</v>
      </c>
      <c r="C7839" s="242">
        <f t="shared" si="245"/>
        <v>11</v>
      </c>
      <c r="D7839" s="242">
        <v>50.5</v>
      </c>
      <c r="E7839" s="845">
        <f t="shared" si="246"/>
        <v>10.277777777777777</v>
      </c>
    </row>
    <row r="7840" spans="2:5">
      <c r="B7840" s="1115">
        <v>45245</v>
      </c>
      <c r="C7840" s="242">
        <f t="shared" si="245"/>
        <v>11</v>
      </c>
      <c r="D7840" s="242">
        <v>50.5</v>
      </c>
      <c r="E7840" s="845">
        <f t="shared" si="246"/>
        <v>10.277777777777777</v>
      </c>
    </row>
    <row r="7841" spans="2:5">
      <c r="B7841" s="1115">
        <v>45245</v>
      </c>
      <c r="C7841" s="242">
        <f t="shared" si="245"/>
        <v>11</v>
      </c>
      <c r="D7841" s="242">
        <v>50.5</v>
      </c>
      <c r="E7841" s="845">
        <f t="shared" si="246"/>
        <v>10.277777777777777</v>
      </c>
    </row>
    <row r="7842" spans="2:5">
      <c r="B7842" s="1115">
        <v>45245</v>
      </c>
      <c r="C7842" s="242">
        <f t="shared" si="245"/>
        <v>11</v>
      </c>
      <c r="D7842" s="242" t="s">
        <v>1844</v>
      </c>
      <c r="E7842" s="845">
        <f t="shared" si="246"/>
        <v>10</v>
      </c>
    </row>
    <row r="7843" spans="2:5">
      <c r="B7843" s="1115">
        <v>45245</v>
      </c>
      <c r="C7843" s="242">
        <f t="shared" si="245"/>
        <v>11</v>
      </c>
      <c r="D7843" s="242">
        <v>49.5</v>
      </c>
      <c r="E7843" s="845">
        <f t="shared" si="246"/>
        <v>9.7222222222222214</v>
      </c>
    </row>
    <row r="7844" spans="2:5">
      <c r="B7844" s="1115">
        <v>45245</v>
      </c>
      <c r="C7844" s="242">
        <f t="shared" si="245"/>
        <v>11</v>
      </c>
      <c r="D7844" s="242">
        <v>48.7</v>
      </c>
      <c r="E7844" s="845">
        <f t="shared" si="246"/>
        <v>9.2777777777777786</v>
      </c>
    </row>
    <row r="7845" spans="2:5">
      <c r="B7845" s="1115">
        <v>45245</v>
      </c>
      <c r="C7845" s="242">
        <f t="shared" si="245"/>
        <v>11</v>
      </c>
      <c r="D7845" s="242">
        <v>48.2</v>
      </c>
      <c r="E7845" s="845">
        <f t="shared" si="246"/>
        <v>9.0000000000000018</v>
      </c>
    </row>
    <row r="7846" spans="2:5">
      <c r="B7846" s="1115">
        <v>45245</v>
      </c>
      <c r="C7846" s="242">
        <f t="shared" si="245"/>
        <v>11</v>
      </c>
      <c r="D7846" s="242" t="s">
        <v>1843</v>
      </c>
      <c r="E7846" s="845">
        <f t="shared" si="246"/>
        <v>8.8888888888888893</v>
      </c>
    </row>
    <row r="7847" spans="2:5">
      <c r="B7847" s="1115">
        <v>45245</v>
      </c>
      <c r="C7847" s="242">
        <f t="shared" si="245"/>
        <v>11</v>
      </c>
      <c r="D7847" s="242">
        <v>48.2</v>
      </c>
      <c r="E7847" s="845">
        <f t="shared" si="246"/>
        <v>9.0000000000000018</v>
      </c>
    </row>
    <row r="7848" spans="2:5">
      <c r="B7848" s="1115">
        <v>45245</v>
      </c>
      <c r="C7848" s="242">
        <f t="shared" si="245"/>
        <v>11</v>
      </c>
      <c r="D7848" s="242">
        <v>49.1</v>
      </c>
      <c r="E7848" s="845">
        <f t="shared" si="246"/>
        <v>9.5</v>
      </c>
    </row>
    <row r="7849" spans="2:5">
      <c r="B7849" s="1115">
        <v>45245</v>
      </c>
      <c r="C7849" s="242">
        <f t="shared" si="245"/>
        <v>11</v>
      </c>
      <c r="D7849" s="242">
        <v>49.8</v>
      </c>
      <c r="E7849" s="845">
        <f t="shared" si="246"/>
        <v>9.8888888888888875</v>
      </c>
    </row>
    <row r="7850" spans="2:5">
      <c r="B7850" s="1115">
        <v>45245</v>
      </c>
      <c r="C7850" s="242">
        <f t="shared" si="245"/>
        <v>11</v>
      </c>
      <c r="D7850" s="242">
        <v>50.4</v>
      </c>
      <c r="E7850" s="845">
        <f t="shared" si="246"/>
        <v>10.222222222222221</v>
      </c>
    </row>
    <row r="7851" spans="2:5">
      <c r="B7851" s="1115">
        <v>45245</v>
      </c>
      <c r="C7851" s="242">
        <f t="shared" si="245"/>
        <v>11</v>
      </c>
      <c r="D7851" s="242">
        <v>50.7</v>
      </c>
      <c r="E7851" s="845">
        <f t="shared" si="246"/>
        <v>10.388888888888891</v>
      </c>
    </row>
    <row r="7852" spans="2:5">
      <c r="B7852" s="1115">
        <v>45245</v>
      </c>
      <c r="C7852" s="242">
        <f t="shared" si="245"/>
        <v>11</v>
      </c>
      <c r="D7852" s="242">
        <v>50.9</v>
      </c>
      <c r="E7852" s="845">
        <f t="shared" si="246"/>
        <v>10.499999999999998</v>
      </c>
    </row>
    <row r="7853" spans="2:5">
      <c r="B7853" s="1115">
        <v>45245</v>
      </c>
      <c r="C7853" s="242">
        <f t="shared" si="245"/>
        <v>11</v>
      </c>
      <c r="D7853" s="242">
        <v>50.7</v>
      </c>
      <c r="E7853" s="845">
        <f t="shared" si="246"/>
        <v>10.388888888888891</v>
      </c>
    </row>
    <row r="7854" spans="2:5">
      <c r="B7854" s="1115">
        <v>45245</v>
      </c>
      <c r="C7854" s="242">
        <f t="shared" si="245"/>
        <v>11</v>
      </c>
      <c r="D7854" s="242">
        <v>50.5</v>
      </c>
      <c r="E7854" s="845">
        <f t="shared" si="246"/>
        <v>10.277777777777777</v>
      </c>
    </row>
    <row r="7855" spans="2:5">
      <c r="B7855" s="1115">
        <v>45245</v>
      </c>
      <c r="C7855" s="242">
        <f t="shared" si="245"/>
        <v>11</v>
      </c>
      <c r="D7855" s="242" t="s">
        <v>1844</v>
      </c>
      <c r="E7855" s="845">
        <f t="shared" si="246"/>
        <v>10</v>
      </c>
    </row>
    <row r="7856" spans="2:5">
      <c r="B7856" s="1115">
        <v>45245</v>
      </c>
      <c r="C7856" s="242">
        <f t="shared" si="245"/>
        <v>11</v>
      </c>
      <c r="D7856" s="242">
        <v>49.1</v>
      </c>
      <c r="E7856" s="845">
        <f t="shared" si="246"/>
        <v>9.5</v>
      </c>
    </row>
    <row r="7857" spans="2:5">
      <c r="B7857" s="1115">
        <v>45246</v>
      </c>
      <c r="C7857" s="242">
        <f t="shared" si="245"/>
        <v>11</v>
      </c>
      <c r="D7857" s="242">
        <v>48.6</v>
      </c>
      <c r="E7857" s="845">
        <f t="shared" si="246"/>
        <v>9.2222222222222232</v>
      </c>
    </row>
    <row r="7858" spans="2:5">
      <c r="B7858" s="1115">
        <v>45246</v>
      </c>
      <c r="C7858" s="242">
        <f t="shared" si="245"/>
        <v>11</v>
      </c>
      <c r="D7858" s="242" t="s">
        <v>1843</v>
      </c>
      <c r="E7858" s="845">
        <f t="shared" si="246"/>
        <v>8.8888888888888893</v>
      </c>
    </row>
    <row r="7859" spans="2:5">
      <c r="B7859" s="1115">
        <v>45246</v>
      </c>
      <c r="C7859" s="242">
        <f t="shared" si="245"/>
        <v>11</v>
      </c>
      <c r="D7859" s="242">
        <v>47.8</v>
      </c>
      <c r="E7859" s="845">
        <f t="shared" si="246"/>
        <v>8.7777777777777768</v>
      </c>
    </row>
    <row r="7860" spans="2:5">
      <c r="B7860" s="1115">
        <v>45246</v>
      </c>
      <c r="C7860" s="242">
        <f t="shared" si="245"/>
        <v>11</v>
      </c>
      <c r="D7860" s="242">
        <v>48.2</v>
      </c>
      <c r="E7860" s="845">
        <f t="shared" si="246"/>
        <v>9.0000000000000018</v>
      </c>
    </row>
    <row r="7861" spans="2:5">
      <c r="B7861" s="1115">
        <v>45246</v>
      </c>
      <c r="C7861" s="242">
        <f t="shared" si="245"/>
        <v>11</v>
      </c>
      <c r="D7861" s="242">
        <v>49.1</v>
      </c>
      <c r="E7861" s="845">
        <f t="shared" si="246"/>
        <v>9.5</v>
      </c>
    </row>
    <row r="7862" spans="2:5">
      <c r="B7862" s="1115">
        <v>45246</v>
      </c>
      <c r="C7862" s="242">
        <f t="shared" si="245"/>
        <v>11</v>
      </c>
      <c r="D7862" s="242">
        <v>49.6</v>
      </c>
      <c r="E7862" s="845">
        <f t="shared" si="246"/>
        <v>9.7777777777777786</v>
      </c>
    </row>
    <row r="7863" spans="2:5">
      <c r="B7863" s="1115">
        <v>45246</v>
      </c>
      <c r="C7863" s="242">
        <f t="shared" si="245"/>
        <v>11</v>
      </c>
      <c r="D7863" s="242">
        <v>50.4</v>
      </c>
      <c r="E7863" s="845">
        <f t="shared" si="246"/>
        <v>10.222222222222221</v>
      </c>
    </row>
    <row r="7864" spans="2:5">
      <c r="B7864" s="1115">
        <v>45246</v>
      </c>
      <c r="C7864" s="242">
        <f t="shared" si="245"/>
        <v>11</v>
      </c>
      <c r="D7864" s="242">
        <v>50.5</v>
      </c>
      <c r="E7864" s="845">
        <f t="shared" si="246"/>
        <v>10.277777777777777</v>
      </c>
    </row>
    <row r="7865" spans="2:5">
      <c r="B7865" s="1115">
        <v>45246</v>
      </c>
      <c r="C7865" s="242">
        <f t="shared" si="245"/>
        <v>11</v>
      </c>
      <c r="D7865" s="242">
        <v>50.5</v>
      </c>
      <c r="E7865" s="845">
        <f t="shared" si="246"/>
        <v>10.277777777777777</v>
      </c>
    </row>
    <row r="7866" spans="2:5">
      <c r="B7866" s="1115">
        <v>45246</v>
      </c>
      <c r="C7866" s="242">
        <f t="shared" si="245"/>
        <v>11</v>
      </c>
      <c r="D7866" s="242">
        <v>50.4</v>
      </c>
      <c r="E7866" s="845">
        <f t="shared" si="246"/>
        <v>10.222222222222221</v>
      </c>
    </row>
    <row r="7867" spans="2:5">
      <c r="B7867" s="1115">
        <v>45246</v>
      </c>
      <c r="C7867" s="242">
        <f t="shared" si="245"/>
        <v>11</v>
      </c>
      <c r="D7867" s="242" t="s">
        <v>1844</v>
      </c>
      <c r="E7867" s="845">
        <f t="shared" si="246"/>
        <v>10</v>
      </c>
    </row>
    <row r="7868" spans="2:5">
      <c r="B7868" s="1115">
        <v>45246</v>
      </c>
      <c r="C7868" s="242">
        <f t="shared" si="245"/>
        <v>11</v>
      </c>
      <c r="D7868" s="242">
        <v>49.1</v>
      </c>
      <c r="E7868" s="845">
        <f t="shared" si="246"/>
        <v>9.5</v>
      </c>
    </row>
    <row r="7869" spans="2:5">
      <c r="B7869" s="1115">
        <v>45246</v>
      </c>
      <c r="C7869" s="242">
        <f t="shared" si="245"/>
        <v>11</v>
      </c>
      <c r="D7869" s="242">
        <v>48.4</v>
      </c>
      <c r="E7869" s="845">
        <f t="shared" si="246"/>
        <v>9.1111111111111107</v>
      </c>
    </row>
    <row r="7870" spans="2:5">
      <c r="B7870" s="1115">
        <v>45246</v>
      </c>
      <c r="C7870" s="242">
        <f t="shared" si="245"/>
        <v>11</v>
      </c>
      <c r="D7870" s="242" t="s">
        <v>1843</v>
      </c>
      <c r="E7870" s="845">
        <f t="shared" si="246"/>
        <v>8.8888888888888893</v>
      </c>
    </row>
    <row r="7871" spans="2:5">
      <c r="B7871" s="1115">
        <v>45246</v>
      </c>
      <c r="C7871" s="242">
        <f t="shared" si="245"/>
        <v>11</v>
      </c>
      <c r="D7871" s="242">
        <v>47.8</v>
      </c>
      <c r="E7871" s="845">
        <f t="shared" si="246"/>
        <v>8.7777777777777768</v>
      </c>
    </row>
    <row r="7872" spans="2:5">
      <c r="B7872" s="1115">
        <v>45246</v>
      </c>
      <c r="C7872" s="242">
        <f t="shared" si="245"/>
        <v>11</v>
      </c>
      <c r="D7872" s="242">
        <v>48.4</v>
      </c>
      <c r="E7872" s="845">
        <f t="shared" si="246"/>
        <v>9.1111111111111107</v>
      </c>
    </row>
    <row r="7873" spans="2:5">
      <c r="B7873" s="1115">
        <v>45246</v>
      </c>
      <c r="C7873" s="242">
        <f t="shared" si="245"/>
        <v>11</v>
      </c>
      <c r="D7873" s="242">
        <v>49.1</v>
      </c>
      <c r="E7873" s="845">
        <f t="shared" si="246"/>
        <v>9.5</v>
      </c>
    </row>
    <row r="7874" spans="2:5">
      <c r="B7874" s="1115">
        <v>45246</v>
      </c>
      <c r="C7874" s="242">
        <f t="shared" si="245"/>
        <v>11</v>
      </c>
      <c r="D7874" s="242" t="s">
        <v>1844</v>
      </c>
      <c r="E7874" s="845">
        <f t="shared" si="246"/>
        <v>10</v>
      </c>
    </row>
    <row r="7875" spans="2:5">
      <c r="B7875" s="1115">
        <v>45246</v>
      </c>
      <c r="C7875" s="242">
        <f t="shared" si="245"/>
        <v>11</v>
      </c>
      <c r="D7875" s="242">
        <v>50.7</v>
      </c>
      <c r="E7875" s="845">
        <f t="shared" si="246"/>
        <v>10.388888888888891</v>
      </c>
    </row>
    <row r="7876" spans="2:5">
      <c r="B7876" s="1115">
        <v>45246</v>
      </c>
      <c r="C7876" s="242">
        <f t="shared" si="245"/>
        <v>11</v>
      </c>
      <c r="D7876" s="242">
        <v>51.1</v>
      </c>
      <c r="E7876" s="845">
        <f t="shared" si="246"/>
        <v>10.611111111111112</v>
      </c>
    </row>
    <row r="7877" spans="2:5">
      <c r="B7877" s="1115">
        <v>45246</v>
      </c>
      <c r="C7877" s="242">
        <f t="shared" si="245"/>
        <v>11</v>
      </c>
      <c r="D7877" s="242">
        <v>51.3</v>
      </c>
      <c r="E7877" s="845">
        <f t="shared" si="246"/>
        <v>10.72222222222222</v>
      </c>
    </row>
    <row r="7878" spans="2:5">
      <c r="B7878" s="1115">
        <v>45246</v>
      </c>
      <c r="C7878" s="242">
        <f t="shared" si="245"/>
        <v>11</v>
      </c>
      <c r="D7878" s="242">
        <v>51.1</v>
      </c>
      <c r="E7878" s="845">
        <f t="shared" si="246"/>
        <v>10.611111111111112</v>
      </c>
    </row>
    <row r="7879" spans="2:5">
      <c r="B7879" s="1115">
        <v>45246</v>
      </c>
      <c r="C7879" s="242">
        <f t="shared" si="245"/>
        <v>11</v>
      </c>
      <c r="D7879" s="242">
        <v>50.7</v>
      </c>
      <c r="E7879" s="845">
        <f t="shared" si="246"/>
        <v>10.388888888888891</v>
      </c>
    </row>
    <row r="7880" spans="2:5">
      <c r="B7880" s="1115">
        <v>45246</v>
      </c>
      <c r="C7880" s="242">
        <f t="shared" si="245"/>
        <v>11</v>
      </c>
      <c r="D7880" s="242">
        <v>49.8</v>
      </c>
      <c r="E7880" s="845">
        <f t="shared" si="246"/>
        <v>9.8888888888888875</v>
      </c>
    </row>
    <row r="7881" spans="2:5">
      <c r="B7881" s="1115">
        <v>45247</v>
      </c>
      <c r="C7881" s="242">
        <f t="shared" si="245"/>
        <v>11</v>
      </c>
      <c r="D7881" s="242">
        <v>49.1</v>
      </c>
      <c r="E7881" s="845">
        <f t="shared" si="246"/>
        <v>9.5</v>
      </c>
    </row>
    <row r="7882" spans="2:5">
      <c r="B7882" s="1115">
        <v>45247</v>
      </c>
      <c r="C7882" s="242">
        <f t="shared" ref="C7882:C7945" si="247">MONTH(B7882)</f>
        <v>11</v>
      </c>
      <c r="D7882" s="242">
        <v>48.6</v>
      </c>
      <c r="E7882" s="845">
        <f t="shared" ref="E7882:E7945" si="248">CONVERT(D7882,"F","C")</f>
        <v>9.2222222222222232</v>
      </c>
    </row>
    <row r="7883" spans="2:5">
      <c r="B7883" s="1115">
        <v>45247</v>
      </c>
      <c r="C7883" s="242">
        <f t="shared" si="247"/>
        <v>11</v>
      </c>
      <c r="D7883" s="242" t="s">
        <v>1843</v>
      </c>
      <c r="E7883" s="845">
        <f t="shared" si="248"/>
        <v>8.8888888888888893</v>
      </c>
    </row>
    <row r="7884" spans="2:5">
      <c r="B7884" s="1115">
        <v>45247</v>
      </c>
      <c r="C7884" s="242">
        <f t="shared" si="247"/>
        <v>11</v>
      </c>
      <c r="D7884" s="242" t="s">
        <v>1843</v>
      </c>
      <c r="E7884" s="845">
        <f t="shared" si="248"/>
        <v>8.8888888888888893</v>
      </c>
    </row>
    <row r="7885" spans="2:5">
      <c r="B7885" s="1115">
        <v>45247</v>
      </c>
      <c r="C7885" s="242">
        <f t="shared" si="247"/>
        <v>11</v>
      </c>
      <c r="D7885" s="242">
        <v>48.6</v>
      </c>
      <c r="E7885" s="845">
        <f t="shared" si="248"/>
        <v>9.2222222222222232</v>
      </c>
    </row>
    <row r="7886" spans="2:5">
      <c r="B7886" s="1115">
        <v>45247</v>
      </c>
      <c r="C7886" s="242">
        <f t="shared" si="247"/>
        <v>11</v>
      </c>
      <c r="D7886" s="242">
        <v>49.5</v>
      </c>
      <c r="E7886" s="845">
        <f t="shared" si="248"/>
        <v>9.7222222222222214</v>
      </c>
    </row>
    <row r="7887" spans="2:5">
      <c r="B7887" s="1115">
        <v>45247</v>
      </c>
      <c r="C7887" s="242">
        <f t="shared" si="247"/>
        <v>11</v>
      </c>
      <c r="D7887" s="242">
        <v>50.5</v>
      </c>
      <c r="E7887" s="845">
        <f t="shared" si="248"/>
        <v>10.277777777777777</v>
      </c>
    </row>
    <row r="7888" spans="2:5">
      <c r="B7888" s="1115">
        <v>45247</v>
      </c>
      <c r="C7888" s="242">
        <f t="shared" si="247"/>
        <v>11</v>
      </c>
      <c r="D7888" s="242">
        <v>51.1</v>
      </c>
      <c r="E7888" s="845">
        <f t="shared" si="248"/>
        <v>10.611111111111112</v>
      </c>
    </row>
    <row r="7889" spans="2:5">
      <c r="B7889" s="1115">
        <v>45247</v>
      </c>
      <c r="C7889" s="242">
        <f t="shared" si="247"/>
        <v>11</v>
      </c>
      <c r="D7889" s="242">
        <v>51.3</v>
      </c>
      <c r="E7889" s="845">
        <f t="shared" si="248"/>
        <v>10.72222222222222</v>
      </c>
    </row>
    <row r="7890" spans="2:5">
      <c r="B7890" s="1115">
        <v>45247</v>
      </c>
      <c r="C7890" s="242">
        <f t="shared" si="247"/>
        <v>11</v>
      </c>
      <c r="D7890" s="242">
        <v>51.3</v>
      </c>
      <c r="E7890" s="845">
        <f t="shared" si="248"/>
        <v>10.72222222222222</v>
      </c>
    </row>
    <row r="7891" spans="2:5">
      <c r="B7891" s="1115">
        <v>45247</v>
      </c>
      <c r="C7891" s="242">
        <f t="shared" si="247"/>
        <v>11</v>
      </c>
      <c r="D7891" s="242">
        <v>51.1</v>
      </c>
      <c r="E7891" s="845">
        <f t="shared" si="248"/>
        <v>10.611111111111112</v>
      </c>
    </row>
    <row r="7892" spans="2:5">
      <c r="B7892" s="1115">
        <v>45247</v>
      </c>
      <c r="C7892" s="242">
        <f t="shared" si="247"/>
        <v>11</v>
      </c>
      <c r="D7892" s="242">
        <v>50.5</v>
      </c>
      <c r="E7892" s="845">
        <f t="shared" si="248"/>
        <v>10.277777777777777</v>
      </c>
    </row>
    <row r="7893" spans="2:5">
      <c r="B7893" s="1115">
        <v>45247</v>
      </c>
      <c r="C7893" s="242">
        <f t="shared" si="247"/>
        <v>11</v>
      </c>
      <c r="D7893" s="242">
        <v>49.5</v>
      </c>
      <c r="E7893" s="845">
        <f t="shared" si="248"/>
        <v>9.7222222222222214</v>
      </c>
    </row>
    <row r="7894" spans="2:5">
      <c r="B7894" s="1115">
        <v>45247</v>
      </c>
      <c r="C7894" s="242">
        <f t="shared" si="247"/>
        <v>11</v>
      </c>
      <c r="D7894" s="242">
        <v>48.7</v>
      </c>
      <c r="E7894" s="845">
        <f t="shared" si="248"/>
        <v>9.2777777777777786</v>
      </c>
    </row>
    <row r="7895" spans="2:5">
      <c r="B7895" s="1115">
        <v>45247</v>
      </c>
      <c r="C7895" s="242">
        <f t="shared" si="247"/>
        <v>11</v>
      </c>
      <c r="D7895" s="242">
        <v>48.4</v>
      </c>
      <c r="E7895" s="845">
        <f t="shared" si="248"/>
        <v>9.1111111111111107</v>
      </c>
    </row>
    <row r="7896" spans="2:5">
      <c r="B7896" s="1115">
        <v>45247</v>
      </c>
      <c r="C7896" s="242">
        <f t="shared" si="247"/>
        <v>11</v>
      </c>
      <c r="D7896" s="242">
        <v>48.4</v>
      </c>
      <c r="E7896" s="845">
        <f t="shared" si="248"/>
        <v>9.1111111111111107</v>
      </c>
    </row>
    <row r="7897" spans="2:5">
      <c r="B7897" s="1115">
        <v>45247</v>
      </c>
      <c r="C7897" s="242">
        <f t="shared" si="247"/>
        <v>11</v>
      </c>
      <c r="D7897" s="242">
        <v>49.1</v>
      </c>
      <c r="E7897" s="845">
        <f t="shared" si="248"/>
        <v>9.5</v>
      </c>
    </row>
    <row r="7898" spans="2:5">
      <c r="B7898" s="1115">
        <v>45247</v>
      </c>
      <c r="C7898" s="242">
        <f t="shared" si="247"/>
        <v>11</v>
      </c>
      <c r="D7898" s="242">
        <v>50.2</v>
      </c>
      <c r="E7898" s="845">
        <f t="shared" si="248"/>
        <v>10.111111111111112</v>
      </c>
    </row>
    <row r="7899" spans="2:5">
      <c r="B7899" s="1115">
        <v>45247</v>
      </c>
      <c r="C7899" s="242">
        <f t="shared" si="247"/>
        <v>11</v>
      </c>
      <c r="D7899" s="242">
        <v>50.9</v>
      </c>
      <c r="E7899" s="845">
        <f t="shared" si="248"/>
        <v>10.499999999999998</v>
      </c>
    </row>
    <row r="7900" spans="2:5">
      <c r="B7900" s="1115">
        <v>45247</v>
      </c>
      <c r="C7900" s="242">
        <f t="shared" si="247"/>
        <v>11</v>
      </c>
      <c r="D7900" s="242">
        <v>51.4</v>
      </c>
      <c r="E7900" s="845">
        <f t="shared" si="248"/>
        <v>10.777777777777777</v>
      </c>
    </row>
    <row r="7901" spans="2:5">
      <c r="B7901" s="1115">
        <v>45247</v>
      </c>
      <c r="C7901" s="242">
        <f t="shared" si="247"/>
        <v>11</v>
      </c>
      <c r="D7901" s="242">
        <v>51.6</v>
      </c>
      <c r="E7901" s="845">
        <f t="shared" si="248"/>
        <v>10.888888888888889</v>
      </c>
    </row>
    <row r="7902" spans="2:5">
      <c r="B7902" s="1115">
        <v>45247</v>
      </c>
      <c r="C7902" s="242">
        <f t="shared" si="247"/>
        <v>11</v>
      </c>
      <c r="D7902" s="242">
        <v>51.6</v>
      </c>
      <c r="E7902" s="845">
        <f t="shared" si="248"/>
        <v>10.888888888888889</v>
      </c>
    </row>
    <row r="7903" spans="2:5">
      <c r="B7903" s="1115">
        <v>45247</v>
      </c>
      <c r="C7903" s="242">
        <f t="shared" si="247"/>
        <v>11</v>
      </c>
      <c r="D7903" s="242">
        <v>51.4</v>
      </c>
      <c r="E7903" s="845">
        <f t="shared" si="248"/>
        <v>10.777777777777777</v>
      </c>
    </row>
    <row r="7904" spans="2:5">
      <c r="B7904" s="1115">
        <v>45247</v>
      </c>
      <c r="C7904" s="242">
        <f t="shared" si="247"/>
        <v>11</v>
      </c>
      <c r="D7904" s="242">
        <v>51.1</v>
      </c>
      <c r="E7904" s="845">
        <f t="shared" si="248"/>
        <v>10.611111111111112</v>
      </c>
    </row>
    <row r="7905" spans="2:5">
      <c r="B7905" s="1115">
        <v>45248</v>
      </c>
      <c r="C7905" s="242">
        <f t="shared" si="247"/>
        <v>11</v>
      </c>
      <c r="D7905" s="242">
        <v>50.2</v>
      </c>
      <c r="E7905" s="845">
        <f t="shared" si="248"/>
        <v>10.111111111111112</v>
      </c>
    </row>
    <row r="7906" spans="2:5">
      <c r="B7906" s="1115">
        <v>45248</v>
      </c>
      <c r="C7906" s="242">
        <f t="shared" si="247"/>
        <v>11</v>
      </c>
      <c r="D7906" s="242">
        <v>49.6</v>
      </c>
      <c r="E7906" s="845">
        <f t="shared" si="248"/>
        <v>9.7777777777777786</v>
      </c>
    </row>
    <row r="7907" spans="2:5">
      <c r="B7907" s="1115">
        <v>45248</v>
      </c>
      <c r="C7907" s="242">
        <f t="shared" si="247"/>
        <v>11</v>
      </c>
      <c r="D7907" s="242">
        <v>49.1</v>
      </c>
      <c r="E7907" s="845">
        <f t="shared" si="248"/>
        <v>9.5</v>
      </c>
    </row>
    <row r="7908" spans="2:5">
      <c r="B7908" s="1115">
        <v>45248</v>
      </c>
      <c r="C7908" s="242">
        <f t="shared" si="247"/>
        <v>11</v>
      </c>
      <c r="D7908" s="242">
        <v>48.6</v>
      </c>
      <c r="E7908" s="845">
        <f t="shared" si="248"/>
        <v>9.2222222222222232</v>
      </c>
    </row>
    <row r="7909" spans="2:5">
      <c r="B7909" s="1115">
        <v>45248</v>
      </c>
      <c r="C7909" s="242">
        <f t="shared" si="247"/>
        <v>11</v>
      </c>
      <c r="D7909" s="242">
        <v>48.6</v>
      </c>
      <c r="E7909" s="845">
        <f t="shared" si="248"/>
        <v>9.2222222222222232</v>
      </c>
    </row>
    <row r="7910" spans="2:5">
      <c r="B7910" s="1115">
        <v>45248</v>
      </c>
      <c r="C7910" s="242">
        <f t="shared" si="247"/>
        <v>11</v>
      </c>
      <c r="D7910" s="242">
        <v>49.5</v>
      </c>
      <c r="E7910" s="845">
        <f t="shared" si="248"/>
        <v>9.7222222222222214</v>
      </c>
    </row>
    <row r="7911" spans="2:5">
      <c r="B7911" s="1115">
        <v>45248</v>
      </c>
      <c r="C7911" s="242">
        <f t="shared" si="247"/>
        <v>11</v>
      </c>
      <c r="D7911" s="242" t="s">
        <v>1844</v>
      </c>
      <c r="E7911" s="845">
        <f t="shared" si="248"/>
        <v>10</v>
      </c>
    </row>
    <row r="7912" spans="2:5">
      <c r="B7912" s="1115">
        <v>45248</v>
      </c>
      <c r="C7912" s="242">
        <f t="shared" si="247"/>
        <v>11</v>
      </c>
      <c r="D7912" s="242">
        <v>50.9</v>
      </c>
      <c r="E7912" s="845">
        <f t="shared" si="248"/>
        <v>10.499999999999998</v>
      </c>
    </row>
    <row r="7913" spans="2:5">
      <c r="B7913" s="1115">
        <v>45248</v>
      </c>
      <c r="C7913" s="242">
        <f t="shared" si="247"/>
        <v>11</v>
      </c>
      <c r="D7913" s="242">
        <v>51.3</v>
      </c>
      <c r="E7913" s="845">
        <f t="shared" si="248"/>
        <v>10.72222222222222</v>
      </c>
    </row>
    <row r="7914" spans="2:5">
      <c r="B7914" s="1115">
        <v>45248</v>
      </c>
      <c r="C7914" s="242">
        <f t="shared" si="247"/>
        <v>11</v>
      </c>
      <c r="D7914" s="242">
        <v>51.4</v>
      </c>
      <c r="E7914" s="845">
        <f t="shared" si="248"/>
        <v>10.777777777777777</v>
      </c>
    </row>
    <row r="7915" spans="2:5">
      <c r="B7915" s="1115">
        <v>45248</v>
      </c>
      <c r="C7915" s="242">
        <f t="shared" si="247"/>
        <v>11</v>
      </c>
      <c r="D7915" s="242">
        <v>51.4</v>
      </c>
      <c r="E7915" s="845">
        <f t="shared" si="248"/>
        <v>10.777777777777777</v>
      </c>
    </row>
    <row r="7916" spans="2:5">
      <c r="B7916" s="1115">
        <v>45248</v>
      </c>
      <c r="C7916" s="242">
        <f t="shared" si="247"/>
        <v>11</v>
      </c>
      <c r="D7916" s="242">
        <v>51.3</v>
      </c>
      <c r="E7916" s="845">
        <f t="shared" si="248"/>
        <v>10.72222222222222</v>
      </c>
    </row>
    <row r="7917" spans="2:5">
      <c r="B7917" s="1115">
        <v>45248</v>
      </c>
      <c r="C7917" s="242">
        <f t="shared" si="247"/>
        <v>11</v>
      </c>
      <c r="D7917" s="242">
        <v>50.7</v>
      </c>
      <c r="E7917" s="845">
        <f t="shared" si="248"/>
        <v>10.388888888888891</v>
      </c>
    </row>
    <row r="7918" spans="2:5">
      <c r="B7918" s="1115">
        <v>45248</v>
      </c>
      <c r="C7918" s="242">
        <f t="shared" si="247"/>
        <v>11</v>
      </c>
      <c r="D7918" s="242" t="s">
        <v>1844</v>
      </c>
      <c r="E7918" s="845">
        <f t="shared" si="248"/>
        <v>10</v>
      </c>
    </row>
    <row r="7919" spans="2:5">
      <c r="B7919" s="1115">
        <v>45248</v>
      </c>
      <c r="C7919" s="242">
        <f t="shared" si="247"/>
        <v>11</v>
      </c>
      <c r="D7919" s="242">
        <v>49.5</v>
      </c>
      <c r="E7919" s="845">
        <f t="shared" si="248"/>
        <v>9.7222222222222214</v>
      </c>
    </row>
    <row r="7920" spans="2:5">
      <c r="B7920" s="1115">
        <v>45248</v>
      </c>
      <c r="C7920" s="242">
        <f t="shared" si="247"/>
        <v>11</v>
      </c>
      <c r="D7920" s="242">
        <v>49.3</v>
      </c>
      <c r="E7920" s="845">
        <f t="shared" si="248"/>
        <v>9.6111111111111089</v>
      </c>
    </row>
    <row r="7921" spans="2:5">
      <c r="B7921" s="1115">
        <v>45248</v>
      </c>
      <c r="C7921" s="242">
        <f t="shared" si="247"/>
        <v>11</v>
      </c>
      <c r="D7921" s="242">
        <v>49.3</v>
      </c>
      <c r="E7921" s="845">
        <f t="shared" si="248"/>
        <v>9.6111111111111089</v>
      </c>
    </row>
    <row r="7922" spans="2:5">
      <c r="B7922" s="1115">
        <v>45248</v>
      </c>
      <c r="C7922" s="242">
        <f t="shared" si="247"/>
        <v>11</v>
      </c>
      <c r="D7922" s="242">
        <v>50.2</v>
      </c>
      <c r="E7922" s="845">
        <f t="shared" si="248"/>
        <v>10.111111111111112</v>
      </c>
    </row>
    <row r="7923" spans="2:5">
      <c r="B7923" s="1115">
        <v>45248</v>
      </c>
      <c r="C7923" s="242">
        <f t="shared" si="247"/>
        <v>11</v>
      </c>
      <c r="D7923" s="242">
        <v>50.5</v>
      </c>
      <c r="E7923" s="845">
        <f t="shared" si="248"/>
        <v>10.277777777777777</v>
      </c>
    </row>
    <row r="7924" spans="2:5">
      <c r="B7924" s="1115">
        <v>45248</v>
      </c>
      <c r="C7924" s="242">
        <f t="shared" si="247"/>
        <v>11</v>
      </c>
      <c r="D7924" s="242">
        <v>51.3</v>
      </c>
      <c r="E7924" s="845">
        <f t="shared" si="248"/>
        <v>10.72222222222222</v>
      </c>
    </row>
    <row r="7925" spans="2:5">
      <c r="B7925" s="1115">
        <v>45248</v>
      </c>
      <c r="C7925" s="242">
        <f t="shared" si="247"/>
        <v>11</v>
      </c>
      <c r="D7925" s="242">
        <v>51.6</v>
      </c>
      <c r="E7925" s="845">
        <f t="shared" si="248"/>
        <v>10.888888888888889</v>
      </c>
    </row>
    <row r="7926" spans="2:5">
      <c r="B7926" s="1115">
        <v>45248</v>
      </c>
      <c r="C7926" s="242">
        <f t="shared" si="247"/>
        <v>11</v>
      </c>
      <c r="D7926" s="242">
        <v>51.8</v>
      </c>
      <c r="E7926" s="845">
        <f t="shared" si="248"/>
        <v>10.999999999999998</v>
      </c>
    </row>
    <row r="7927" spans="2:5">
      <c r="B7927" s="1115">
        <v>45248</v>
      </c>
      <c r="C7927" s="242">
        <f t="shared" si="247"/>
        <v>11</v>
      </c>
      <c r="D7927" s="242">
        <v>51.6</v>
      </c>
      <c r="E7927" s="845">
        <f t="shared" si="248"/>
        <v>10.888888888888889</v>
      </c>
    </row>
    <row r="7928" spans="2:5">
      <c r="B7928" s="1115">
        <v>45248</v>
      </c>
      <c r="C7928" s="242">
        <f t="shared" si="247"/>
        <v>11</v>
      </c>
      <c r="D7928" s="242">
        <v>51.4</v>
      </c>
      <c r="E7928" s="845">
        <f t="shared" si="248"/>
        <v>10.777777777777777</v>
      </c>
    </row>
    <row r="7929" spans="2:5">
      <c r="B7929" s="1115">
        <v>45249</v>
      </c>
      <c r="C7929" s="242">
        <f t="shared" si="247"/>
        <v>11</v>
      </c>
      <c r="D7929" s="242">
        <v>51.1</v>
      </c>
      <c r="E7929" s="845">
        <f t="shared" si="248"/>
        <v>10.611111111111112</v>
      </c>
    </row>
    <row r="7930" spans="2:5">
      <c r="B7930" s="1115">
        <v>45249</v>
      </c>
      <c r="C7930" s="242">
        <f t="shared" si="247"/>
        <v>11</v>
      </c>
      <c r="D7930" s="242">
        <v>50.2</v>
      </c>
      <c r="E7930" s="845">
        <f t="shared" si="248"/>
        <v>10.111111111111112</v>
      </c>
    </row>
    <row r="7931" spans="2:5">
      <c r="B7931" s="1115">
        <v>45249</v>
      </c>
      <c r="C7931" s="242">
        <f t="shared" si="247"/>
        <v>11</v>
      </c>
      <c r="D7931" s="242">
        <v>49.6</v>
      </c>
      <c r="E7931" s="845">
        <f t="shared" si="248"/>
        <v>9.7777777777777786</v>
      </c>
    </row>
    <row r="7932" spans="2:5">
      <c r="B7932" s="1115">
        <v>45249</v>
      </c>
      <c r="C7932" s="242">
        <f t="shared" si="247"/>
        <v>11</v>
      </c>
      <c r="D7932" s="242">
        <v>49.3</v>
      </c>
      <c r="E7932" s="845">
        <f t="shared" si="248"/>
        <v>9.6111111111111089</v>
      </c>
    </row>
    <row r="7933" spans="2:5">
      <c r="B7933" s="1115">
        <v>45249</v>
      </c>
      <c r="C7933" s="242">
        <f t="shared" si="247"/>
        <v>11</v>
      </c>
      <c r="D7933" s="242">
        <v>48.7</v>
      </c>
      <c r="E7933" s="845">
        <f t="shared" si="248"/>
        <v>9.2777777777777786</v>
      </c>
    </row>
    <row r="7934" spans="2:5">
      <c r="B7934" s="1115">
        <v>45249</v>
      </c>
      <c r="C7934" s="242">
        <f t="shared" si="247"/>
        <v>11</v>
      </c>
      <c r="D7934" s="242">
        <v>48.6</v>
      </c>
      <c r="E7934" s="845">
        <f t="shared" si="248"/>
        <v>9.2222222222222232</v>
      </c>
    </row>
    <row r="7935" spans="2:5">
      <c r="B7935" s="1115">
        <v>45249</v>
      </c>
      <c r="C7935" s="242">
        <f t="shared" si="247"/>
        <v>11</v>
      </c>
      <c r="D7935" s="242">
        <v>49.5</v>
      </c>
      <c r="E7935" s="845">
        <f t="shared" si="248"/>
        <v>9.7222222222222214</v>
      </c>
    </row>
    <row r="7936" spans="2:5">
      <c r="B7936" s="1115">
        <v>45249</v>
      </c>
      <c r="C7936" s="242">
        <f t="shared" si="247"/>
        <v>11</v>
      </c>
      <c r="D7936" s="242" t="s">
        <v>1844</v>
      </c>
      <c r="E7936" s="845">
        <f t="shared" si="248"/>
        <v>10</v>
      </c>
    </row>
    <row r="7937" spans="2:5">
      <c r="B7937" s="1115">
        <v>45249</v>
      </c>
      <c r="C7937" s="242">
        <f t="shared" si="247"/>
        <v>11</v>
      </c>
      <c r="D7937" s="242">
        <v>50.9</v>
      </c>
      <c r="E7937" s="845">
        <f t="shared" si="248"/>
        <v>10.499999999999998</v>
      </c>
    </row>
    <row r="7938" spans="2:5">
      <c r="B7938" s="1115">
        <v>45249</v>
      </c>
      <c r="C7938" s="242">
        <f t="shared" si="247"/>
        <v>11</v>
      </c>
      <c r="D7938" s="242">
        <v>50.9</v>
      </c>
      <c r="E7938" s="845">
        <f t="shared" si="248"/>
        <v>10.499999999999998</v>
      </c>
    </row>
    <row r="7939" spans="2:5">
      <c r="B7939" s="1115">
        <v>45249</v>
      </c>
      <c r="C7939" s="242">
        <f t="shared" si="247"/>
        <v>11</v>
      </c>
      <c r="D7939" s="242">
        <v>51.1</v>
      </c>
      <c r="E7939" s="845">
        <f t="shared" si="248"/>
        <v>10.611111111111112</v>
      </c>
    </row>
    <row r="7940" spans="2:5">
      <c r="B7940" s="1115">
        <v>45249</v>
      </c>
      <c r="C7940" s="242">
        <f t="shared" si="247"/>
        <v>11</v>
      </c>
      <c r="D7940" s="242">
        <v>50.9</v>
      </c>
      <c r="E7940" s="845">
        <f t="shared" si="248"/>
        <v>10.499999999999998</v>
      </c>
    </row>
    <row r="7941" spans="2:5">
      <c r="B7941" s="1115">
        <v>45249</v>
      </c>
      <c r="C7941" s="242">
        <f t="shared" si="247"/>
        <v>11</v>
      </c>
      <c r="D7941" s="242">
        <v>50.7</v>
      </c>
      <c r="E7941" s="845">
        <f t="shared" si="248"/>
        <v>10.388888888888891</v>
      </c>
    </row>
    <row r="7942" spans="2:5">
      <c r="B7942" s="1115">
        <v>45249</v>
      </c>
      <c r="C7942" s="242">
        <f t="shared" si="247"/>
        <v>11</v>
      </c>
      <c r="D7942" s="242">
        <v>50.2</v>
      </c>
      <c r="E7942" s="845">
        <f t="shared" si="248"/>
        <v>10.111111111111112</v>
      </c>
    </row>
    <row r="7943" spans="2:5">
      <c r="B7943" s="1115">
        <v>45249</v>
      </c>
      <c r="C7943" s="242">
        <f t="shared" si="247"/>
        <v>11</v>
      </c>
      <c r="D7943" s="242">
        <v>49.5</v>
      </c>
      <c r="E7943" s="845">
        <f t="shared" si="248"/>
        <v>9.7222222222222214</v>
      </c>
    </row>
    <row r="7944" spans="2:5">
      <c r="B7944" s="1115">
        <v>45249</v>
      </c>
      <c r="C7944" s="242">
        <f t="shared" si="247"/>
        <v>11</v>
      </c>
      <c r="D7944" s="242">
        <v>49.1</v>
      </c>
      <c r="E7944" s="845">
        <f t="shared" si="248"/>
        <v>9.5</v>
      </c>
    </row>
    <row r="7945" spans="2:5">
      <c r="B7945" s="1115">
        <v>45249</v>
      </c>
      <c r="C7945" s="242">
        <f t="shared" si="247"/>
        <v>11</v>
      </c>
      <c r="D7945" s="242">
        <v>48.7</v>
      </c>
      <c r="E7945" s="845">
        <f t="shared" si="248"/>
        <v>9.2777777777777786</v>
      </c>
    </row>
    <row r="7946" spans="2:5">
      <c r="B7946" s="1115">
        <v>45249</v>
      </c>
      <c r="C7946" s="242">
        <f t="shared" ref="C7946:C8009" si="249">MONTH(B7946)</f>
        <v>11</v>
      </c>
      <c r="D7946" s="242">
        <v>48.7</v>
      </c>
      <c r="E7946" s="845">
        <f t="shared" ref="E7946:E8009" si="250">CONVERT(D7946,"F","C")</f>
        <v>9.2777777777777786</v>
      </c>
    </row>
    <row r="7947" spans="2:5">
      <c r="B7947" s="1115">
        <v>45249</v>
      </c>
      <c r="C7947" s="242">
        <f t="shared" si="249"/>
        <v>11</v>
      </c>
      <c r="D7947" s="242">
        <v>49.5</v>
      </c>
      <c r="E7947" s="845">
        <f t="shared" si="250"/>
        <v>9.7222222222222214</v>
      </c>
    </row>
    <row r="7948" spans="2:5">
      <c r="B7948" s="1115">
        <v>45249</v>
      </c>
      <c r="C7948" s="242">
        <f t="shared" si="249"/>
        <v>11</v>
      </c>
      <c r="D7948" s="242" t="s">
        <v>1844</v>
      </c>
      <c r="E7948" s="845">
        <f t="shared" si="250"/>
        <v>10</v>
      </c>
    </row>
    <row r="7949" spans="2:5">
      <c r="B7949" s="1115">
        <v>45249</v>
      </c>
      <c r="C7949" s="242">
        <f t="shared" si="249"/>
        <v>11</v>
      </c>
      <c r="D7949" s="242">
        <v>50.5</v>
      </c>
      <c r="E7949" s="845">
        <f t="shared" si="250"/>
        <v>10.277777777777777</v>
      </c>
    </row>
    <row r="7950" spans="2:5">
      <c r="B7950" s="1115">
        <v>45249</v>
      </c>
      <c r="C7950" s="242">
        <f t="shared" si="249"/>
        <v>11</v>
      </c>
      <c r="D7950" s="242">
        <v>50.9</v>
      </c>
      <c r="E7950" s="845">
        <f t="shared" si="250"/>
        <v>10.499999999999998</v>
      </c>
    </row>
    <row r="7951" spans="2:5">
      <c r="B7951" s="1115">
        <v>45249</v>
      </c>
      <c r="C7951" s="242">
        <f t="shared" si="249"/>
        <v>11</v>
      </c>
      <c r="D7951" s="242">
        <v>51.1</v>
      </c>
      <c r="E7951" s="845">
        <f t="shared" si="250"/>
        <v>10.611111111111112</v>
      </c>
    </row>
    <row r="7952" spans="2:5">
      <c r="B7952" s="1115">
        <v>45249</v>
      </c>
      <c r="C7952" s="242">
        <f t="shared" si="249"/>
        <v>11</v>
      </c>
      <c r="D7952" s="242">
        <v>51.1</v>
      </c>
      <c r="E7952" s="845">
        <f t="shared" si="250"/>
        <v>10.611111111111112</v>
      </c>
    </row>
    <row r="7953" spans="2:5">
      <c r="B7953" s="1115">
        <v>45250</v>
      </c>
      <c r="C7953" s="242">
        <f t="shared" si="249"/>
        <v>11</v>
      </c>
      <c r="D7953" s="242">
        <v>50.9</v>
      </c>
      <c r="E7953" s="845">
        <f t="shared" si="250"/>
        <v>10.499999999999998</v>
      </c>
    </row>
    <row r="7954" spans="2:5">
      <c r="B7954" s="1115">
        <v>45250</v>
      </c>
      <c r="C7954" s="242">
        <f t="shared" si="249"/>
        <v>11</v>
      </c>
      <c r="D7954" s="242">
        <v>50.4</v>
      </c>
      <c r="E7954" s="845">
        <f t="shared" si="250"/>
        <v>10.222222222222221</v>
      </c>
    </row>
    <row r="7955" spans="2:5">
      <c r="B7955" s="1115">
        <v>45250</v>
      </c>
      <c r="C7955" s="242">
        <f t="shared" si="249"/>
        <v>11</v>
      </c>
      <c r="D7955" s="242">
        <v>49.6</v>
      </c>
      <c r="E7955" s="845">
        <f t="shared" si="250"/>
        <v>9.7777777777777786</v>
      </c>
    </row>
    <row r="7956" spans="2:5">
      <c r="B7956" s="1115">
        <v>45250</v>
      </c>
      <c r="C7956" s="242">
        <f t="shared" si="249"/>
        <v>11</v>
      </c>
      <c r="D7956" s="242">
        <v>49.1</v>
      </c>
      <c r="E7956" s="845">
        <f t="shared" si="250"/>
        <v>9.5</v>
      </c>
    </row>
    <row r="7957" spans="2:5">
      <c r="B7957" s="1115">
        <v>45250</v>
      </c>
      <c r="C7957" s="242">
        <f t="shared" si="249"/>
        <v>11</v>
      </c>
      <c r="D7957" s="242">
        <v>48.6</v>
      </c>
      <c r="E7957" s="845">
        <f t="shared" si="250"/>
        <v>9.2222222222222232</v>
      </c>
    </row>
    <row r="7958" spans="2:5">
      <c r="B7958" s="1115">
        <v>45250</v>
      </c>
      <c r="C7958" s="242">
        <f t="shared" si="249"/>
        <v>11</v>
      </c>
      <c r="D7958" s="242">
        <v>48.2</v>
      </c>
      <c r="E7958" s="845">
        <f t="shared" si="250"/>
        <v>9.0000000000000018</v>
      </c>
    </row>
    <row r="7959" spans="2:5">
      <c r="B7959" s="1115">
        <v>45250</v>
      </c>
      <c r="C7959" s="242">
        <f t="shared" si="249"/>
        <v>11</v>
      </c>
      <c r="D7959" s="242">
        <v>48.2</v>
      </c>
      <c r="E7959" s="845">
        <f t="shared" si="250"/>
        <v>9.0000000000000018</v>
      </c>
    </row>
    <row r="7960" spans="2:5">
      <c r="B7960" s="1115">
        <v>45250</v>
      </c>
      <c r="C7960" s="242">
        <f t="shared" si="249"/>
        <v>11</v>
      </c>
      <c r="D7960" s="242">
        <v>49.1</v>
      </c>
      <c r="E7960" s="845">
        <f t="shared" si="250"/>
        <v>9.5</v>
      </c>
    </row>
    <row r="7961" spans="2:5">
      <c r="B7961" s="1115">
        <v>45250</v>
      </c>
      <c r="C7961" s="242">
        <f t="shared" si="249"/>
        <v>11</v>
      </c>
      <c r="D7961" s="242">
        <v>49.6</v>
      </c>
      <c r="E7961" s="845">
        <f t="shared" si="250"/>
        <v>9.7777777777777786</v>
      </c>
    </row>
    <row r="7962" spans="2:5">
      <c r="B7962" s="1115">
        <v>45250</v>
      </c>
      <c r="C7962" s="242">
        <f t="shared" si="249"/>
        <v>11</v>
      </c>
      <c r="D7962" s="242">
        <v>50.4</v>
      </c>
      <c r="E7962" s="845">
        <f t="shared" si="250"/>
        <v>10.222222222222221</v>
      </c>
    </row>
    <row r="7963" spans="2:5">
      <c r="B7963" s="1115">
        <v>45250</v>
      </c>
      <c r="C7963" s="242">
        <f t="shared" si="249"/>
        <v>11</v>
      </c>
      <c r="D7963" s="242">
        <v>50.7</v>
      </c>
      <c r="E7963" s="845">
        <f t="shared" si="250"/>
        <v>10.388888888888891</v>
      </c>
    </row>
    <row r="7964" spans="2:5">
      <c r="B7964" s="1115">
        <v>45250</v>
      </c>
      <c r="C7964" s="242">
        <f t="shared" si="249"/>
        <v>11</v>
      </c>
      <c r="D7964" s="242">
        <v>50.9</v>
      </c>
      <c r="E7964" s="845">
        <f t="shared" si="250"/>
        <v>10.499999999999998</v>
      </c>
    </row>
    <row r="7965" spans="2:5">
      <c r="B7965" s="1115">
        <v>45250</v>
      </c>
      <c r="C7965" s="242">
        <f t="shared" si="249"/>
        <v>11</v>
      </c>
      <c r="D7965" s="242">
        <v>50.7</v>
      </c>
      <c r="E7965" s="845">
        <f t="shared" si="250"/>
        <v>10.388888888888891</v>
      </c>
    </row>
    <row r="7966" spans="2:5">
      <c r="B7966" s="1115">
        <v>45250</v>
      </c>
      <c r="C7966" s="242">
        <f t="shared" si="249"/>
        <v>11</v>
      </c>
      <c r="D7966" s="242">
        <v>50.4</v>
      </c>
      <c r="E7966" s="845">
        <f t="shared" si="250"/>
        <v>10.222222222222221</v>
      </c>
    </row>
    <row r="7967" spans="2:5">
      <c r="B7967" s="1115">
        <v>45250</v>
      </c>
      <c r="C7967" s="242">
        <f t="shared" si="249"/>
        <v>11</v>
      </c>
      <c r="D7967" s="242">
        <v>49.8</v>
      </c>
      <c r="E7967" s="845">
        <f t="shared" si="250"/>
        <v>9.8888888888888875</v>
      </c>
    </row>
    <row r="7968" spans="2:5">
      <c r="B7968" s="1115">
        <v>45250</v>
      </c>
      <c r="C7968" s="242">
        <f t="shared" si="249"/>
        <v>11</v>
      </c>
      <c r="D7968" s="242">
        <v>48.9</v>
      </c>
      <c r="E7968" s="845">
        <f t="shared" si="250"/>
        <v>9.3888888888888875</v>
      </c>
    </row>
    <row r="7969" spans="2:5">
      <c r="B7969" s="1115">
        <v>45250</v>
      </c>
      <c r="C7969" s="242">
        <f t="shared" si="249"/>
        <v>11</v>
      </c>
      <c r="D7969" s="242">
        <v>48.4</v>
      </c>
      <c r="E7969" s="845">
        <f t="shared" si="250"/>
        <v>9.1111111111111107</v>
      </c>
    </row>
    <row r="7970" spans="2:5">
      <c r="B7970" s="1115">
        <v>45250</v>
      </c>
      <c r="C7970" s="242">
        <f t="shared" si="249"/>
        <v>11</v>
      </c>
      <c r="D7970" s="242" t="s">
        <v>1843</v>
      </c>
      <c r="E7970" s="845">
        <f t="shared" si="250"/>
        <v>8.8888888888888893</v>
      </c>
    </row>
    <row r="7971" spans="2:5">
      <c r="B7971" s="1115">
        <v>45250</v>
      </c>
      <c r="C7971" s="242">
        <f t="shared" si="249"/>
        <v>11</v>
      </c>
      <c r="D7971" s="242" t="s">
        <v>1843</v>
      </c>
      <c r="E7971" s="845">
        <f t="shared" si="250"/>
        <v>8.8888888888888893</v>
      </c>
    </row>
    <row r="7972" spans="2:5">
      <c r="B7972" s="1115">
        <v>45250</v>
      </c>
      <c r="C7972" s="242">
        <f t="shared" si="249"/>
        <v>11</v>
      </c>
      <c r="D7972" s="242">
        <v>48.7</v>
      </c>
      <c r="E7972" s="845">
        <f t="shared" si="250"/>
        <v>9.2777777777777786</v>
      </c>
    </row>
    <row r="7973" spans="2:5">
      <c r="B7973" s="1115">
        <v>45250</v>
      </c>
      <c r="C7973" s="242">
        <f t="shared" si="249"/>
        <v>11</v>
      </c>
      <c r="D7973" s="242">
        <v>49.3</v>
      </c>
      <c r="E7973" s="845">
        <f t="shared" si="250"/>
        <v>9.6111111111111089</v>
      </c>
    </row>
    <row r="7974" spans="2:5">
      <c r="B7974" s="1115">
        <v>45250</v>
      </c>
      <c r="C7974" s="242">
        <f t="shared" si="249"/>
        <v>11</v>
      </c>
      <c r="D7974" s="242">
        <v>50.2</v>
      </c>
      <c r="E7974" s="845">
        <f t="shared" si="250"/>
        <v>10.111111111111112</v>
      </c>
    </row>
    <row r="7975" spans="2:5">
      <c r="B7975" s="1115">
        <v>45250</v>
      </c>
      <c r="C7975" s="242">
        <f t="shared" si="249"/>
        <v>11</v>
      </c>
      <c r="D7975" s="242">
        <v>50.5</v>
      </c>
      <c r="E7975" s="845">
        <f t="shared" si="250"/>
        <v>10.277777777777777</v>
      </c>
    </row>
    <row r="7976" spans="2:5">
      <c r="B7976" s="1115">
        <v>45250</v>
      </c>
      <c r="C7976" s="242">
        <f t="shared" si="249"/>
        <v>11</v>
      </c>
      <c r="D7976" s="242">
        <v>50.7</v>
      </c>
      <c r="E7976" s="845">
        <f t="shared" si="250"/>
        <v>10.388888888888891</v>
      </c>
    </row>
    <row r="7977" spans="2:5">
      <c r="B7977" s="1115">
        <v>45251</v>
      </c>
      <c r="C7977" s="242">
        <f t="shared" si="249"/>
        <v>11</v>
      </c>
      <c r="D7977" s="242">
        <v>50.7</v>
      </c>
      <c r="E7977" s="845">
        <f t="shared" si="250"/>
        <v>10.388888888888891</v>
      </c>
    </row>
    <row r="7978" spans="2:5">
      <c r="B7978" s="1115">
        <v>45251</v>
      </c>
      <c r="C7978" s="242">
        <f t="shared" si="249"/>
        <v>11</v>
      </c>
      <c r="D7978" s="242">
        <v>50.5</v>
      </c>
      <c r="E7978" s="845">
        <f t="shared" si="250"/>
        <v>10.277777777777777</v>
      </c>
    </row>
    <row r="7979" spans="2:5">
      <c r="B7979" s="1115">
        <v>45251</v>
      </c>
      <c r="C7979" s="242">
        <f t="shared" si="249"/>
        <v>11</v>
      </c>
      <c r="D7979" s="242">
        <v>49.8</v>
      </c>
      <c r="E7979" s="845">
        <f t="shared" si="250"/>
        <v>9.8888888888888875</v>
      </c>
    </row>
    <row r="7980" spans="2:5">
      <c r="B7980" s="1115">
        <v>45251</v>
      </c>
      <c r="C7980" s="242">
        <f t="shared" si="249"/>
        <v>11</v>
      </c>
      <c r="D7980" s="242">
        <v>48.7</v>
      </c>
      <c r="E7980" s="845">
        <f t="shared" si="250"/>
        <v>9.2777777777777786</v>
      </c>
    </row>
    <row r="7981" spans="2:5">
      <c r="B7981" s="1115">
        <v>45251</v>
      </c>
      <c r="C7981" s="242">
        <f t="shared" si="249"/>
        <v>11</v>
      </c>
      <c r="D7981" s="242">
        <v>48.2</v>
      </c>
      <c r="E7981" s="845">
        <f t="shared" si="250"/>
        <v>9.0000000000000018</v>
      </c>
    </row>
    <row r="7982" spans="2:5">
      <c r="B7982" s="1115">
        <v>45251</v>
      </c>
      <c r="C7982" s="242">
        <f t="shared" si="249"/>
        <v>11</v>
      </c>
      <c r="D7982" s="242">
        <v>47.7</v>
      </c>
      <c r="E7982" s="845">
        <f t="shared" si="250"/>
        <v>8.7222222222222232</v>
      </c>
    </row>
    <row r="7983" spans="2:5">
      <c r="B7983" s="1115">
        <v>45251</v>
      </c>
      <c r="C7983" s="242">
        <f t="shared" si="249"/>
        <v>11</v>
      </c>
      <c r="D7983" s="242">
        <v>47.3</v>
      </c>
      <c r="E7983" s="845">
        <f t="shared" si="250"/>
        <v>8.4999999999999982</v>
      </c>
    </row>
    <row r="7984" spans="2:5">
      <c r="B7984" s="1115">
        <v>45251</v>
      </c>
      <c r="C7984" s="242">
        <f t="shared" si="249"/>
        <v>11</v>
      </c>
      <c r="D7984" s="242">
        <v>47.3</v>
      </c>
      <c r="E7984" s="845">
        <f t="shared" si="250"/>
        <v>8.4999999999999982</v>
      </c>
    </row>
    <row r="7985" spans="2:5">
      <c r="B7985" s="1115">
        <v>45251</v>
      </c>
      <c r="C7985" s="242">
        <f t="shared" si="249"/>
        <v>11</v>
      </c>
      <c r="D7985" s="242">
        <v>48.4</v>
      </c>
      <c r="E7985" s="845">
        <f t="shared" si="250"/>
        <v>9.1111111111111107</v>
      </c>
    </row>
    <row r="7986" spans="2:5">
      <c r="B7986" s="1115">
        <v>45251</v>
      </c>
      <c r="C7986" s="242">
        <f t="shared" si="249"/>
        <v>11</v>
      </c>
      <c r="D7986" s="242">
        <v>49.1</v>
      </c>
      <c r="E7986" s="845">
        <f t="shared" si="250"/>
        <v>9.5</v>
      </c>
    </row>
    <row r="7987" spans="2:5">
      <c r="B7987" s="1115">
        <v>45251</v>
      </c>
      <c r="C7987" s="242">
        <f t="shared" si="249"/>
        <v>11</v>
      </c>
      <c r="D7987" s="242" t="s">
        <v>1844</v>
      </c>
      <c r="E7987" s="845">
        <f t="shared" si="250"/>
        <v>10</v>
      </c>
    </row>
    <row r="7988" spans="2:5">
      <c r="B7988" s="1115">
        <v>45251</v>
      </c>
      <c r="C7988" s="242">
        <f t="shared" si="249"/>
        <v>11</v>
      </c>
      <c r="D7988" s="242">
        <v>50.2</v>
      </c>
      <c r="E7988" s="845">
        <f t="shared" si="250"/>
        <v>10.111111111111112</v>
      </c>
    </row>
    <row r="7989" spans="2:5">
      <c r="B7989" s="1115">
        <v>45251</v>
      </c>
      <c r="C7989" s="242">
        <f t="shared" si="249"/>
        <v>11</v>
      </c>
      <c r="D7989" s="242">
        <v>50.4</v>
      </c>
      <c r="E7989" s="845">
        <f t="shared" si="250"/>
        <v>10.222222222222221</v>
      </c>
    </row>
    <row r="7990" spans="2:5">
      <c r="B7990" s="1115">
        <v>45251</v>
      </c>
      <c r="C7990" s="242">
        <f t="shared" si="249"/>
        <v>11</v>
      </c>
      <c r="D7990" s="242">
        <v>50.4</v>
      </c>
      <c r="E7990" s="845">
        <f t="shared" si="250"/>
        <v>10.222222222222221</v>
      </c>
    </row>
    <row r="7991" spans="2:5">
      <c r="B7991" s="1115">
        <v>45251</v>
      </c>
      <c r="C7991" s="242">
        <f t="shared" si="249"/>
        <v>11</v>
      </c>
      <c r="D7991" s="242" t="s">
        <v>1844</v>
      </c>
      <c r="E7991" s="845">
        <f t="shared" si="250"/>
        <v>10</v>
      </c>
    </row>
    <row r="7992" spans="2:5">
      <c r="B7992" s="1115">
        <v>45251</v>
      </c>
      <c r="C7992" s="242">
        <f t="shared" si="249"/>
        <v>11</v>
      </c>
      <c r="D7992" s="242">
        <v>49.5</v>
      </c>
      <c r="E7992" s="845">
        <f t="shared" si="250"/>
        <v>9.7222222222222214</v>
      </c>
    </row>
    <row r="7993" spans="2:5">
      <c r="B7993" s="1115">
        <v>45251</v>
      </c>
      <c r="C7993" s="242">
        <f t="shared" si="249"/>
        <v>11</v>
      </c>
      <c r="D7993" s="242">
        <v>48.4</v>
      </c>
      <c r="E7993" s="845">
        <f t="shared" si="250"/>
        <v>9.1111111111111107</v>
      </c>
    </row>
    <row r="7994" spans="2:5">
      <c r="B7994" s="1115">
        <v>45251</v>
      </c>
      <c r="C7994" s="242">
        <f t="shared" si="249"/>
        <v>11</v>
      </c>
      <c r="D7994" s="242">
        <v>47.8</v>
      </c>
      <c r="E7994" s="845">
        <f t="shared" si="250"/>
        <v>8.7777777777777768</v>
      </c>
    </row>
    <row r="7995" spans="2:5">
      <c r="B7995" s="1115">
        <v>45251</v>
      </c>
      <c r="C7995" s="242">
        <f t="shared" si="249"/>
        <v>11</v>
      </c>
      <c r="D7995" s="242">
        <v>47.5</v>
      </c>
      <c r="E7995" s="845">
        <f t="shared" si="250"/>
        <v>8.6111111111111107</v>
      </c>
    </row>
    <row r="7996" spans="2:5">
      <c r="B7996" s="1115">
        <v>45251</v>
      </c>
      <c r="C7996" s="242">
        <f t="shared" si="249"/>
        <v>11</v>
      </c>
      <c r="D7996" s="242">
        <v>47.3</v>
      </c>
      <c r="E7996" s="845">
        <f t="shared" si="250"/>
        <v>8.4999999999999982</v>
      </c>
    </row>
    <row r="7997" spans="2:5">
      <c r="B7997" s="1115">
        <v>45251</v>
      </c>
      <c r="C7997" s="242">
        <f t="shared" si="249"/>
        <v>11</v>
      </c>
      <c r="D7997" s="242">
        <v>47.7</v>
      </c>
      <c r="E7997" s="845">
        <f t="shared" si="250"/>
        <v>8.7222222222222232</v>
      </c>
    </row>
    <row r="7998" spans="2:5">
      <c r="B7998" s="1115">
        <v>45251</v>
      </c>
      <c r="C7998" s="242">
        <f t="shared" si="249"/>
        <v>11</v>
      </c>
      <c r="D7998" s="242">
        <v>48.6</v>
      </c>
      <c r="E7998" s="845">
        <f t="shared" si="250"/>
        <v>9.2222222222222232</v>
      </c>
    </row>
    <row r="7999" spans="2:5">
      <c r="B7999" s="1115">
        <v>45251</v>
      </c>
      <c r="C7999" s="242">
        <f t="shared" si="249"/>
        <v>11</v>
      </c>
      <c r="D7999" s="242">
        <v>49.8</v>
      </c>
      <c r="E7999" s="845">
        <f t="shared" si="250"/>
        <v>9.8888888888888875</v>
      </c>
    </row>
    <row r="8000" spans="2:5">
      <c r="B8000" s="1115">
        <v>45251</v>
      </c>
      <c r="C8000" s="242">
        <f t="shared" si="249"/>
        <v>11</v>
      </c>
      <c r="D8000" s="242">
        <v>50.2</v>
      </c>
      <c r="E8000" s="845">
        <f t="shared" si="250"/>
        <v>10.111111111111112</v>
      </c>
    </row>
    <row r="8001" spans="2:5">
      <c r="B8001" s="1115">
        <v>45252</v>
      </c>
      <c r="C8001" s="242">
        <f t="shared" si="249"/>
        <v>11</v>
      </c>
      <c r="D8001" s="242">
        <v>50.4</v>
      </c>
      <c r="E8001" s="845">
        <f t="shared" si="250"/>
        <v>10.222222222222221</v>
      </c>
    </row>
    <row r="8002" spans="2:5">
      <c r="B8002" s="1115">
        <v>45252</v>
      </c>
      <c r="C8002" s="242">
        <f t="shared" si="249"/>
        <v>11</v>
      </c>
      <c r="D8002" s="242">
        <v>50.4</v>
      </c>
      <c r="E8002" s="845">
        <f t="shared" si="250"/>
        <v>10.222222222222221</v>
      </c>
    </row>
    <row r="8003" spans="2:5">
      <c r="B8003" s="1115">
        <v>45252</v>
      </c>
      <c r="C8003" s="242">
        <f t="shared" si="249"/>
        <v>11</v>
      </c>
      <c r="D8003" s="242">
        <v>50.2</v>
      </c>
      <c r="E8003" s="845">
        <f t="shared" si="250"/>
        <v>10.111111111111112</v>
      </c>
    </row>
    <row r="8004" spans="2:5">
      <c r="B8004" s="1115">
        <v>45252</v>
      </c>
      <c r="C8004" s="242">
        <f t="shared" si="249"/>
        <v>11</v>
      </c>
      <c r="D8004" s="242">
        <v>49.6</v>
      </c>
      <c r="E8004" s="845">
        <f t="shared" si="250"/>
        <v>9.7777777777777786</v>
      </c>
    </row>
    <row r="8005" spans="2:5">
      <c r="B8005" s="1115">
        <v>45252</v>
      </c>
      <c r="C8005" s="242">
        <f t="shared" si="249"/>
        <v>11</v>
      </c>
      <c r="D8005" s="242">
        <v>48.7</v>
      </c>
      <c r="E8005" s="845">
        <f t="shared" si="250"/>
        <v>9.2777777777777786</v>
      </c>
    </row>
    <row r="8006" spans="2:5">
      <c r="B8006" s="1115">
        <v>45252</v>
      </c>
      <c r="C8006" s="242">
        <f t="shared" si="249"/>
        <v>11</v>
      </c>
      <c r="D8006" s="242">
        <v>47.8</v>
      </c>
      <c r="E8006" s="845">
        <f t="shared" si="250"/>
        <v>8.7777777777777768</v>
      </c>
    </row>
    <row r="8007" spans="2:5">
      <c r="B8007" s="1115">
        <v>45252</v>
      </c>
      <c r="C8007" s="242">
        <f t="shared" si="249"/>
        <v>11</v>
      </c>
      <c r="D8007" s="242">
        <v>47.3</v>
      </c>
      <c r="E8007" s="845">
        <f t="shared" si="250"/>
        <v>8.4999999999999982</v>
      </c>
    </row>
    <row r="8008" spans="2:5">
      <c r="B8008" s="1115">
        <v>45252</v>
      </c>
      <c r="C8008" s="242">
        <f t="shared" si="249"/>
        <v>11</v>
      </c>
      <c r="D8008" s="242">
        <v>46.9</v>
      </c>
      <c r="E8008" s="845">
        <f t="shared" si="250"/>
        <v>8.2777777777777768</v>
      </c>
    </row>
    <row r="8009" spans="2:5">
      <c r="B8009" s="1115">
        <v>45252</v>
      </c>
      <c r="C8009" s="242">
        <f t="shared" si="249"/>
        <v>11</v>
      </c>
      <c r="D8009" s="242">
        <v>47.1</v>
      </c>
      <c r="E8009" s="845">
        <f t="shared" si="250"/>
        <v>8.3888888888888893</v>
      </c>
    </row>
    <row r="8010" spans="2:5">
      <c r="B8010" s="1115">
        <v>45252</v>
      </c>
      <c r="C8010" s="242">
        <f t="shared" ref="C8010:C8073" si="251">MONTH(B8010)</f>
        <v>11</v>
      </c>
      <c r="D8010" s="242" t="s">
        <v>1843</v>
      </c>
      <c r="E8010" s="845">
        <f t="shared" ref="E8010:E8073" si="252">CONVERT(D8010,"F","C")</f>
        <v>8.8888888888888893</v>
      </c>
    </row>
    <row r="8011" spans="2:5">
      <c r="B8011" s="1115">
        <v>45252</v>
      </c>
      <c r="C8011" s="242">
        <f t="shared" si="251"/>
        <v>11</v>
      </c>
      <c r="D8011" s="242">
        <v>48.9</v>
      </c>
      <c r="E8011" s="845">
        <f t="shared" si="252"/>
        <v>9.3888888888888875</v>
      </c>
    </row>
    <row r="8012" spans="2:5">
      <c r="B8012" s="1115">
        <v>45252</v>
      </c>
      <c r="C8012" s="242">
        <f t="shared" si="251"/>
        <v>11</v>
      </c>
      <c r="D8012" s="242">
        <v>49.3</v>
      </c>
      <c r="E8012" s="845">
        <f t="shared" si="252"/>
        <v>9.6111111111111089</v>
      </c>
    </row>
    <row r="8013" spans="2:5">
      <c r="B8013" s="1115">
        <v>45252</v>
      </c>
      <c r="C8013" s="242">
        <f t="shared" si="251"/>
        <v>11</v>
      </c>
      <c r="D8013" s="242">
        <v>49.5</v>
      </c>
      <c r="E8013" s="845">
        <f t="shared" si="252"/>
        <v>9.7222222222222214</v>
      </c>
    </row>
    <row r="8014" spans="2:5">
      <c r="B8014" s="1115">
        <v>45252</v>
      </c>
      <c r="C8014" s="242">
        <f t="shared" si="251"/>
        <v>11</v>
      </c>
      <c r="D8014" s="242">
        <v>49.5</v>
      </c>
      <c r="E8014" s="845">
        <f t="shared" si="252"/>
        <v>9.7222222222222214</v>
      </c>
    </row>
    <row r="8015" spans="2:5">
      <c r="B8015" s="1115">
        <v>45252</v>
      </c>
      <c r="C8015" s="242">
        <f t="shared" si="251"/>
        <v>11</v>
      </c>
      <c r="D8015" s="242">
        <v>49.5</v>
      </c>
      <c r="E8015" s="845">
        <f t="shared" si="252"/>
        <v>9.7222222222222214</v>
      </c>
    </row>
    <row r="8016" spans="2:5">
      <c r="B8016" s="1115">
        <v>45252</v>
      </c>
      <c r="C8016" s="242">
        <f t="shared" si="251"/>
        <v>11</v>
      </c>
      <c r="D8016" s="242">
        <v>49.5</v>
      </c>
      <c r="E8016" s="845">
        <f t="shared" si="252"/>
        <v>9.7222222222222214</v>
      </c>
    </row>
    <row r="8017" spans="2:5">
      <c r="B8017" s="1115">
        <v>45252</v>
      </c>
      <c r="C8017" s="242">
        <f t="shared" si="251"/>
        <v>11</v>
      </c>
      <c r="D8017" s="242">
        <v>49.3</v>
      </c>
      <c r="E8017" s="845">
        <f t="shared" si="252"/>
        <v>9.6111111111111089</v>
      </c>
    </row>
    <row r="8018" spans="2:5">
      <c r="B8018" s="1115">
        <v>45252</v>
      </c>
      <c r="C8018" s="242">
        <f t="shared" si="251"/>
        <v>11</v>
      </c>
      <c r="D8018" s="242">
        <v>48.6</v>
      </c>
      <c r="E8018" s="845">
        <f t="shared" si="252"/>
        <v>9.2222222222222232</v>
      </c>
    </row>
    <row r="8019" spans="2:5">
      <c r="B8019" s="1115">
        <v>45252</v>
      </c>
      <c r="C8019" s="242">
        <f t="shared" si="251"/>
        <v>11</v>
      </c>
      <c r="D8019" s="242">
        <v>48.2</v>
      </c>
      <c r="E8019" s="845">
        <f t="shared" si="252"/>
        <v>9.0000000000000018</v>
      </c>
    </row>
    <row r="8020" spans="2:5">
      <c r="B8020" s="1115">
        <v>45252</v>
      </c>
      <c r="C8020" s="242">
        <f t="shared" si="251"/>
        <v>11</v>
      </c>
      <c r="D8020" s="242">
        <v>47.7</v>
      </c>
      <c r="E8020" s="845">
        <f t="shared" si="252"/>
        <v>8.7222222222222232</v>
      </c>
    </row>
    <row r="8021" spans="2:5">
      <c r="B8021" s="1115">
        <v>45252</v>
      </c>
      <c r="C8021" s="242">
        <f t="shared" si="251"/>
        <v>11</v>
      </c>
      <c r="D8021" s="242">
        <v>47.5</v>
      </c>
      <c r="E8021" s="845">
        <f t="shared" si="252"/>
        <v>8.6111111111111107</v>
      </c>
    </row>
    <row r="8022" spans="2:5">
      <c r="B8022" s="1115">
        <v>45252</v>
      </c>
      <c r="C8022" s="242">
        <f t="shared" si="251"/>
        <v>11</v>
      </c>
      <c r="D8022" s="242" t="s">
        <v>1843</v>
      </c>
      <c r="E8022" s="845">
        <f t="shared" si="252"/>
        <v>8.8888888888888893</v>
      </c>
    </row>
    <row r="8023" spans="2:5">
      <c r="B8023" s="1115">
        <v>45252</v>
      </c>
      <c r="C8023" s="242">
        <f t="shared" si="251"/>
        <v>11</v>
      </c>
      <c r="D8023" s="242">
        <v>48.4</v>
      </c>
      <c r="E8023" s="845">
        <f t="shared" si="252"/>
        <v>9.1111111111111107</v>
      </c>
    </row>
    <row r="8024" spans="2:5">
      <c r="B8024" s="1115">
        <v>45252</v>
      </c>
      <c r="C8024" s="242">
        <f t="shared" si="251"/>
        <v>11</v>
      </c>
      <c r="D8024" s="242">
        <v>49.1</v>
      </c>
      <c r="E8024" s="845">
        <f t="shared" si="252"/>
        <v>9.5</v>
      </c>
    </row>
    <row r="8025" spans="2:5">
      <c r="B8025" s="1115">
        <v>45253</v>
      </c>
      <c r="C8025" s="242">
        <f t="shared" si="251"/>
        <v>11</v>
      </c>
      <c r="D8025" s="242">
        <v>49.5</v>
      </c>
      <c r="E8025" s="845">
        <f t="shared" si="252"/>
        <v>9.7222222222222214</v>
      </c>
    </row>
    <row r="8026" spans="2:5">
      <c r="B8026" s="1115">
        <v>45253</v>
      </c>
      <c r="C8026" s="242">
        <f t="shared" si="251"/>
        <v>11</v>
      </c>
      <c r="D8026" s="242">
        <v>49.5</v>
      </c>
      <c r="E8026" s="845">
        <f t="shared" si="252"/>
        <v>9.7222222222222214</v>
      </c>
    </row>
    <row r="8027" spans="2:5">
      <c r="B8027" s="1115">
        <v>45253</v>
      </c>
      <c r="C8027" s="242">
        <f t="shared" si="251"/>
        <v>11</v>
      </c>
      <c r="D8027" s="242">
        <v>49.5</v>
      </c>
      <c r="E8027" s="845">
        <f t="shared" si="252"/>
        <v>9.7222222222222214</v>
      </c>
    </row>
    <row r="8028" spans="2:5">
      <c r="B8028" s="1115">
        <v>45253</v>
      </c>
      <c r="C8028" s="242">
        <f t="shared" si="251"/>
        <v>11</v>
      </c>
      <c r="D8028" s="242">
        <v>49.3</v>
      </c>
      <c r="E8028" s="845">
        <f t="shared" si="252"/>
        <v>9.6111111111111089</v>
      </c>
    </row>
    <row r="8029" spans="2:5">
      <c r="B8029" s="1115">
        <v>45253</v>
      </c>
      <c r="C8029" s="242">
        <f t="shared" si="251"/>
        <v>11</v>
      </c>
      <c r="D8029" s="242">
        <v>48.9</v>
      </c>
      <c r="E8029" s="845">
        <f t="shared" si="252"/>
        <v>9.3888888888888875</v>
      </c>
    </row>
    <row r="8030" spans="2:5">
      <c r="B8030" s="1115">
        <v>45253</v>
      </c>
      <c r="C8030" s="242">
        <f t="shared" si="251"/>
        <v>11</v>
      </c>
      <c r="D8030" s="242">
        <v>48.2</v>
      </c>
      <c r="E8030" s="845">
        <f t="shared" si="252"/>
        <v>9.0000000000000018</v>
      </c>
    </row>
    <row r="8031" spans="2:5">
      <c r="B8031" s="1115">
        <v>45253</v>
      </c>
      <c r="C8031" s="242">
        <f t="shared" si="251"/>
        <v>11</v>
      </c>
      <c r="D8031" s="242">
        <v>47.5</v>
      </c>
      <c r="E8031" s="845">
        <f t="shared" si="252"/>
        <v>8.6111111111111107</v>
      </c>
    </row>
    <row r="8032" spans="2:5">
      <c r="B8032" s="1115">
        <v>45253</v>
      </c>
      <c r="C8032" s="242">
        <f t="shared" si="251"/>
        <v>11</v>
      </c>
      <c r="D8032" s="242">
        <v>47.1</v>
      </c>
      <c r="E8032" s="845">
        <f t="shared" si="252"/>
        <v>8.3888888888888893</v>
      </c>
    </row>
    <row r="8033" spans="2:5">
      <c r="B8033" s="1115">
        <v>45253</v>
      </c>
      <c r="C8033" s="242">
        <f t="shared" si="251"/>
        <v>11</v>
      </c>
      <c r="D8033" s="242">
        <v>46.8</v>
      </c>
      <c r="E8033" s="845">
        <f t="shared" si="252"/>
        <v>8.2222222222222197</v>
      </c>
    </row>
    <row r="8034" spans="2:5">
      <c r="B8034" s="1115">
        <v>45253</v>
      </c>
      <c r="C8034" s="242">
        <f t="shared" si="251"/>
        <v>11</v>
      </c>
      <c r="D8034" s="242">
        <v>46.8</v>
      </c>
      <c r="E8034" s="845">
        <f t="shared" si="252"/>
        <v>8.2222222222222197</v>
      </c>
    </row>
    <row r="8035" spans="2:5">
      <c r="B8035" s="1115">
        <v>45253</v>
      </c>
      <c r="C8035" s="242">
        <f t="shared" si="251"/>
        <v>11</v>
      </c>
      <c r="D8035" s="242">
        <v>47.8</v>
      </c>
      <c r="E8035" s="845">
        <f t="shared" si="252"/>
        <v>8.7777777777777768</v>
      </c>
    </row>
    <row r="8036" spans="2:5">
      <c r="B8036" s="1115">
        <v>45253</v>
      </c>
      <c r="C8036" s="242">
        <f t="shared" si="251"/>
        <v>11</v>
      </c>
      <c r="D8036" s="242">
        <v>48.4</v>
      </c>
      <c r="E8036" s="845">
        <f t="shared" si="252"/>
        <v>9.1111111111111107</v>
      </c>
    </row>
    <row r="8037" spans="2:5">
      <c r="B8037" s="1115">
        <v>45253</v>
      </c>
      <c r="C8037" s="242">
        <f t="shared" si="251"/>
        <v>11</v>
      </c>
      <c r="D8037" s="242">
        <v>49.1</v>
      </c>
      <c r="E8037" s="845">
        <f t="shared" si="252"/>
        <v>9.5</v>
      </c>
    </row>
    <row r="8038" spans="2:5">
      <c r="B8038" s="1115">
        <v>45253</v>
      </c>
      <c r="C8038" s="242">
        <f t="shared" si="251"/>
        <v>11</v>
      </c>
      <c r="D8038" s="242">
        <v>49.5</v>
      </c>
      <c r="E8038" s="845">
        <f t="shared" si="252"/>
        <v>9.7222222222222214</v>
      </c>
    </row>
    <row r="8039" spans="2:5">
      <c r="B8039" s="1115">
        <v>45253</v>
      </c>
      <c r="C8039" s="242">
        <f t="shared" si="251"/>
        <v>11</v>
      </c>
      <c r="D8039" s="242">
        <v>49.5</v>
      </c>
      <c r="E8039" s="845">
        <f t="shared" si="252"/>
        <v>9.7222222222222214</v>
      </c>
    </row>
    <row r="8040" spans="2:5">
      <c r="B8040" s="1115">
        <v>45253</v>
      </c>
      <c r="C8040" s="242">
        <f t="shared" si="251"/>
        <v>11</v>
      </c>
      <c r="D8040" s="242">
        <v>49.5</v>
      </c>
      <c r="E8040" s="845">
        <f t="shared" si="252"/>
        <v>9.7222222222222214</v>
      </c>
    </row>
    <row r="8041" spans="2:5">
      <c r="B8041" s="1115">
        <v>45253</v>
      </c>
      <c r="C8041" s="242">
        <f t="shared" si="251"/>
        <v>11</v>
      </c>
      <c r="D8041" s="242">
        <v>49.3</v>
      </c>
      <c r="E8041" s="845">
        <f t="shared" si="252"/>
        <v>9.6111111111111089</v>
      </c>
    </row>
    <row r="8042" spans="2:5">
      <c r="B8042" s="1115">
        <v>45253</v>
      </c>
      <c r="C8042" s="242">
        <f t="shared" si="251"/>
        <v>11</v>
      </c>
      <c r="D8042" s="242">
        <v>48.6</v>
      </c>
      <c r="E8042" s="845">
        <f t="shared" si="252"/>
        <v>9.2222222222222232</v>
      </c>
    </row>
    <row r="8043" spans="2:5">
      <c r="B8043" s="1115">
        <v>45253</v>
      </c>
      <c r="C8043" s="242">
        <f t="shared" si="251"/>
        <v>11</v>
      </c>
      <c r="D8043" s="242">
        <v>47.8</v>
      </c>
      <c r="E8043" s="845">
        <f t="shared" si="252"/>
        <v>8.7777777777777768</v>
      </c>
    </row>
    <row r="8044" spans="2:5">
      <c r="B8044" s="1115">
        <v>45253</v>
      </c>
      <c r="C8044" s="242">
        <f t="shared" si="251"/>
        <v>11</v>
      </c>
      <c r="D8044" s="242">
        <v>47.5</v>
      </c>
      <c r="E8044" s="845">
        <f t="shared" si="252"/>
        <v>8.6111111111111107</v>
      </c>
    </row>
    <row r="8045" spans="2:5">
      <c r="B8045" s="1115">
        <v>45253</v>
      </c>
      <c r="C8045" s="242">
        <f t="shared" si="251"/>
        <v>11</v>
      </c>
      <c r="D8045" s="242">
        <v>46.9</v>
      </c>
      <c r="E8045" s="845">
        <f t="shared" si="252"/>
        <v>8.2777777777777768</v>
      </c>
    </row>
    <row r="8046" spans="2:5">
      <c r="B8046" s="1115">
        <v>45253</v>
      </c>
      <c r="C8046" s="242">
        <f t="shared" si="251"/>
        <v>11</v>
      </c>
      <c r="D8046" s="242">
        <v>46.8</v>
      </c>
      <c r="E8046" s="845">
        <f t="shared" si="252"/>
        <v>8.2222222222222197</v>
      </c>
    </row>
    <row r="8047" spans="2:5">
      <c r="B8047" s="1115">
        <v>45253</v>
      </c>
      <c r="C8047" s="242">
        <f t="shared" si="251"/>
        <v>11</v>
      </c>
      <c r="D8047" s="242">
        <v>47.1</v>
      </c>
      <c r="E8047" s="845">
        <f t="shared" si="252"/>
        <v>8.3888888888888893</v>
      </c>
    </row>
    <row r="8048" spans="2:5">
      <c r="B8048" s="1115">
        <v>45253</v>
      </c>
      <c r="C8048" s="242">
        <f t="shared" si="251"/>
        <v>11</v>
      </c>
      <c r="D8048" s="242" t="s">
        <v>1843</v>
      </c>
      <c r="E8048" s="845">
        <f t="shared" si="252"/>
        <v>8.8888888888888893</v>
      </c>
    </row>
    <row r="8049" spans="2:5">
      <c r="B8049" s="1115">
        <v>45254</v>
      </c>
      <c r="C8049" s="242">
        <f t="shared" si="251"/>
        <v>11</v>
      </c>
      <c r="D8049" s="242">
        <v>48.6</v>
      </c>
      <c r="E8049" s="845">
        <f t="shared" si="252"/>
        <v>9.2222222222222232</v>
      </c>
    </row>
    <row r="8050" spans="2:5">
      <c r="B8050" s="1115">
        <v>45254</v>
      </c>
      <c r="C8050" s="242">
        <f t="shared" si="251"/>
        <v>11</v>
      </c>
      <c r="D8050" s="242">
        <v>49.1</v>
      </c>
      <c r="E8050" s="845">
        <f t="shared" si="252"/>
        <v>9.5</v>
      </c>
    </row>
    <row r="8051" spans="2:5">
      <c r="B8051" s="1115">
        <v>45254</v>
      </c>
      <c r="C8051" s="242">
        <f t="shared" si="251"/>
        <v>11</v>
      </c>
      <c r="D8051" s="242">
        <v>49.3</v>
      </c>
      <c r="E8051" s="845">
        <f t="shared" si="252"/>
        <v>9.6111111111111089</v>
      </c>
    </row>
    <row r="8052" spans="2:5">
      <c r="B8052" s="1115">
        <v>45254</v>
      </c>
      <c r="C8052" s="242">
        <f t="shared" si="251"/>
        <v>11</v>
      </c>
      <c r="D8052" s="242">
        <v>49.5</v>
      </c>
      <c r="E8052" s="845">
        <f t="shared" si="252"/>
        <v>9.7222222222222214</v>
      </c>
    </row>
    <row r="8053" spans="2:5">
      <c r="B8053" s="1115">
        <v>45254</v>
      </c>
      <c r="C8053" s="242">
        <f t="shared" si="251"/>
        <v>11</v>
      </c>
      <c r="D8053" s="242">
        <v>49.3</v>
      </c>
      <c r="E8053" s="845">
        <f t="shared" si="252"/>
        <v>9.6111111111111089</v>
      </c>
    </row>
    <row r="8054" spans="2:5">
      <c r="B8054" s="1115">
        <v>45254</v>
      </c>
      <c r="C8054" s="242">
        <f t="shared" si="251"/>
        <v>11</v>
      </c>
      <c r="D8054" s="242">
        <v>48.7</v>
      </c>
      <c r="E8054" s="845">
        <f t="shared" si="252"/>
        <v>9.2777777777777786</v>
      </c>
    </row>
    <row r="8055" spans="2:5">
      <c r="B8055" s="1115">
        <v>45254</v>
      </c>
      <c r="C8055" s="242">
        <f t="shared" si="251"/>
        <v>11</v>
      </c>
      <c r="D8055" s="242">
        <v>47.8</v>
      </c>
      <c r="E8055" s="845">
        <f t="shared" si="252"/>
        <v>8.7777777777777768</v>
      </c>
    </row>
    <row r="8056" spans="2:5">
      <c r="B8056" s="1115">
        <v>45254</v>
      </c>
      <c r="C8056" s="242">
        <f t="shared" si="251"/>
        <v>11</v>
      </c>
      <c r="D8056" s="242">
        <v>47.1</v>
      </c>
      <c r="E8056" s="845">
        <f t="shared" si="252"/>
        <v>8.3888888888888893</v>
      </c>
    </row>
    <row r="8057" spans="2:5">
      <c r="B8057" s="1115">
        <v>45254</v>
      </c>
      <c r="C8057" s="242">
        <f t="shared" si="251"/>
        <v>11</v>
      </c>
      <c r="D8057" s="242">
        <v>46.6</v>
      </c>
      <c r="E8057" s="845">
        <f t="shared" si="252"/>
        <v>8.1111111111111125</v>
      </c>
    </row>
    <row r="8058" spans="2:5">
      <c r="B8058" s="1115">
        <v>45254</v>
      </c>
      <c r="C8058" s="242">
        <f t="shared" si="251"/>
        <v>11</v>
      </c>
      <c r="D8058" s="242">
        <v>46.2</v>
      </c>
      <c r="E8058" s="845">
        <f t="shared" si="252"/>
        <v>7.8888888888888902</v>
      </c>
    </row>
    <row r="8059" spans="2:5">
      <c r="B8059" s="1115">
        <v>45254</v>
      </c>
      <c r="C8059" s="242">
        <f t="shared" si="251"/>
        <v>11</v>
      </c>
      <c r="D8059" s="242">
        <v>46.4</v>
      </c>
      <c r="E8059" s="845">
        <f t="shared" si="252"/>
        <v>7.9999999999999991</v>
      </c>
    </row>
    <row r="8060" spans="2:5">
      <c r="B8060" s="1115">
        <v>45254</v>
      </c>
      <c r="C8060" s="242">
        <f t="shared" si="251"/>
        <v>11</v>
      </c>
      <c r="D8060" s="242">
        <v>47.5</v>
      </c>
      <c r="E8060" s="845">
        <f t="shared" si="252"/>
        <v>8.6111111111111107</v>
      </c>
    </row>
    <row r="8061" spans="2:5">
      <c r="B8061" s="1115">
        <v>45254</v>
      </c>
      <c r="C8061" s="242">
        <f t="shared" si="251"/>
        <v>11</v>
      </c>
      <c r="D8061" s="242">
        <v>48.4</v>
      </c>
      <c r="E8061" s="845">
        <f t="shared" si="252"/>
        <v>9.1111111111111107</v>
      </c>
    </row>
    <row r="8062" spans="2:5">
      <c r="B8062" s="1115">
        <v>45254</v>
      </c>
      <c r="C8062" s="242">
        <f t="shared" si="251"/>
        <v>11</v>
      </c>
      <c r="D8062" s="242">
        <v>49.1</v>
      </c>
      <c r="E8062" s="845">
        <f t="shared" si="252"/>
        <v>9.5</v>
      </c>
    </row>
    <row r="8063" spans="2:5">
      <c r="B8063" s="1115">
        <v>45254</v>
      </c>
      <c r="C8063" s="242">
        <f t="shared" si="251"/>
        <v>11</v>
      </c>
      <c r="D8063" s="242">
        <v>49.3</v>
      </c>
      <c r="E8063" s="845">
        <f t="shared" si="252"/>
        <v>9.6111111111111089</v>
      </c>
    </row>
    <row r="8064" spans="2:5">
      <c r="B8064" s="1115">
        <v>45254</v>
      </c>
      <c r="C8064" s="242">
        <f t="shared" si="251"/>
        <v>11</v>
      </c>
      <c r="D8064" s="242">
        <v>49.5</v>
      </c>
      <c r="E8064" s="845">
        <f t="shared" si="252"/>
        <v>9.7222222222222214</v>
      </c>
    </row>
    <row r="8065" spans="2:5">
      <c r="B8065" s="1115">
        <v>45254</v>
      </c>
      <c r="C8065" s="242">
        <f t="shared" si="251"/>
        <v>11</v>
      </c>
      <c r="D8065" s="242">
        <v>49.5</v>
      </c>
      <c r="E8065" s="845">
        <f t="shared" si="252"/>
        <v>9.7222222222222214</v>
      </c>
    </row>
    <row r="8066" spans="2:5">
      <c r="B8066" s="1115">
        <v>45254</v>
      </c>
      <c r="C8066" s="242">
        <f t="shared" si="251"/>
        <v>11</v>
      </c>
      <c r="D8066" s="242">
        <v>49.1</v>
      </c>
      <c r="E8066" s="845">
        <f t="shared" si="252"/>
        <v>9.5</v>
      </c>
    </row>
    <row r="8067" spans="2:5">
      <c r="B8067" s="1115">
        <v>45254</v>
      </c>
      <c r="C8067" s="242">
        <f t="shared" si="251"/>
        <v>11</v>
      </c>
      <c r="D8067" s="242">
        <v>48.2</v>
      </c>
      <c r="E8067" s="845">
        <f t="shared" si="252"/>
        <v>9.0000000000000018</v>
      </c>
    </row>
    <row r="8068" spans="2:5">
      <c r="B8068" s="1115">
        <v>45254</v>
      </c>
      <c r="C8068" s="242">
        <f t="shared" si="251"/>
        <v>11</v>
      </c>
      <c r="D8068" s="242">
        <v>47.3</v>
      </c>
      <c r="E8068" s="845">
        <f t="shared" si="252"/>
        <v>8.4999999999999982</v>
      </c>
    </row>
    <row r="8069" spans="2:5">
      <c r="B8069" s="1115">
        <v>45254</v>
      </c>
      <c r="C8069" s="242">
        <f t="shared" si="251"/>
        <v>11</v>
      </c>
      <c r="D8069" s="242">
        <v>46.8</v>
      </c>
      <c r="E8069" s="845">
        <f t="shared" si="252"/>
        <v>8.2222222222222197</v>
      </c>
    </row>
    <row r="8070" spans="2:5">
      <c r="B8070" s="1115">
        <v>45254</v>
      </c>
      <c r="C8070" s="242">
        <f t="shared" si="251"/>
        <v>11</v>
      </c>
      <c r="D8070" s="242">
        <v>46.4</v>
      </c>
      <c r="E8070" s="845">
        <f t="shared" si="252"/>
        <v>7.9999999999999991</v>
      </c>
    </row>
    <row r="8071" spans="2:5">
      <c r="B8071" s="1115">
        <v>45254</v>
      </c>
      <c r="C8071" s="242">
        <f t="shared" si="251"/>
        <v>11</v>
      </c>
      <c r="D8071" s="242" t="s">
        <v>1842</v>
      </c>
      <c r="E8071" s="845">
        <f t="shared" si="252"/>
        <v>7.7777777777777777</v>
      </c>
    </row>
    <row r="8072" spans="2:5">
      <c r="B8072" s="1115">
        <v>45254</v>
      </c>
      <c r="C8072" s="242">
        <f t="shared" si="251"/>
        <v>11</v>
      </c>
      <c r="D8072" s="242">
        <v>46.4</v>
      </c>
      <c r="E8072" s="845">
        <f t="shared" si="252"/>
        <v>7.9999999999999991</v>
      </c>
    </row>
    <row r="8073" spans="2:5">
      <c r="B8073" s="1115">
        <v>45255</v>
      </c>
      <c r="C8073" s="242">
        <f t="shared" si="251"/>
        <v>11</v>
      </c>
      <c r="D8073" s="242">
        <v>47.7</v>
      </c>
      <c r="E8073" s="845">
        <f t="shared" si="252"/>
        <v>8.7222222222222232</v>
      </c>
    </row>
    <row r="8074" spans="2:5">
      <c r="B8074" s="1115">
        <v>45255</v>
      </c>
      <c r="C8074" s="242">
        <f t="shared" ref="C8074:C8137" si="253">MONTH(B8074)</f>
        <v>11</v>
      </c>
      <c r="D8074" s="242">
        <v>48.6</v>
      </c>
      <c r="E8074" s="845">
        <f t="shared" ref="E8074:E8137" si="254">CONVERT(D8074,"F","C")</f>
        <v>9.2222222222222232</v>
      </c>
    </row>
    <row r="8075" spans="2:5">
      <c r="B8075" s="1115">
        <v>45255</v>
      </c>
      <c r="C8075" s="242">
        <f t="shared" si="253"/>
        <v>11</v>
      </c>
      <c r="D8075" s="242">
        <v>49.3</v>
      </c>
      <c r="E8075" s="845">
        <f t="shared" si="254"/>
        <v>9.6111111111111089</v>
      </c>
    </row>
    <row r="8076" spans="2:5">
      <c r="B8076" s="1115">
        <v>45255</v>
      </c>
      <c r="C8076" s="242">
        <f t="shared" si="253"/>
        <v>11</v>
      </c>
      <c r="D8076" s="242">
        <v>49.5</v>
      </c>
      <c r="E8076" s="845">
        <f t="shared" si="254"/>
        <v>9.7222222222222214</v>
      </c>
    </row>
    <row r="8077" spans="2:5">
      <c r="B8077" s="1115">
        <v>45255</v>
      </c>
      <c r="C8077" s="242">
        <f t="shared" si="253"/>
        <v>11</v>
      </c>
      <c r="D8077" s="242">
        <v>49.5</v>
      </c>
      <c r="E8077" s="845">
        <f t="shared" si="254"/>
        <v>9.7222222222222214</v>
      </c>
    </row>
    <row r="8078" spans="2:5">
      <c r="B8078" s="1115">
        <v>45255</v>
      </c>
      <c r="C8078" s="242">
        <f t="shared" si="253"/>
        <v>11</v>
      </c>
      <c r="D8078" s="242">
        <v>49.1</v>
      </c>
      <c r="E8078" s="845">
        <f t="shared" si="254"/>
        <v>9.5</v>
      </c>
    </row>
    <row r="8079" spans="2:5">
      <c r="B8079" s="1115">
        <v>45255</v>
      </c>
      <c r="C8079" s="242">
        <f t="shared" si="253"/>
        <v>11</v>
      </c>
      <c r="D8079" s="242">
        <v>48.2</v>
      </c>
      <c r="E8079" s="845">
        <f t="shared" si="254"/>
        <v>9.0000000000000018</v>
      </c>
    </row>
    <row r="8080" spans="2:5">
      <c r="B8080" s="1115">
        <v>45255</v>
      </c>
      <c r="C8080" s="242">
        <f t="shared" si="253"/>
        <v>11</v>
      </c>
      <c r="D8080" s="242">
        <v>46.9</v>
      </c>
      <c r="E8080" s="845">
        <f t="shared" si="254"/>
        <v>8.2777777777777768</v>
      </c>
    </row>
    <row r="8081" spans="2:5">
      <c r="B8081" s="1115">
        <v>45255</v>
      </c>
      <c r="C8081" s="242">
        <f t="shared" si="253"/>
        <v>11</v>
      </c>
      <c r="D8081" s="242" t="s">
        <v>1842</v>
      </c>
      <c r="E8081" s="845">
        <f t="shared" si="254"/>
        <v>7.7777777777777777</v>
      </c>
    </row>
    <row r="8082" spans="2:5">
      <c r="B8082" s="1115">
        <v>45255</v>
      </c>
      <c r="C8082" s="242">
        <f t="shared" si="253"/>
        <v>11</v>
      </c>
      <c r="D8082" s="242">
        <v>45.5</v>
      </c>
      <c r="E8082" s="845">
        <f t="shared" si="254"/>
        <v>7.5</v>
      </c>
    </row>
    <row r="8083" spans="2:5">
      <c r="B8083" s="1115">
        <v>45255</v>
      </c>
      <c r="C8083" s="242">
        <f t="shared" si="253"/>
        <v>11</v>
      </c>
      <c r="D8083" s="242">
        <v>45.1</v>
      </c>
      <c r="E8083" s="845">
        <f t="shared" si="254"/>
        <v>7.2777777777777786</v>
      </c>
    </row>
    <row r="8084" spans="2:5">
      <c r="B8084" s="1115">
        <v>45255</v>
      </c>
      <c r="C8084" s="242">
        <f t="shared" si="253"/>
        <v>11</v>
      </c>
      <c r="D8084" s="242">
        <v>45.5</v>
      </c>
      <c r="E8084" s="845">
        <f t="shared" si="254"/>
        <v>7.5</v>
      </c>
    </row>
    <row r="8085" spans="2:5">
      <c r="B8085" s="1115">
        <v>45255</v>
      </c>
      <c r="C8085" s="242">
        <f t="shared" si="253"/>
        <v>11</v>
      </c>
      <c r="D8085" s="242">
        <v>46.6</v>
      </c>
      <c r="E8085" s="845">
        <f t="shared" si="254"/>
        <v>8.1111111111111125</v>
      </c>
    </row>
    <row r="8086" spans="2:5">
      <c r="B8086" s="1115">
        <v>45255</v>
      </c>
      <c r="C8086" s="242">
        <f t="shared" si="253"/>
        <v>11</v>
      </c>
      <c r="D8086" s="242">
        <v>47.8</v>
      </c>
      <c r="E8086" s="845">
        <f t="shared" si="254"/>
        <v>8.7777777777777768</v>
      </c>
    </row>
    <row r="8087" spans="2:5">
      <c r="B8087" s="1115">
        <v>45255</v>
      </c>
      <c r="C8087" s="242">
        <f t="shared" si="253"/>
        <v>11</v>
      </c>
      <c r="D8087" s="242">
        <v>48.9</v>
      </c>
      <c r="E8087" s="845">
        <f t="shared" si="254"/>
        <v>9.3888888888888875</v>
      </c>
    </row>
    <row r="8088" spans="2:5">
      <c r="B8088" s="1115">
        <v>45255</v>
      </c>
      <c r="C8088" s="242">
        <f t="shared" si="253"/>
        <v>11</v>
      </c>
      <c r="D8088" s="242">
        <v>49.3</v>
      </c>
      <c r="E8088" s="845">
        <f t="shared" si="254"/>
        <v>9.6111111111111089</v>
      </c>
    </row>
    <row r="8089" spans="2:5">
      <c r="B8089" s="1115">
        <v>45255</v>
      </c>
      <c r="C8089" s="242">
        <f t="shared" si="253"/>
        <v>11</v>
      </c>
      <c r="D8089" s="242">
        <v>49.3</v>
      </c>
      <c r="E8089" s="845">
        <f t="shared" si="254"/>
        <v>9.6111111111111089</v>
      </c>
    </row>
    <row r="8090" spans="2:5">
      <c r="B8090" s="1115">
        <v>45255</v>
      </c>
      <c r="C8090" s="242">
        <f t="shared" si="253"/>
        <v>11</v>
      </c>
      <c r="D8090" s="242">
        <v>49.1</v>
      </c>
      <c r="E8090" s="845">
        <f t="shared" si="254"/>
        <v>9.5</v>
      </c>
    </row>
    <row r="8091" spans="2:5">
      <c r="B8091" s="1115">
        <v>45255</v>
      </c>
      <c r="C8091" s="242">
        <f t="shared" si="253"/>
        <v>11</v>
      </c>
      <c r="D8091" s="242">
        <v>48.7</v>
      </c>
      <c r="E8091" s="845">
        <f t="shared" si="254"/>
        <v>9.2777777777777786</v>
      </c>
    </row>
    <row r="8092" spans="2:5">
      <c r="B8092" s="1115">
        <v>45255</v>
      </c>
      <c r="C8092" s="242">
        <f t="shared" si="253"/>
        <v>11</v>
      </c>
      <c r="D8092" s="242">
        <v>47.7</v>
      </c>
      <c r="E8092" s="845">
        <f t="shared" si="254"/>
        <v>8.7222222222222232</v>
      </c>
    </row>
    <row r="8093" spans="2:5">
      <c r="B8093" s="1115">
        <v>45255</v>
      </c>
      <c r="C8093" s="242">
        <f t="shared" si="253"/>
        <v>11</v>
      </c>
      <c r="D8093" s="242">
        <v>46.6</v>
      </c>
      <c r="E8093" s="845">
        <f t="shared" si="254"/>
        <v>8.1111111111111125</v>
      </c>
    </row>
    <row r="8094" spans="2:5">
      <c r="B8094" s="1115">
        <v>45255</v>
      </c>
      <c r="C8094" s="242">
        <f t="shared" si="253"/>
        <v>11</v>
      </c>
      <c r="D8094" s="242">
        <v>45.9</v>
      </c>
      <c r="E8094" s="845">
        <f t="shared" si="254"/>
        <v>7.7222222222222214</v>
      </c>
    </row>
    <row r="8095" spans="2:5">
      <c r="B8095" s="1115">
        <v>45255</v>
      </c>
      <c r="C8095" s="242">
        <f t="shared" si="253"/>
        <v>11</v>
      </c>
      <c r="D8095" s="242">
        <v>45.1</v>
      </c>
      <c r="E8095" s="845">
        <f t="shared" si="254"/>
        <v>7.2777777777777786</v>
      </c>
    </row>
    <row r="8096" spans="2:5">
      <c r="B8096" s="1115">
        <v>45255</v>
      </c>
      <c r="C8096" s="242">
        <f t="shared" si="253"/>
        <v>11</v>
      </c>
      <c r="D8096" s="242" t="s">
        <v>1836</v>
      </c>
      <c r="E8096" s="845">
        <f t="shared" si="254"/>
        <v>7.2222222222222223</v>
      </c>
    </row>
    <row r="8097" spans="2:5">
      <c r="B8097" s="1115">
        <v>45256</v>
      </c>
      <c r="C8097" s="242">
        <f t="shared" si="253"/>
        <v>11</v>
      </c>
      <c r="D8097" s="242">
        <v>45.9</v>
      </c>
      <c r="E8097" s="845">
        <f t="shared" si="254"/>
        <v>7.7222222222222214</v>
      </c>
    </row>
    <row r="8098" spans="2:5">
      <c r="B8098" s="1115">
        <v>45256</v>
      </c>
      <c r="C8098" s="242">
        <f t="shared" si="253"/>
        <v>11</v>
      </c>
      <c r="D8098" s="242">
        <v>46.6</v>
      </c>
      <c r="E8098" s="845">
        <f t="shared" si="254"/>
        <v>8.1111111111111125</v>
      </c>
    </row>
    <row r="8099" spans="2:5">
      <c r="B8099" s="1115">
        <v>45256</v>
      </c>
      <c r="C8099" s="242">
        <f t="shared" si="253"/>
        <v>11</v>
      </c>
      <c r="D8099" s="242" t="s">
        <v>1843</v>
      </c>
      <c r="E8099" s="845">
        <f t="shared" si="254"/>
        <v>8.8888888888888893</v>
      </c>
    </row>
    <row r="8100" spans="2:5">
      <c r="B8100" s="1115">
        <v>45256</v>
      </c>
      <c r="C8100" s="242">
        <f t="shared" si="253"/>
        <v>11</v>
      </c>
      <c r="D8100" s="242">
        <v>48.9</v>
      </c>
      <c r="E8100" s="845">
        <f t="shared" si="254"/>
        <v>9.3888888888888875</v>
      </c>
    </row>
    <row r="8101" spans="2:5">
      <c r="B8101" s="1115">
        <v>45256</v>
      </c>
      <c r="C8101" s="242">
        <f t="shared" si="253"/>
        <v>11</v>
      </c>
      <c r="D8101" s="242">
        <v>49.1</v>
      </c>
      <c r="E8101" s="845">
        <f t="shared" si="254"/>
        <v>9.5</v>
      </c>
    </row>
    <row r="8102" spans="2:5">
      <c r="B8102" s="1115">
        <v>45256</v>
      </c>
      <c r="C8102" s="242">
        <f t="shared" si="253"/>
        <v>11</v>
      </c>
      <c r="D8102" s="242">
        <v>49.1</v>
      </c>
      <c r="E8102" s="845">
        <f t="shared" si="254"/>
        <v>9.5</v>
      </c>
    </row>
    <row r="8103" spans="2:5">
      <c r="B8103" s="1115">
        <v>45256</v>
      </c>
      <c r="C8103" s="242">
        <f t="shared" si="253"/>
        <v>11</v>
      </c>
      <c r="D8103" s="242">
        <v>48.7</v>
      </c>
      <c r="E8103" s="845">
        <f t="shared" si="254"/>
        <v>9.2777777777777786</v>
      </c>
    </row>
    <row r="8104" spans="2:5">
      <c r="B8104" s="1115">
        <v>45256</v>
      </c>
      <c r="C8104" s="242">
        <f t="shared" si="253"/>
        <v>11</v>
      </c>
      <c r="D8104" s="242" t="s">
        <v>1843</v>
      </c>
      <c r="E8104" s="845">
        <f t="shared" si="254"/>
        <v>8.8888888888888893</v>
      </c>
    </row>
    <row r="8105" spans="2:5">
      <c r="B8105" s="1115">
        <v>45256</v>
      </c>
      <c r="C8105" s="242">
        <f t="shared" si="253"/>
        <v>11</v>
      </c>
      <c r="D8105" s="242">
        <v>46.8</v>
      </c>
      <c r="E8105" s="845">
        <f t="shared" si="254"/>
        <v>8.2222222222222197</v>
      </c>
    </row>
    <row r="8106" spans="2:5">
      <c r="B8106" s="1115">
        <v>45256</v>
      </c>
      <c r="C8106" s="242">
        <f t="shared" si="253"/>
        <v>11</v>
      </c>
      <c r="D8106" s="242">
        <v>45.9</v>
      </c>
      <c r="E8106" s="845">
        <f t="shared" si="254"/>
        <v>7.7222222222222214</v>
      </c>
    </row>
    <row r="8107" spans="2:5">
      <c r="B8107" s="1115">
        <v>45256</v>
      </c>
      <c r="C8107" s="242">
        <f t="shared" si="253"/>
        <v>11</v>
      </c>
      <c r="D8107" s="242">
        <v>45.1</v>
      </c>
      <c r="E8107" s="845">
        <f t="shared" si="254"/>
        <v>7.2777777777777786</v>
      </c>
    </row>
    <row r="8108" spans="2:5">
      <c r="B8108" s="1115">
        <v>45256</v>
      </c>
      <c r="C8108" s="242">
        <f t="shared" si="253"/>
        <v>11</v>
      </c>
      <c r="D8108" s="242" t="s">
        <v>1836</v>
      </c>
      <c r="E8108" s="845">
        <f t="shared" si="254"/>
        <v>7.2222222222222223</v>
      </c>
    </row>
    <row r="8109" spans="2:5">
      <c r="B8109" s="1115">
        <v>45256</v>
      </c>
      <c r="C8109" s="242">
        <f t="shared" si="253"/>
        <v>11</v>
      </c>
      <c r="D8109" s="242">
        <v>45.9</v>
      </c>
      <c r="E8109" s="845">
        <f t="shared" si="254"/>
        <v>7.7222222222222214</v>
      </c>
    </row>
    <row r="8110" spans="2:5">
      <c r="B8110" s="1115">
        <v>45256</v>
      </c>
      <c r="C8110" s="242">
        <f t="shared" si="253"/>
        <v>11</v>
      </c>
      <c r="D8110" s="242">
        <v>47.1</v>
      </c>
      <c r="E8110" s="845">
        <f t="shared" si="254"/>
        <v>8.3888888888888893</v>
      </c>
    </row>
    <row r="8111" spans="2:5">
      <c r="B8111" s="1115">
        <v>45256</v>
      </c>
      <c r="C8111" s="242">
        <f t="shared" si="253"/>
        <v>11</v>
      </c>
      <c r="D8111" s="242">
        <v>48.4</v>
      </c>
      <c r="E8111" s="845">
        <f t="shared" si="254"/>
        <v>9.1111111111111107</v>
      </c>
    </row>
    <row r="8112" spans="2:5">
      <c r="B8112" s="1115">
        <v>45256</v>
      </c>
      <c r="C8112" s="242">
        <f t="shared" si="253"/>
        <v>11</v>
      </c>
      <c r="D8112" s="242">
        <v>48.9</v>
      </c>
      <c r="E8112" s="845">
        <f t="shared" si="254"/>
        <v>9.3888888888888875</v>
      </c>
    </row>
    <row r="8113" spans="2:5">
      <c r="B8113" s="1115">
        <v>45256</v>
      </c>
      <c r="C8113" s="242">
        <f t="shared" si="253"/>
        <v>11</v>
      </c>
      <c r="D8113" s="242">
        <v>49.1</v>
      </c>
      <c r="E8113" s="845">
        <f t="shared" si="254"/>
        <v>9.5</v>
      </c>
    </row>
    <row r="8114" spans="2:5">
      <c r="B8114" s="1115">
        <v>45256</v>
      </c>
      <c r="C8114" s="242">
        <f t="shared" si="253"/>
        <v>11</v>
      </c>
      <c r="D8114" s="242">
        <v>49.3</v>
      </c>
      <c r="E8114" s="845">
        <f t="shared" si="254"/>
        <v>9.6111111111111089</v>
      </c>
    </row>
    <row r="8115" spans="2:5">
      <c r="B8115" s="1115">
        <v>45256</v>
      </c>
      <c r="C8115" s="242">
        <f t="shared" si="253"/>
        <v>11</v>
      </c>
      <c r="D8115" s="242">
        <v>49.1</v>
      </c>
      <c r="E8115" s="845">
        <f t="shared" si="254"/>
        <v>9.5</v>
      </c>
    </row>
    <row r="8116" spans="2:5">
      <c r="B8116" s="1115">
        <v>45256</v>
      </c>
      <c r="C8116" s="242">
        <f t="shared" si="253"/>
        <v>11</v>
      </c>
      <c r="D8116" s="242">
        <v>48.6</v>
      </c>
      <c r="E8116" s="845">
        <f t="shared" si="254"/>
        <v>9.2222222222222232</v>
      </c>
    </row>
    <row r="8117" spans="2:5">
      <c r="B8117" s="1115">
        <v>45256</v>
      </c>
      <c r="C8117" s="242">
        <f t="shared" si="253"/>
        <v>11</v>
      </c>
      <c r="D8117" s="242">
        <v>47.3</v>
      </c>
      <c r="E8117" s="845">
        <f t="shared" si="254"/>
        <v>8.4999999999999982</v>
      </c>
    </row>
    <row r="8118" spans="2:5">
      <c r="B8118" s="1115">
        <v>45256</v>
      </c>
      <c r="C8118" s="242">
        <f t="shared" si="253"/>
        <v>11</v>
      </c>
      <c r="D8118" s="242">
        <v>46.4</v>
      </c>
      <c r="E8118" s="845">
        <f t="shared" si="254"/>
        <v>7.9999999999999991</v>
      </c>
    </row>
    <row r="8119" spans="2:5">
      <c r="B8119" s="1115">
        <v>45256</v>
      </c>
      <c r="C8119" s="242">
        <f t="shared" si="253"/>
        <v>11</v>
      </c>
      <c r="D8119" s="242">
        <v>45.7</v>
      </c>
      <c r="E8119" s="845">
        <f t="shared" si="254"/>
        <v>7.6111111111111125</v>
      </c>
    </row>
    <row r="8120" spans="2:5">
      <c r="B8120" s="1115">
        <v>45256</v>
      </c>
      <c r="C8120" s="242">
        <f t="shared" si="253"/>
        <v>11</v>
      </c>
      <c r="D8120" s="242" t="s">
        <v>1836</v>
      </c>
      <c r="E8120" s="845">
        <f t="shared" si="254"/>
        <v>7.2222222222222223</v>
      </c>
    </row>
    <row r="8121" spans="2:5">
      <c r="B8121" s="1115">
        <v>45257</v>
      </c>
      <c r="C8121" s="242">
        <f t="shared" si="253"/>
        <v>11</v>
      </c>
      <c r="D8121" s="242">
        <v>44.8</v>
      </c>
      <c r="E8121" s="845">
        <f t="shared" si="254"/>
        <v>7.1111111111111089</v>
      </c>
    </row>
    <row r="8122" spans="2:5">
      <c r="B8122" s="1115">
        <v>45257</v>
      </c>
      <c r="C8122" s="242">
        <f t="shared" si="253"/>
        <v>11</v>
      </c>
      <c r="D8122" s="242" t="s">
        <v>1842</v>
      </c>
      <c r="E8122" s="845">
        <f t="shared" si="254"/>
        <v>7.7777777777777777</v>
      </c>
    </row>
    <row r="8123" spans="2:5">
      <c r="B8123" s="1115">
        <v>45257</v>
      </c>
      <c r="C8123" s="242">
        <f t="shared" si="253"/>
        <v>11</v>
      </c>
      <c r="D8123" s="242">
        <v>46.9</v>
      </c>
      <c r="E8123" s="845">
        <f t="shared" si="254"/>
        <v>8.2777777777777768</v>
      </c>
    </row>
    <row r="8124" spans="2:5">
      <c r="B8124" s="1115">
        <v>45257</v>
      </c>
      <c r="C8124" s="242">
        <f t="shared" si="253"/>
        <v>11</v>
      </c>
      <c r="D8124" s="242">
        <v>48.4</v>
      </c>
      <c r="E8124" s="845">
        <f t="shared" si="254"/>
        <v>9.1111111111111107</v>
      </c>
    </row>
    <row r="8125" spans="2:5">
      <c r="B8125" s="1115">
        <v>45257</v>
      </c>
      <c r="C8125" s="242">
        <f t="shared" si="253"/>
        <v>11</v>
      </c>
      <c r="D8125" s="242">
        <v>48.9</v>
      </c>
      <c r="E8125" s="845">
        <f t="shared" si="254"/>
        <v>9.3888888888888875</v>
      </c>
    </row>
    <row r="8126" spans="2:5">
      <c r="B8126" s="1115">
        <v>45257</v>
      </c>
      <c r="C8126" s="242">
        <f t="shared" si="253"/>
        <v>11</v>
      </c>
      <c r="D8126" s="242">
        <v>49.1</v>
      </c>
      <c r="E8126" s="845">
        <f t="shared" si="254"/>
        <v>9.5</v>
      </c>
    </row>
    <row r="8127" spans="2:5">
      <c r="B8127" s="1115">
        <v>45257</v>
      </c>
      <c r="C8127" s="242">
        <f t="shared" si="253"/>
        <v>11</v>
      </c>
      <c r="D8127" s="242">
        <v>48.9</v>
      </c>
      <c r="E8127" s="845">
        <f t="shared" si="254"/>
        <v>9.3888888888888875</v>
      </c>
    </row>
    <row r="8128" spans="2:5">
      <c r="B8128" s="1115">
        <v>45257</v>
      </c>
      <c r="C8128" s="242">
        <f t="shared" si="253"/>
        <v>11</v>
      </c>
      <c r="D8128" s="242">
        <v>48.7</v>
      </c>
      <c r="E8128" s="845">
        <f t="shared" si="254"/>
        <v>9.2777777777777786</v>
      </c>
    </row>
    <row r="8129" spans="2:5">
      <c r="B8129" s="1115">
        <v>45257</v>
      </c>
      <c r="C8129" s="242">
        <f t="shared" si="253"/>
        <v>11</v>
      </c>
      <c r="D8129" s="242">
        <v>48.4</v>
      </c>
      <c r="E8129" s="845">
        <f t="shared" si="254"/>
        <v>9.1111111111111107</v>
      </c>
    </row>
    <row r="8130" spans="2:5">
      <c r="B8130" s="1115">
        <v>45257</v>
      </c>
      <c r="C8130" s="242">
        <f t="shared" si="253"/>
        <v>11</v>
      </c>
      <c r="D8130" s="242">
        <v>47.3</v>
      </c>
      <c r="E8130" s="845">
        <f t="shared" si="254"/>
        <v>8.4999999999999982</v>
      </c>
    </row>
    <row r="8131" spans="2:5">
      <c r="B8131" s="1115">
        <v>45257</v>
      </c>
      <c r="C8131" s="242">
        <f t="shared" si="253"/>
        <v>11</v>
      </c>
      <c r="D8131" s="242">
        <v>46.6</v>
      </c>
      <c r="E8131" s="845">
        <f t="shared" si="254"/>
        <v>8.1111111111111125</v>
      </c>
    </row>
    <row r="8132" spans="2:5">
      <c r="B8132" s="1115">
        <v>45257</v>
      </c>
      <c r="C8132" s="242">
        <f t="shared" si="253"/>
        <v>11</v>
      </c>
      <c r="D8132" s="242" t="s">
        <v>1842</v>
      </c>
      <c r="E8132" s="845">
        <f t="shared" si="254"/>
        <v>7.7777777777777777</v>
      </c>
    </row>
    <row r="8133" spans="2:5">
      <c r="B8133" s="1115">
        <v>45257</v>
      </c>
      <c r="C8133" s="242">
        <f t="shared" si="253"/>
        <v>11</v>
      </c>
      <c r="D8133" s="242" t="s">
        <v>1842</v>
      </c>
      <c r="E8133" s="845">
        <f t="shared" si="254"/>
        <v>7.7777777777777777</v>
      </c>
    </row>
    <row r="8134" spans="2:5">
      <c r="B8134" s="1115">
        <v>45257</v>
      </c>
      <c r="C8134" s="242">
        <f t="shared" si="253"/>
        <v>11</v>
      </c>
      <c r="D8134" s="242">
        <v>47.1</v>
      </c>
      <c r="E8134" s="845">
        <f t="shared" si="254"/>
        <v>8.3888888888888893</v>
      </c>
    </row>
    <row r="8135" spans="2:5">
      <c r="B8135" s="1115">
        <v>45257</v>
      </c>
      <c r="C8135" s="242">
        <f t="shared" si="253"/>
        <v>11</v>
      </c>
      <c r="D8135" s="242">
        <v>47.7</v>
      </c>
      <c r="E8135" s="845">
        <f t="shared" si="254"/>
        <v>8.7222222222222232</v>
      </c>
    </row>
    <row r="8136" spans="2:5">
      <c r="B8136" s="1115">
        <v>45257</v>
      </c>
      <c r="C8136" s="242">
        <f t="shared" si="253"/>
        <v>11</v>
      </c>
      <c r="D8136" s="242">
        <v>48.4</v>
      </c>
      <c r="E8136" s="845">
        <f t="shared" si="254"/>
        <v>9.1111111111111107</v>
      </c>
    </row>
    <row r="8137" spans="2:5">
      <c r="B8137" s="1115">
        <v>45257</v>
      </c>
      <c r="C8137" s="242">
        <f t="shared" si="253"/>
        <v>11</v>
      </c>
      <c r="D8137" s="242">
        <v>48.7</v>
      </c>
      <c r="E8137" s="845">
        <f t="shared" si="254"/>
        <v>9.2777777777777786</v>
      </c>
    </row>
    <row r="8138" spans="2:5">
      <c r="B8138" s="1115">
        <v>45257</v>
      </c>
      <c r="C8138" s="242">
        <f t="shared" ref="C8138:C8201" si="255">MONTH(B8138)</f>
        <v>11</v>
      </c>
      <c r="D8138" s="242">
        <v>48.9</v>
      </c>
      <c r="E8138" s="845">
        <f t="shared" ref="E8138:E8201" si="256">CONVERT(D8138,"F","C")</f>
        <v>9.3888888888888875</v>
      </c>
    </row>
    <row r="8139" spans="2:5">
      <c r="B8139" s="1115">
        <v>45257</v>
      </c>
      <c r="C8139" s="242">
        <f t="shared" si="255"/>
        <v>11</v>
      </c>
      <c r="D8139" s="242">
        <v>48.9</v>
      </c>
      <c r="E8139" s="845">
        <f t="shared" si="256"/>
        <v>9.3888888888888875</v>
      </c>
    </row>
    <row r="8140" spans="2:5">
      <c r="B8140" s="1115">
        <v>45257</v>
      </c>
      <c r="C8140" s="242">
        <f t="shared" si="255"/>
        <v>11</v>
      </c>
      <c r="D8140" s="242">
        <v>48.7</v>
      </c>
      <c r="E8140" s="845">
        <f t="shared" si="256"/>
        <v>9.2777777777777786</v>
      </c>
    </row>
    <row r="8141" spans="2:5">
      <c r="B8141" s="1115">
        <v>45257</v>
      </c>
      <c r="C8141" s="242">
        <f t="shared" si="255"/>
        <v>11</v>
      </c>
      <c r="D8141" s="242">
        <v>48.4</v>
      </c>
      <c r="E8141" s="845">
        <f t="shared" si="256"/>
        <v>9.1111111111111107</v>
      </c>
    </row>
    <row r="8142" spans="2:5">
      <c r="B8142" s="1115">
        <v>45257</v>
      </c>
      <c r="C8142" s="242">
        <f t="shared" si="255"/>
        <v>11</v>
      </c>
      <c r="D8142" s="242">
        <v>47.5</v>
      </c>
      <c r="E8142" s="845">
        <f t="shared" si="256"/>
        <v>8.6111111111111107</v>
      </c>
    </row>
    <row r="8143" spans="2:5">
      <c r="B8143" s="1115">
        <v>45257</v>
      </c>
      <c r="C8143" s="242">
        <f t="shared" si="255"/>
        <v>11</v>
      </c>
      <c r="D8143" s="242">
        <v>46.8</v>
      </c>
      <c r="E8143" s="845">
        <f t="shared" si="256"/>
        <v>8.2222222222222197</v>
      </c>
    </row>
    <row r="8144" spans="2:5">
      <c r="B8144" s="1115">
        <v>45257</v>
      </c>
      <c r="C8144" s="242">
        <f t="shared" si="255"/>
        <v>11</v>
      </c>
      <c r="D8144" s="242" t="s">
        <v>1842</v>
      </c>
      <c r="E8144" s="845">
        <f t="shared" si="256"/>
        <v>7.7777777777777777</v>
      </c>
    </row>
    <row r="8145" spans="2:5">
      <c r="B8145" s="1115">
        <v>45258</v>
      </c>
      <c r="C8145" s="242">
        <f t="shared" si="255"/>
        <v>11</v>
      </c>
      <c r="D8145" s="242">
        <v>45.5</v>
      </c>
      <c r="E8145" s="845">
        <f t="shared" si="256"/>
        <v>7.5</v>
      </c>
    </row>
    <row r="8146" spans="2:5">
      <c r="B8146" s="1115">
        <v>45258</v>
      </c>
      <c r="C8146" s="242">
        <f t="shared" si="255"/>
        <v>11</v>
      </c>
      <c r="D8146" s="242">
        <v>45.3</v>
      </c>
      <c r="E8146" s="845">
        <f t="shared" si="256"/>
        <v>7.3888888888888875</v>
      </c>
    </row>
    <row r="8147" spans="2:5">
      <c r="B8147" s="1115">
        <v>45258</v>
      </c>
      <c r="C8147" s="242">
        <f t="shared" si="255"/>
        <v>11</v>
      </c>
      <c r="D8147" s="242">
        <v>46.6</v>
      </c>
      <c r="E8147" s="845">
        <f t="shared" si="256"/>
        <v>8.1111111111111125</v>
      </c>
    </row>
    <row r="8148" spans="2:5">
      <c r="B8148" s="1115">
        <v>45258</v>
      </c>
      <c r="C8148" s="242">
        <f t="shared" si="255"/>
        <v>11</v>
      </c>
      <c r="D8148" s="242">
        <v>47.3</v>
      </c>
      <c r="E8148" s="845">
        <f t="shared" si="256"/>
        <v>8.4999999999999982</v>
      </c>
    </row>
    <row r="8149" spans="2:5">
      <c r="B8149" s="1115">
        <v>45258</v>
      </c>
      <c r="C8149" s="242">
        <f t="shared" si="255"/>
        <v>11</v>
      </c>
      <c r="D8149" s="242">
        <v>48.6</v>
      </c>
      <c r="E8149" s="845">
        <f t="shared" si="256"/>
        <v>9.2222222222222232</v>
      </c>
    </row>
    <row r="8150" spans="2:5">
      <c r="B8150" s="1115">
        <v>45258</v>
      </c>
      <c r="C8150" s="242">
        <f t="shared" si="255"/>
        <v>11</v>
      </c>
      <c r="D8150" s="242">
        <v>48.9</v>
      </c>
      <c r="E8150" s="845">
        <f t="shared" si="256"/>
        <v>9.3888888888888875</v>
      </c>
    </row>
    <row r="8151" spans="2:5">
      <c r="B8151" s="1115">
        <v>45258</v>
      </c>
      <c r="C8151" s="242">
        <f t="shared" si="255"/>
        <v>11</v>
      </c>
      <c r="D8151" s="242">
        <v>48.9</v>
      </c>
      <c r="E8151" s="845">
        <f t="shared" si="256"/>
        <v>9.3888888888888875</v>
      </c>
    </row>
    <row r="8152" spans="2:5">
      <c r="B8152" s="1115">
        <v>45258</v>
      </c>
      <c r="C8152" s="242">
        <f t="shared" si="255"/>
        <v>11</v>
      </c>
      <c r="D8152" s="242">
        <v>48.7</v>
      </c>
      <c r="E8152" s="845">
        <f t="shared" si="256"/>
        <v>9.2777777777777786</v>
      </c>
    </row>
    <row r="8153" spans="2:5">
      <c r="B8153" s="1115">
        <v>45258</v>
      </c>
      <c r="C8153" s="242">
        <f t="shared" si="255"/>
        <v>11</v>
      </c>
      <c r="D8153" s="242">
        <v>48.4</v>
      </c>
      <c r="E8153" s="845">
        <f t="shared" si="256"/>
        <v>9.1111111111111107</v>
      </c>
    </row>
    <row r="8154" spans="2:5">
      <c r="B8154" s="1115">
        <v>45258</v>
      </c>
      <c r="C8154" s="242">
        <f t="shared" si="255"/>
        <v>11</v>
      </c>
      <c r="D8154" s="242">
        <v>47.7</v>
      </c>
      <c r="E8154" s="845">
        <f t="shared" si="256"/>
        <v>8.7222222222222232</v>
      </c>
    </row>
    <row r="8155" spans="2:5">
      <c r="B8155" s="1115">
        <v>45258</v>
      </c>
      <c r="C8155" s="242">
        <f t="shared" si="255"/>
        <v>11</v>
      </c>
      <c r="D8155" s="242">
        <v>46.4</v>
      </c>
      <c r="E8155" s="845">
        <f t="shared" si="256"/>
        <v>7.9999999999999991</v>
      </c>
    </row>
    <row r="8156" spans="2:5">
      <c r="B8156" s="1115">
        <v>45258</v>
      </c>
      <c r="C8156" s="242">
        <f t="shared" si="255"/>
        <v>11</v>
      </c>
      <c r="D8156" s="242">
        <v>45.9</v>
      </c>
      <c r="E8156" s="845">
        <f t="shared" si="256"/>
        <v>7.7222222222222214</v>
      </c>
    </row>
    <row r="8157" spans="2:5">
      <c r="B8157" s="1115">
        <v>45258</v>
      </c>
      <c r="C8157" s="242">
        <f t="shared" si="255"/>
        <v>11</v>
      </c>
      <c r="D8157" s="242">
        <v>45.3</v>
      </c>
      <c r="E8157" s="845">
        <f t="shared" si="256"/>
        <v>7.3888888888888875</v>
      </c>
    </row>
    <row r="8158" spans="2:5">
      <c r="B8158" s="1115">
        <v>45258</v>
      </c>
      <c r="C8158" s="242">
        <f t="shared" si="255"/>
        <v>11</v>
      </c>
      <c r="D8158" s="242">
        <v>45.5</v>
      </c>
      <c r="E8158" s="845">
        <f t="shared" si="256"/>
        <v>7.5</v>
      </c>
    </row>
    <row r="8159" spans="2:5">
      <c r="B8159" s="1115">
        <v>45258</v>
      </c>
      <c r="C8159" s="242">
        <f t="shared" si="255"/>
        <v>11</v>
      </c>
      <c r="D8159" s="242">
        <v>46.6</v>
      </c>
      <c r="E8159" s="845">
        <f t="shared" si="256"/>
        <v>8.1111111111111125</v>
      </c>
    </row>
    <row r="8160" spans="2:5">
      <c r="B8160" s="1115">
        <v>45258</v>
      </c>
      <c r="C8160" s="242">
        <f t="shared" si="255"/>
        <v>11</v>
      </c>
      <c r="D8160" s="242">
        <v>47.5</v>
      </c>
      <c r="E8160" s="845">
        <f t="shared" si="256"/>
        <v>8.6111111111111107</v>
      </c>
    </row>
    <row r="8161" spans="2:5">
      <c r="B8161" s="1115">
        <v>45258</v>
      </c>
      <c r="C8161" s="242">
        <f t="shared" si="255"/>
        <v>11</v>
      </c>
      <c r="D8161" s="242">
        <v>48.6</v>
      </c>
      <c r="E8161" s="845">
        <f t="shared" si="256"/>
        <v>9.2222222222222232</v>
      </c>
    </row>
    <row r="8162" spans="2:5">
      <c r="B8162" s="1115">
        <v>45258</v>
      </c>
      <c r="C8162" s="242">
        <f t="shared" si="255"/>
        <v>11</v>
      </c>
      <c r="D8162" s="242">
        <v>48.9</v>
      </c>
      <c r="E8162" s="845">
        <f t="shared" si="256"/>
        <v>9.3888888888888875</v>
      </c>
    </row>
    <row r="8163" spans="2:5">
      <c r="B8163" s="1115">
        <v>45258</v>
      </c>
      <c r="C8163" s="242">
        <f t="shared" si="255"/>
        <v>11</v>
      </c>
      <c r="D8163" s="242">
        <v>49.1</v>
      </c>
      <c r="E8163" s="845">
        <f t="shared" si="256"/>
        <v>9.5</v>
      </c>
    </row>
    <row r="8164" spans="2:5">
      <c r="B8164" s="1115">
        <v>45258</v>
      </c>
      <c r="C8164" s="242">
        <f t="shared" si="255"/>
        <v>11</v>
      </c>
      <c r="D8164" s="242">
        <v>48.9</v>
      </c>
      <c r="E8164" s="845">
        <f t="shared" si="256"/>
        <v>9.3888888888888875</v>
      </c>
    </row>
    <row r="8165" spans="2:5">
      <c r="B8165" s="1115">
        <v>45258</v>
      </c>
      <c r="C8165" s="242">
        <f t="shared" si="255"/>
        <v>11</v>
      </c>
      <c r="D8165" s="242">
        <v>48.6</v>
      </c>
      <c r="E8165" s="845">
        <f t="shared" si="256"/>
        <v>9.2222222222222232</v>
      </c>
    </row>
    <row r="8166" spans="2:5">
      <c r="B8166" s="1115">
        <v>45258</v>
      </c>
      <c r="C8166" s="242">
        <f t="shared" si="255"/>
        <v>11</v>
      </c>
      <c r="D8166" s="242">
        <v>47.8</v>
      </c>
      <c r="E8166" s="845">
        <f t="shared" si="256"/>
        <v>8.7777777777777768</v>
      </c>
    </row>
    <row r="8167" spans="2:5">
      <c r="B8167" s="1115">
        <v>45258</v>
      </c>
      <c r="C8167" s="242">
        <f t="shared" si="255"/>
        <v>11</v>
      </c>
      <c r="D8167" s="242">
        <v>46.6</v>
      </c>
      <c r="E8167" s="845">
        <f t="shared" si="256"/>
        <v>8.1111111111111125</v>
      </c>
    </row>
    <row r="8168" spans="2:5">
      <c r="B8168" s="1115">
        <v>45258</v>
      </c>
      <c r="C8168" s="242">
        <f t="shared" si="255"/>
        <v>11</v>
      </c>
      <c r="D8168" s="242">
        <v>45.7</v>
      </c>
      <c r="E8168" s="845">
        <f t="shared" si="256"/>
        <v>7.6111111111111125</v>
      </c>
    </row>
    <row r="8169" spans="2:5">
      <c r="B8169" s="1115">
        <v>45259</v>
      </c>
      <c r="C8169" s="242">
        <f t="shared" si="255"/>
        <v>11</v>
      </c>
      <c r="D8169" s="242" t="s">
        <v>1836</v>
      </c>
      <c r="E8169" s="845">
        <f t="shared" si="256"/>
        <v>7.2222222222222223</v>
      </c>
    </row>
    <row r="8170" spans="2:5">
      <c r="B8170" s="1115">
        <v>45259</v>
      </c>
      <c r="C8170" s="242">
        <f t="shared" si="255"/>
        <v>11</v>
      </c>
      <c r="D8170" s="242">
        <v>44.6</v>
      </c>
      <c r="E8170" s="845">
        <f t="shared" si="256"/>
        <v>7.0000000000000009</v>
      </c>
    </row>
    <row r="8171" spans="2:5">
      <c r="B8171" s="1115">
        <v>45259</v>
      </c>
      <c r="C8171" s="242">
        <f t="shared" si="255"/>
        <v>11</v>
      </c>
      <c r="D8171" s="242">
        <v>44.6</v>
      </c>
      <c r="E8171" s="845">
        <f t="shared" si="256"/>
        <v>7.0000000000000009</v>
      </c>
    </row>
    <row r="8172" spans="2:5">
      <c r="B8172" s="1115">
        <v>45259</v>
      </c>
      <c r="C8172" s="242">
        <f t="shared" si="255"/>
        <v>11</v>
      </c>
      <c r="D8172" s="242">
        <v>45.7</v>
      </c>
      <c r="E8172" s="845">
        <f t="shared" si="256"/>
        <v>7.6111111111111125</v>
      </c>
    </row>
    <row r="8173" spans="2:5">
      <c r="B8173" s="1115">
        <v>45259</v>
      </c>
      <c r="C8173" s="242">
        <f t="shared" si="255"/>
        <v>11</v>
      </c>
      <c r="D8173" s="242">
        <v>46.8</v>
      </c>
      <c r="E8173" s="845">
        <f t="shared" si="256"/>
        <v>8.2222222222222197</v>
      </c>
    </row>
    <row r="8174" spans="2:5">
      <c r="B8174" s="1115">
        <v>45259</v>
      </c>
      <c r="C8174" s="242">
        <f t="shared" si="255"/>
        <v>11</v>
      </c>
      <c r="D8174" s="242">
        <v>47.8</v>
      </c>
      <c r="E8174" s="845">
        <f t="shared" si="256"/>
        <v>8.7777777777777768</v>
      </c>
    </row>
    <row r="8175" spans="2:5">
      <c r="B8175" s="1115">
        <v>45259</v>
      </c>
      <c r="C8175" s="242">
        <f t="shared" si="255"/>
        <v>11</v>
      </c>
      <c r="D8175" s="242">
        <v>48.6</v>
      </c>
      <c r="E8175" s="845">
        <f t="shared" si="256"/>
        <v>9.2222222222222232</v>
      </c>
    </row>
    <row r="8176" spans="2:5">
      <c r="B8176" s="1115">
        <v>45259</v>
      </c>
      <c r="C8176" s="242">
        <f t="shared" si="255"/>
        <v>11</v>
      </c>
      <c r="D8176" s="242">
        <v>48.7</v>
      </c>
      <c r="E8176" s="845">
        <f t="shared" si="256"/>
        <v>9.2777777777777786</v>
      </c>
    </row>
    <row r="8177" spans="2:5">
      <c r="B8177" s="1115">
        <v>45259</v>
      </c>
      <c r="C8177" s="242">
        <f t="shared" si="255"/>
        <v>11</v>
      </c>
      <c r="D8177" s="242">
        <v>48.6</v>
      </c>
      <c r="E8177" s="845">
        <f t="shared" si="256"/>
        <v>9.2222222222222232</v>
      </c>
    </row>
    <row r="8178" spans="2:5">
      <c r="B8178" s="1115">
        <v>45259</v>
      </c>
      <c r="C8178" s="242">
        <f t="shared" si="255"/>
        <v>11</v>
      </c>
      <c r="D8178" s="242">
        <v>47.8</v>
      </c>
      <c r="E8178" s="845">
        <f t="shared" si="256"/>
        <v>8.7777777777777768</v>
      </c>
    </row>
    <row r="8179" spans="2:5">
      <c r="B8179" s="1115">
        <v>45259</v>
      </c>
      <c r="C8179" s="242">
        <f t="shared" si="255"/>
        <v>11</v>
      </c>
      <c r="D8179" s="242">
        <v>46.6</v>
      </c>
      <c r="E8179" s="845">
        <f t="shared" si="256"/>
        <v>8.1111111111111125</v>
      </c>
    </row>
    <row r="8180" spans="2:5">
      <c r="B8180" s="1115">
        <v>45259</v>
      </c>
      <c r="C8180" s="242">
        <f t="shared" si="255"/>
        <v>11</v>
      </c>
      <c r="D8180" s="242">
        <v>45.1</v>
      </c>
      <c r="E8180" s="845">
        <f t="shared" si="256"/>
        <v>7.2777777777777786</v>
      </c>
    </row>
    <row r="8181" spans="2:5">
      <c r="B8181" s="1115">
        <v>45259</v>
      </c>
      <c r="C8181" s="242">
        <f t="shared" si="255"/>
        <v>11</v>
      </c>
      <c r="D8181" s="242">
        <v>44.4</v>
      </c>
      <c r="E8181" s="845">
        <f t="shared" si="256"/>
        <v>6.8888888888888875</v>
      </c>
    </row>
    <row r="8182" spans="2:5">
      <c r="B8182" s="1115">
        <v>45259</v>
      </c>
      <c r="C8182" s="242">
        <f t="shared" si="255"/>
        <v>11</v>
      </c>
      <c r="D8182" s="242">
        <v>44.1</v>
      </c>
      <c r="E8182" s="845">
        <f t="shared" si="256"/>
        <v>6.7222222222222232</v>
      </c>
    </row>
    <row r="8183" spans="2:5">
      <c r="B8183" s="1115">
        <v>45259</v>
      </c>
      <c r="C8183" s="242">
        <f t="shared" si="255"/>
        <v>11</v>
      </c>
      <c r="D8183" s="242">
        <v>44.8</v>
      </c>
      <c r="E8183" s="845">
        <f t="shared" si="256"/>
        <v>7.1111111111111089</v>
      </c>
    </row>
    <row r="8184" spans="2:5">
      <c r="B8184" s="1115">
        <v>45259</v>
      </c>
      <c r="C8184" s="242">
        <f t="shared" si="255"/>
        <v>11</v>
      </c>
      <c r="D8184" s="242">
        <v>45.7</v>
      </c>
      <c r="E8184" s="845">
        <f t="shared" si="256"/>
        <v>7.6111111111111125</v>
      </c>
    </row>
    <row r="8185" spans="2:5">
      <c r="B8185" s="1115">
        <v>45259</v>
      </c>
      <c r="C8185" s="242">
        <f t="shared" si="255"/>
        <v>11</v>
      </c>
      <c r="D8185" s="242">
        <v>46.9</v>
      </c>
      <c r="E8185" s="845">
        <f t="shared" si="256"/>
        <v>8.2777777777777768</v>
      </c>
    </row>
    <row r="8186" spans="2:5">
      <c r="B8186" s="1115">
        <v>45259</v>
      </c>
      <c r="C8186" s="242">
        <f t="shared" si="255"/>
        <v>11</v>
      </c>
      <c r="D8186" s="242">
        <v>48.4</v>
      </c>
      <c r="E8186" s="845">
        <f t="shared" si="256"/>
        <v>9.1111111111111107</v>
      </c>
    </row>
    <row r="8187" spans="2:5">
      <c r="B8187" s="1115">
        <v>45259</v>
      </c>
      <c r="C8187" s="242">
        <f t="shared" si="255"/>
        <v>11</v>
      </c>
      <c r="D8187" s="242">
        <v>48.9</v>
      </c>
      <c r="E8187" s="845">
        <f t="shared" si="256"/>
        <v>9.3888888888888875</v>
      </c>
    </row>
    <row r="8188" spans="2:5">
      <c r="B8188" s="1115">
        <v>45259</v>
      </c>
      <c r="C8188" s="242">
        <f t="shared" si="255"/>
        <v>11</v>
      </c>
      <c r="D8188" s="242">
        <v>48.9</v>
      </c>
      <c r="E8188" s="845">
        <f t="shared" si="256"/>
        <v>9.3888888888888875</v>
      </c>
    </row>
    <row r="8189" spans="2:5">
      <c r="B8189" s="1115">
        <v>45259</v>
      </c>
      <c r="C8189" s="242">
        <f t="shared" si="255"/>
        <v>11</v>
      </c>
      <c r="D8189" s="242">
        <v>48.7</v>
      </c>
      <c r="E8189" s="845">
        <f t="shared" si="256"/>
        <v>9.2777777777777786</v>
      </c>
    </row>
    <row r="8190" spans="2:5">
      <c r="B8190" s="1115">
        <v>45259</v>
      </c>
      <c r="C8190" s="242">
        <f t="shared" si="255"/>
        <v>11</v>
      </c>
      <c r="D8190" s="242">
        <v>48.2</v>
      </c>
      <c r="E8190" s="845">
        <f t="shared" si="256"/>
        <v>9.0000000000000018</v>
      </c>
    </row>
    <row r="8191" spans="2:5">
      <c r="B8191" s="1115">
        <v>45259</v>
      </c>
      <c r="C8191" s="242">
        <f t="shared" si="255"/>
        <v>11</v>
      </c>
      <c r="D8191" s="242">
        <v>46.9</v>
      </c>
      <c r="E8191" s="845">
        <f t="shared" si="256"/>
        <v>8.2777777777777768</v>
      </c>
    </row>
    <row r="8192" spans="2:5">
      <c r="B8192" s="1115">
        <v>45259</v>
      </c>
      <c r="C8192" s="242">
        <f t="shared" si="255"/>
        <v>11</v>
      </c>
      <c r="D8192" s="242">
        <v>45.5</v>
      </c>
      <c r="E8192" s="845">
        <f t="shared" si="256"/>
        <v>7.5</v>
      </c>
    </row>
    <row r="8193" spans="2:5">
      <c r="B8193" s="1115">
        <v>45260</v>
      </c>
      <c r="C8193" s="242">
        <f t="shared" si="255"/>
        <v>11</v>
      </c>
      <c r="D8193" s="242">
        <v>44.6</v>
      </c>
      <c r="E8193" s="845">
        <f t="shared" si="256"/>
        <v>7.0000000000000009</v>
      </c>
    </row>
    <row r="8194" spans="2:5">
      <c r="B8194" s="1115">
        <v>45260</v>
      </c>
      <c r="C8194" s="242">
        <f t="shared" si="255"/>
        <v>11</v>
      </c>
      <c r="D8194" s="242">
        <v>43.9</v>
      </c>
      <c r="E8194" s="845">
        <f t="shared" si="256"/>
        <v>6.6111111111111098</v>
      </c>
    </row>
    <row r="8195" spans="2:5">
      <c r="B8195" s="1115">
        <v>45260</v>
      </c>
      <c r="C8195" s="242">
        <f t="shared" si="255"/>
        <v>11</v>
      </c>
      <c r="D8195" s="242">
        <v>43.5</v>
      </c>
      <c r="E8195" s="845">
        <f t="shared" si="256"/>
        <v>6.3888888888888884</v>
      </c>
    </row>
    <row r="8196" spans="2:5">
      <c r="B8196" s="1115">
        <v>45260</v>
      </c>
      <c r="C8196" s="242">
        <f t="shared" si="255"/>
        <v>11</v>
      </c>
      <c r="D8196" s="242">
        <v>44.1</v>
      </c>
      <c r="E8196" s="845">
        <f t="shared" si="256"/>
        <v>6.7222222222222232</v>
      </c>
    </row>
    <row r="8197" spans="2:5">
      <c r="B8197" s="1115">
        <v>45260</v>
      </c>
      <c r="C8197" s="242">
        <f t="shared" si="255"/>
        <v>11</v>
      </c>
      <c r="D8197" s="242">
        <v>45.3</v>
      </c>
      <c r="E8197" s="845">
        <f t="shared" si="256"/>
        <v>7.3888888888888875</v>
      </c>
    </row>
    <row r="8198" spans="2:5">
      <c r="B8198" s="1115">
        <v>45260</v>
      </c>
      <c r="C8198" s="242">
        <f t="shared" si="255"/>
        <v>11</v>
      </c>
      <c r="D8198" s="242">
        <v>46.6</v>
      </c>
      <c r="E8198" s="845">
        <f t="shared" si="256"/>
        <v>8.1111111111111125</v>
      </c>
    </row>
    <row r="8199" spans="2:5">
      <c r="B8199" s="1115">
        <v>45260</v>
      </c>
      <c r="C8199" s="242">
        <f t="shared" si="255"/>
        <v>11</v>
      </c>
      <c r="D8199" s="242">
        <v>47.8</v>
      </c>
      <c r="E8199" s="845">
        <f t="shared" si="256"/>
        <v>8.7777777777777768</v>
      </c>
    </row>
    <row r="8200" spans="2:5">
      <c r="B8200" s="1115">
        <v>45260</v>
      </c>
      <c r="C8200" s="242">
        <f t="shared" si="255"/>
        <v>11</v>
      </c>
      <c r="D8200" s="242">
        <v>48.2</v>
      </c>
      <c r="E8200" s="845">
        <f t="shared" si="256"/>
        <v>9.0000000000000018</v>
      </c>
    </row>
    <row r="8201" spans="2:5">
      <c r="B8201" s="1115">
        <v>45260</v>
      </c>
      <c r="C8201" s="242">
        <f t="shared" si="255"/>
        <v>11</v>
      </c>
      <c r="D8201" s="242">
        <v>48.4</v>
      </c>
      <c r="E8201" s="845">
        <f t="shared" si="256"/>
        <v>9.1111111111111107</v>
      </c>
    </row>
    <row r="8202" spans="2:5">
      <c r="B8202" s="1115">
        <v>45260</v>
      </c>
      <c r="C8202" s="242">
        <f t="shared" ref="C8202:C8265" si="257">MONTH(B8202)</f>
        <v>11</v>
      </c>
      <c r="D8202" s="242">
        <v>48.2</v>
      </c>
      <c r="E8202" s="845">
        <f t="shared" ref="E8202:E8265" si="258">CONVERT(D8202,"F","C")</f>
        <v>9.0000000000000018</v>
      </c>
    </row>
    <row r="8203" spans="2:5">
      <c r="B8203" s="1115">
        <v>45260</v>
      </c>
      <c r="C8203" s="242">
        <f t="shared" si="257"/>
        <v>11</v>
      </c>
      <c r="D8203" s="242">
        <v>47.5</v>
      </c>
      <c r="E8203" s="845">
        <f t="shared" si="258"/>
        <v>8.6111111111111107</v>
      </c>
    </row>
    <row r="8204" spans="2:5">
      <c r="B8204" s="1115">
        <v>45260</v>
      </c>
      <c r="C8204" s="242">
        <f t="shared" si="257"/>
        <v>11</v>
      </c>
      <c r="D8204" s="242">
        <v>46.2</v>
      </c>
      <c r="E8204" s="845">
        <f t="shared" si="258"/>
        <v>7.8888888888888902</v>
      </c>
    </row>
    <row r="8205" spans="2:5">
      <c r="B8205" s="1115">
        <v>45260</v>
      </c>
      <c r="C8205" s="242">
        <f t="shared" si="257"/>
        <v>11</v>
      </c>
      <c r="D8205" s="242">
        <v>44.8</v>
      </c>
      <c r="E8205" s="845">
        <f t="shared" si="258"/>
        <v>7.1111111111111089</v>
      </c>
    </row>
    <row r="8206" spans="2:5">
      <c r="B8206" s="1115">
        <v>45260</v>
      </c>
      <c r="C8206" s="242">
        <f t="shared" si="257"/>
        <v>11</v>
      </c>
      <c r="D8206" s="242">
        <v>44.1</v>
      </c>
      <c r="E8206" s="845">
        <f t="shared" si="258"/>
        <v>6.7222222222222232</v>
      </c>
    </row>
    <row r="8207" spans="2:5">
      <c r="B8207" s="1115">
        <v>45260</v>
      </c>
      <c r="C8207" s="242">
        <f t="shared" si="257"/>
        <v>11</v>
      </c>
      <c r="D8207" s="242">
        <v>43.9</v>
      </c>
      <c r="E8207" s="845">
        <f t="shared" si="258"/>
        <v>6.6111111111111098</v>
      </c>
    </row>
    <row r="8208" spans="2:5">
      <c r="B8208" s="1115">
        <v>45260</v>
      </c>
      <c r="C8208" s="242">
        <f t="shared" si="257"/>
        <v>11</v>
      </c>
      <c r="D8208" s="242">
        <v>44.4</v>
      </c>
      <c r="E8208" s="845">
        <f t="shared" si="258"/>
        <v>6.8888888888888875</v>
      </c>
    </row>
    <row r="8209" spans="2:5">
      <c r="B8209" s="1115">
        <v>45260</v>
      </c>
      <c r="C8209" s="242">
        <f t="shared" si="257"/>
        <v>11</v>
      </c>
      <c r="D8209" s="242">
        <v>46.2</v>
      </c>
      <c r="E8209" s="845">
        <f t="shared" si="258"/>
        <v>7.8888888888888902</v>
      </c>
    </row>
    <row r="8210" spans="2:5">
      <c r="B8210" s="1115">
        <v>45260</v>
      </c>
      <c r="C8210" s="242">
        <f t="shared" si="257"/>
        <v>11</v>
      </c>
      <c r="D8210" s="242">
        <v>47.1</v>
      </c>
      <c r="E8210" s="845">
        <f t="shared" si="258"/>
        <v>8.3888888888888893</v>
      </c>
    </row>
    <row r="8211" spans="2:5">
      <c r="B8211" s="1115">
        <v>45260</v>
      </c>
      <c r="C8211" s="242">
        <f t="shared" si="257"/>
        <v>11</v>
      </c>
      <c r="D8211" s="242">
        <v>48.4</v>
      </c>
      <c r="E8211" s="845">
        <f t="shared" si="258"/>
        <v>9.1111111111111107</v>
      </c>
    </row>
    <row r="8212" spans="2:5">
      <c r="B8212" s="1115">
        <v>45260</v>
      </c>
      <c r="C8212" s="242">
        <f t="shared" si="257"/>
        <v>11</v>
      </c>
      <c r="D8212" s="242">
        <v>48.7</v>
      </c>
      <c r="E8212" s="845">
        <f t="shared" si="258"/>
        <v>9.2777777777777786</v>
      </c>
    </row>
    <row r="8213" spans="2:5">
      <c r="B8213" s="1115">
        <v>45260</v>
      </c>
      <c r="C8213" s="242">
        <f t="shared" si="257"/>
        <v>11</v>
      </c>
      <c r="D8213" s="242">
        <v>48.7</v>
      </c>
      <c r="E8213" s="845">
        <f t="shared" si="258"/>
        <v>9.2777777777777786</v>
      </c>
    </row>
    <row r="8214" spans="2:5">
      <c r="B8214" s="1115">
        <v>45260</v>
      </c>
      <c r="C8214" s="242">
        <f t="shared" si="257"/>
        <v>11</v>
      </c>
      <c r="D8214" s="242">
        <v>48.7</v>
      </c>
      <c r="E8214" s="845">
        <f t="shared" si="258"/>
        <v>9.2777777777777786</v>
      </c>
    </row>
    <row r="8215" spans="2:5">
      <c r="B8215" s="1115">
        <v>45260</v>
      </c>
      <c r="C8215" s="242">
        <f t="shared" si="257"/>
        <v>11</v>
      </c>
      <c r="D8215" s="242" t="s">
        <v>1843</v>
      </c>
      <c r="E8215" s="845">
        <f t="shared" si="258"/>
        <v>8.8888888888888893</v>
      </c>
    </row>
    <row r="8216" spans="2:5">
      <c r="B8216" s="1115">
        <v>45260</v>
      </c>
      <c r="C8216" s="242">
        <f t="shared" si="257"/>
        <v>11</v>
      </c>
      <c r="D8216" s="242">
        <v>46.8</v>
      </c>
      <c r="E8216" s="845">
        <f t="shared" si="258"/>
        <v>8.2222222222222197</v>
      </c>
    </row>
    <row r="8217" spans="2:5">
      <c r="B8217" s="1115">
        <v>45261</v>
      </c>
      <c r="C8217" s="242">
        <f t="shared" si="257"/>
        <v>12</v>
      </c>
      <c r="D8217" s="242">
        <v>45.5</v>
      </c>
      <c r="E8217" s="845">
        <f t="shared" si="258"/>
        <v>7.5</v>
      </c>
    </row>
    <row r="8218" spans="2:5">
      <c r="B8218" s="1115">
        <v>45261</v>
      </c>
      <c r="C8218" s="242">
        <f t="shared" si="257"/>
        <v>12</v>
      </c>
      <c r="D8218" s="242">
        <v>44.4</v>
      </c>
      <c r="E8218" s="845">
        <f t="shared" si="258"/>
        <v>6.8888888888888875</v>
      </c>
    </row>
    <row r="8219" spans="2:5">
      <c r="B8219" s="1115">
        <v>45261</v>
      </c>
      <c r="C8219" s="242">
        <f t="shared" si="257"/>
        <v>12</v>
      </c>
      <c r="D8219" s="242">
        <v>43.7</v>
      </c>
      <c r="E8219" s="845">
        <f t="shared" si="258"/>
        <v>6.5000000000000018</v>
      </c>
    </row>
    <row r="8220" spans="2:5">
      <c r="B8220" s="1115">
        <v>45261</v>
      </c>
      <c r="C8220" s="242">
        <f t="shared" si="257"/>
        <v>12</v>
      </c>
      <c r="D8220" s="242">
        <v>43.3</v>
      </c>
      <c r="E8220" s="845">
        <f t="shared" si="258"/>
        <v>6.2777777777777759</v>
      </c>
    </row>
    <row r="8221" spans="2:5">
      <c r="B8221" s="1115">
        <v>45261</v>
      </c>
      <c r="C8221" s="242">
        <f t="shared" si="257"/>
        <v>12</v>
      </c>
      <c r="D8221" s="242">
        <v>44.4</v>
      </c>
      <c r="E8221" s="845">
        <f t="shared" si="258"/>
        <v>6.8888888888888875</v>
      </c>
    </row>
    <row r="8222" spans="2:5">
      <c r="B8222" s="1115">
        <v>45261</v>
      </c>
      <c r="C8222" s="242">
        <f t="shared" si="257"/>
        <v>12</v>
      </c>
      <c r="D8222" s="242">
        <v>45.5</v>
      </c>
      <c r="E8222" s="845">
        <f t="shared" si="258"/>
        <v>7.5</v>
      </c>
    </row>
    <row r="8223" spans="2:5">
      <c r="B8223" s="1115">
        <v>45261</v>
      </c>
      <c r="C8223" s="242">
        <f t="shared" si="257"/>
        <v>12</v>
      </c>
      <c r="D8223" s="242">
        <v>46.4</v>
      </c>
      <c r="E8223" s="845">
        <f t="shared" si="258"/>
        <v>7.9999999999999991</v>
      </c>
    </row>
    <row r="8224" spans="2:5">
      <c r="B8224" s="1115">
        <v>45261</v>
      </c>
      <c r="C8224" s="242">
        <f t="shared" si="257"/>
        <v>12</v>
      </c>
      <c r="D8224" s="242">
        <v>47.7</v>
      </c>
      <c r="E8224" s="845">
        <f t="shared" si="258"/>
        <v>8.7222222222222232</v>
      </c>
    </row>
    <row r="8225" spans="2:5">
      <c r="B8225" s="1115">
        <v>45261</v>
      </c>
      <c r="C8225" s="242">
        <f t="shared" si="257"/>
        <v>12</v>
      </c>
      <c r="D8225" s="242" t="s">
        <v>1843</v>
      </c>
      <c r="E8225" s="845">
        <f t="shared" si="258"/>
        <v>8.8888888888888893</v>
      </c>
    </row>
    <row r="8226" spans="2:5">
      <c r="B8226" s="1115">
        <v>45261</v>
      </c>
      <c r="C8226" s="242">
        <f t="shared" si="257"/>
        <v>12</v>
      </c>
      <c r="D8226" s="242">
        <v>48.2</v>
      </c>
      <c r="E8226" s="845">
        <f t="shared" si="258"/>
        <v>9.0000000000000018</v>
      </c>
    </row>
    <row r="8227" spans="2:5">
      <c r="B8227" s="1115">
        <v>45261</v>
      </c>
      <c r="C8227" s="242">
        <f t="shared" si="257"/>
        <v>12</v>
      </c>
      <c r="D8227" s="242">
        <v>47.8</v>
      </c>
      <c r="E8227" s="845">
        <f t="shared" si="258"/>
        <v>8.7777777777777768</v>
      </c>
    </row>
    <row r="8228" spans="2:5">
      <c r="B8228" s="1115">
        <v>45261</v>
      </c>
      <c r="C8228" s="242">
        <f t="shared" si="257"/>
        <v>12</v>
      </c>
      <c r="D8228" s="242">
        <v>46.9</v>
      </c>
      <c r="E8228" s="845">
        <f t="shared" si="258"/>
        <v>8.2777777777777768</v>
      </c>
    </row>
    <row r="8229" spans="2:5">
      <c r="B8229" s="1115">
        <v>45261</v>
      </c>
      <c r="C8229" s="242">
        <f t="shared" si="257"/>
        <v>12</v>
      </c>
      <c r="D8229" s="242">
        <v>45.7</v>
      </c>
      <c r="E8229" s="845">
        <f t="shared" si="258"/>
        <v>7.6111111111111125</v>
      </c>
    </row>
    <row r="8230" spans="2:5">
      <c r="B8230" s="1115">
        <v>45261</v>
      </c>
      <c r="C8230" s="242">
        <f t="shared" si="257"/>
        <v>12</v>
      </c>
      <c r="D8230" s="242">
        <v>44.4</v>
      </c>
      <c r="E8230" s="845">
        <f t="shared" si="258"/>
        <v>6.8888888888888875</v>
      </c>
    </row>
    <row r="8231" spans="2:5">
      <c r="B8231" s="1115">
        <v>45261</v>
      </c>
      <c r="C8231" s="242">
        <f t="shared" si="257"/>
        <v>12</v>
      </c>
      <c r="D8231" s="242">
        <v>43.9</v>
      </c>
      <c r="E8231" s="845">
        <f t="shared" si="258"/>
        <v>6.6111111111111098</v>
      </c>
    </row>
    <row r="8232" spans="2:5">
      <c r="B8232" s="1115">
        <v>45261</v>
      </c>
      <c r="C8232" s="242">
        <f t="shared" si="257"/>
        <v>12</v>
      </c>
      <c r="D8232" s="242">
        <v>43.9</v>
      </c>
      <c r="E8232" s="845">
        <f t="shared" si="258"/>
        <v>6.6111111111111098</v>
      </c>
    </row>
    <row r="8233" spans="2:5">
      <c r="B8233" s="1115">
        <v>45261</v>
      </c>
      <c r="C8233" s="242">
        <f t="shared" si="257"/>
        <v>12</v>
      </c>
      <c r="D8233" s="242">
        <v>45.7</v>
      </c>
      <c r="E8233" s="845">
        <f t="shared" si="258"/>
        <v>7.6111111111111125</v>
      </c>
    </row>
    <row r="8234" spans="2:5">
      <c r="B8234" s="1115">
        <v>45261</v>
      </c>
      <c r="C8234" s="242">
        <f t="shared" si="257"/>
        <v>12</v>
      </c>
      <c r="D8234" s="242">
        <v>46.2</v>
      </c>
      <c r="E8234" s="845">
        <f t="shared" si="258"/>
        <v>7.8888888888888902</v>
      </c>
    </row>
    <row r="8235" spans="2:5">
      <c r="B8235" s="1115">
        <v>45261</v>
      </c>
      <c r="C8235" s="242">
        <f t="shared" si="257"/>
        <v>12</v>
      </c>
      <c r="D8235" s="242">
        <v>47.5</v>
      </c>
      <c r="E8235" s="845">
        <f t="shared" si="258"/>
        <v>8.6111111111111107</v>
      </c>
    </row>
    <row r="8236" spans="2:5">
      <c r="B8236" s="1115">
        <v>45261</v>
      </c>
      <c r="C8236" s="242">
        <f t="shared" si="257"/>
        <v>12</v>
      </c>
      <c r="D8236" s="242">
        <v>48.2</v>
      </c>
      <c r="E8236" s="845">
        <f t="shared" si="258"/>
        <v>9.0000000000000018</v>
      </c>
    </row>
    <row r="8237" spans="2:5">
      <c r="B8237" s="1115">
        <v>45261</v>
      </c>
      <c r="C8237" s="242">
        <f t="shared" si="257"/>
        <v>12</v>
      </c>
      <c r="D8237" s="242">
        <v>48.4</v>
      </c>
      <c r="E8237" s="845">
        <f t="shared" si="258"/>
        <v>9.1111111111111107</v>
      </c>
    </row>
    <row r="8238" spans="2:5">
      <c r="B8238" s="1115">
        <v>45261</v>
      </c>
      <c r="C8238" s="242">
        <f t="shared" si="257"/>
        <v>12</v>
      </c>
      <c r="D8238" s="242">
        <v>48.6</v>
      </c>
      <c r="E8238" s="845">
        <f t="shared" si="258"/>
        <v>9.2222222222222232</v>
      </c>
    </row>
    <row r="8239" spans="2:5">
      <c r="B8239" s="1115">
        <v>45261</v>
      </c>
      <c r="C8239" s="242">
        <f t="shared" si="257"/>
        <v>12</v>
      </c>
      <c r="D8239" s="242">
        <v>48.4</v>
      </c>
      <c r="E8239" s="845">
        <f t="shared" si="258"/>
        <v>9.1111111111111107</v>
      </c>
    </row>
    <row r="8240" spans="2:5">
      <c r="B8240" s="1115">
        <v>45261</v>
      </c>
      <c r="C8240" s="242">
        <f t="shared" si="257"/>
        <v>12</v>
      </c>
      <c r="D8240" s="242">
        <v>47.7</v>
      </c>
      <c r="E8240" s="845">
        <f t="shared" si="258"/>
        <v>8.7222222222222232</v>
      </c>
    </row>
    <row r="8241" spans="2:5">
      <c r="B8241" s="1115">
        <v>45262</v>
      </c>
      <c r="C8241" s="242">
        <f t="shared" si="257"/>
        <v>12</v>
      </c>
      <c r="D8241" s="242">
        <v>46.4</v>
      </c>
      <c r="E8241" s="845">
        <f t="shared" si="258"/>
        <v>7.9999999999999991</v>
      </c>
    </row>
    <row r="8242" spans="2:5">
      <c r="B8242" s="1115">
        <v>45262</v>
      </c>
      <c r="C8242" s="242">
        <f t="shared" si="257"/>
        <v>12</v>
      </c>
      <c r="D8242" s="242">
        <v>45.1</v>
      </c>
      <c r="E8242" s="845">
        <f t="shared" si="258"/>
        <v>7.2777777777777786</v>
      </c>
    </row>
    <row r="8243" spans="2:5">
      <c r="B8243" s="1115">
        <v>45262</v>
      </c>
      <c r="C8243" s="242">
        <f t="shared" si="257"/>
        <v>12</v>
      </c>
      <c r="D8243" s="242">
        <v>44.4</v>
      </c>
      <c r="E8243" s="845">
        <f t="shared" si="258"/>
        <v>6.8888888888888875</v>
      </c>
    </row>
    <row r="8244" spans="2:5">
      <c r="B8244" s="1115">
        <v>45262</v>
      </c>
      <c r="C8244" s="242">
        <f t="shared" si="257"/>
        <v>12</v>
      </c>
      <c r="D8244" s="242">
        <v>43.9</v>
      </c>
      <c r="E8244" s="845">
        <f t="shared" si="258"/>
        <v>6.6111111111111098</v>
      </c>
    </row>
    <row r="8245" spans="2:5">
      <c r="B8245" s="1115">
        <v>45262</v>
      </c>
      <c r="C8245" s="242">
        <f t="shared" si="257"/>
        <v>12</v>
      </c>
      <c r="D8245" s="242">
        <v>43.7</v>
      </c>
      <c r="E8245" s="845">
        <f t="shared" si="258"/>
        <v>6.5000000000000018</v>
      </c>
    </row>
    <row r="8246" spans="2:5">
      <c r="B8246" s="1115">
        <v>45262</v>
      </c>
      <c r="C8246" s="242">
        <f t="shared" si="257"/>
        <v>12</v>
      </c>
      <c r="D8246" s="242">
        <v>45.1</v>
      </c>
      <c r="E8246" s="845">
        <f t="shared" si="258"/>
        <v>7.2777777777777786</v>
      </c>
    </row>
    <row r="8247" spans="2:5">
      <c r="B8247" s="1115">
        <v>45262</v>
      </c>
      <c r="C8247" s="242">
        <f t="shared" si="257"/>
        <v>12</v>
      </c>
      <c r="D8247" s="242" t="s">
        <v>1842</v>
      </c>
      <c r="E8247" s="845">
        <f t="shared" si="258"/>
        <v>7.7777777777777777</v>
      </c>
    </row>
    <row r="8248" spans="2:5">
      <c r="B8248" s="1115">
        <v>45262</v>
      </c>
      <c r="C8248" s="242">
        <f t="shared" si="257"/>
        <v>12</v>
      </c>
      <c r="D8248" s="242">
        <v>47.1</v>
      </c>
      <c r="E8248" s="845">
        <f t="shared" si="258"/>
        <v>8.3888888888888893</v>
      </c>
    </row>
    <row r="8249" spans="2:5">
      <c r="B8249" s="1115">
        <v>45262</v>
      </c>
      <c r="C8249" s="242">
        <f t="shared" si="257"/>
        <v>12</v>
      </c>
      <c r="D8249" s="242">
        <v>47.8</v>
      </c>
      <c r="E8249" s="845">
        <f t="shared" si="258"/>
        <v>8.7777777777777768</v>
      </c>
    </row>
    <row r="8250" spans="2:5">
      <c r="B8250" s="1115">
        <v>45262</v>
      </c>
      <c r="C8250" s="242">
        <f t="shared" si="257"/>
        <v>12</v>
      </c>
      <c r="D8250" s="242">
        <v>48.2</v>
      </c>
      <c r="E8250" s="845">
        <f t="shared" si="258"/>
        <v>9.0000000000000018</v>
      </c>
    </row>
    <row r="8251" spans="2:5">
      <c r="B8251" s="1115">
        <v>45262</v>
      </c>
      <c r="C8251" s="242">
        <f t="shared" si="257"/>
        <v>12</v>
      </c>
      <c r="D8251" s="242">
        <v>48.2</v>
      </c>
      <c r="E8251" s="845">
        <f t="shared" si="258"/>
        <v>9.0000000000000018</v>
      </c>
    </row>
    <row r="8252" spans="2:5">
      <c r="B8252" s="1115">
        <v>45262</v>
      </c>
      <c r="C8252" s="242">
        <f t="shared" si="257"/>
        <v>12</v>
      </c>
      <c r="D8252" s="242" t="s">
        <v>1843</v>
      </c>
      <c r="E8252" s="845">
        <f t="shared" si="258"/>
        <v>8.8888888888888893</v>
      </c>
    </row>
    <row r="8253" spans="2:5">
      <c r="B8253" s="1115">
        <v>45262</v>
      </c>
      <c r="C8253" s="242">
        <f t="shared" si="257"/>
        <v>12</v>
      </c>
      <c r="D8253" s="242">
        <v>47.1</v>
      </c>
      <c r="E8253" s="845">
        <f t="shared" si="258"/>
        <v>8.3888888888888893</v>
      </c>
    </row>
    <row r="8254" spans="2:5">
      <c r="B8254" s="1115">
        <v>45262</v>
      </c>
      <c r="C8254" s="242">
        <f t="shared" si="257"/>
        <v>12</v>
      </c>
      <c r="D8254" s="242" t="s">
        <v>1842</v>
      </c>
      <c r="E8254" s="845">
        <f t="shared" si="258"/>
        <v>7.7777777777777777</v>
      </c>
    </row>
    <row r="8255" spans="2:5">
      <c r="B8255" s="1115">
        <v>45262</v>
      </c>
      <c r="C8255" s="242">
        <f t="shared" si="257"/>
        <v>12</v>
      </c>
      <c r="D8255" s="242" t="s">
        <v>1836</v>
      </c>
      <c r="E8255" s="845">
        <f t="shared" si="258"/>
        <v>7.2222222222222223</v>
      </c>
    </row>
    <row r="8256" spans="2:5">
      <c r="B8256" s="1115">
        <v>45262</v>
      </c>
      <c r="C8256" s="242">
        <f t="shared" si="257"/>
        <v>12</v>
      </c>
      <c r="D8256" s="242">
        <v>44.6</v>
      </c>
      <c r="E8256" s="845">
        <f t="shared" si="258"/>
        <v>7.0000000000000009</v>
      </c>
    </row>
    <row r="8257" spans="2:5">
      <c r="B8257" s="1115">
        <v>45262</v>
      </c>
      <c r="C8257" s="242">
        <f t="shared" si="257"/>
        <v>12</v>
      </c>
      <c r="D8257" s="242">
        <v>44.8</v>
      </c>
      <c r="E8257" s="845">
        <f t="shared" si="258"/>
        <v>7.1111111111111089</v>
      </c>
    </row>
    <row r="8258" spans="2:5">
      <c r="B8258" s="1115">
        <v>45262</v>
      </c>
      <c r="C8258" s="242">
        <f t="shared" si="257"/>
        <v>12</v>
      </c>
      <c r="D8258" s="242">
        <v>46.4</v>
      </c>
      <c r="E8258" s="845">
        <f t="shared" si="258"/>
        <v>7.9999999999999991</v>
      </c>
    </row>
    <row r="8259" spans="2:5">
      <c r="B8259" s="1115">
        <v>45262</v>
      </c>
      <c r="C8259" s="242">
        <f t="shared" si="257"/>
        <v>12</v>
      </c>
      <c r="D8259" s="242">
        <v>46.9</v>
      </c>
      <c r="E8259" s="845">
        <f t="shared" si="258"/>
        <v>8.2777777777777768</v>
      </c>
    </row>
    <row r="8260" spans="2:5">
      <c r="B8260" s="1115">
        <v>45262</v>
      </c>
      <c r="C8260" s="242">
        <f t="shared" si="257"/>
        <v>12</v>
      </c>
      <c r="D8260" s="242">
        <v>47.8</v>
      </c>
      <c r="E8260" s="845">
        <f t="shared" si="258"/>
        <v>8.7777777777777768</v>
      </c>
    </row>
    <row r="8261" spans="2:5">
      <c r="B8261" s="1115">
        <v>45262</v>
      </c>
      <c r="C8261" s="242">
        <f t="shared" si="257"/>
        <v>12</v>
      </c>
      <c r="D8261" s="242">
        <v>48.4</v>
      </c>
      <c r="E8261" s="845">
        <f t="shared" si="258"/>
        <v>9.1111111111111107</v>
      </c>
    </row>
    <row r="8262" spans="2:5">
      <c r="B8262" s="1115">
        <v>45262</v>
      </c>
      <c r="C8262" s="242">
        <f t="shared" si="257"/>
        <v>12</v>
      </c>
      <c r="D8262" s="242">
        <v>48.7</v>
      </c>
      <c r="E8262" s="845">
        <f t="shared" si="258"/>
        <v>9.2777777777777786</v>
      </c>
    </row>
    <row r="8263" spans="2:5">
      <c r="B8263" s="1115">
        <v>45262</v>
      </c>
      <c r="C8263" s="242">
        <f t="shared" si="257"/>
        <v>12</v>
      </c>
      <c r="D8263" s="242">
        <v>48.7</v>
      </c>
      <c r="E8263" s="845">
        <f t="shared" si="258"/>
        <v>9.2777777777777786</v>
      </c>
    </row>
    <row r="8264" spans="2:5">
      <c r="B8264" s="1115">
        <v>45262</v>
      </c>
      <c r="C8264" s="242">
        <f t="shared" si="257"/>
        <v>12</v>
      </c>
      <c r="D8264" s="242">
        <v>48.4</v>
      </c>
      <c r="E8264" s="845">
        <f t="shared" si="258"/>
        <v>9.1111111111111107</v>
      </c>
    </row>
    <row r="8265" spans="2:5">
      <c r="B8265" s="1115">
        <v>45263</v>
      </c>
      <c r="C8265" s="242">
        <f t="shared" si="257"/>
        <v>12</v>
      </c>
      <c r="D8265" s="242">
        <v>47.7</v>
      </c>
      <c r="E8265" s="845">
        <f t="shared" si="258"/>
        <v>8.7222222222222232</v>
      </c>
    </row>
    <row r="8266" spans="2:5">
      <c r="B8266" s="1115">
        <v>45263</v>
      </c>
      <c r="C8266" s="242">
        <f t="shared" ref="C8266:C8329" si="259">MONTH(B8266)</f>
        <v>12</v>
      </c>
      <c r="D8266" s="242">
        <v>46.4</v>
      </c>
      <c r="E8266" s="845">
        <f t="shared" ref="E8266:E8329" si="260">CONVERT(D8266,"F","C")</f>
        <v>7.9999999999999991</v>
      </c>
    </row>
    <row r="8267" spans="2:5">
      <c r="B8267" s="1115">
        <v>45263</v>
      </c>
      <c r="C8267" s="242">
        <f t="shared" si="259"/>
        <v>12</v>
      </c>
      <c r="D8267" s="242">
        <v>45.3</v>
      </c>
      <c r="E8267" s="845">
        <f t="shared" si="260"/>
        <v>7.3888888888888875</v>
      </c>
    </row>
    <row r="8268" spans="2:5">
      <c r="B8268" s="1115">
        <v>45263</v>
      </c>
      <c r="C8268" s="242">
        <f t="shared" si="259"/>
        <v>12</v>
      </c>
      <c r="D8268" s="242">
        <v>44.6</v>
      </c>
      <c r="E8268" s="845">
        <f t="shared" si="260"/>
        <v>7.0000000000000009</v>
      </c>
    </row>
    <row r="8269" spans="2:5">
      <c r="B8269" s="1115">
        <v>45263</v>
      </c>
      <c r="C8269" s="242">
        <f t="shared" si="259"/>
        <v>12</v>
      </c>
      <c r="D8269" s="242">
        <v>44.2</v>
      </c>
      <c r="E8269" s="845">
        <f t="shared" si="260"/>
        <v>6.7777777777777795</v>
      </c>
    </row>
    <row r="8270" spans="2:5">
      <c r="B8270" s="1115">
        <v>45263</v>
      </c>
      <c r="C8270" s="242">
        <f t="shared" si="259"/>
        <v>12</v>
      </c>
      <c r="D8270" s="242">
        <v>44.6</v>
      </c>
      <c r="E8270" s="845">
        <f t="shared" si="260"/>
        <v>7.0000000000000009</v>
      </c>
    </row>
    <row r="8271" spans="2:5">
      <c r="B8271" s="1115">
        <v>45263</v>
      </c>
      <c r="C8271" s="242">
        <f t="shared" si="259"/>
        <v>12</v>
      </c>
      <c r="D8271" s="242">
        <v>45.9</v>
      </c>
      <c r="E8271" s="845">
        <f t="shared" si="260"/>
        <v>7.7222222222222214</v>
      </c>
    </row>
    <row r="8272" spans="2:5">
      <c r="B8272" s="1115">
        <v>45263</v>
      </c>
      <c r="C8272" s="242">
        <f t="shared" si="259"/>
        <v>12</v>
      </c>
      <c r="D8272" s="242">
        <v>46.8</v>
      </c>
      <c r="E8272" s="845">
        <f t="shared" si="260"/>
        <v>8.2222222222222197</v>
      </c>
    </row>
    <row r="8273" spans="2:5">
      <c r="B8273" s="1115">
        <v>45263</v>
      </c>
      <c r="C8273" s="242">
        <f t="shared" si="259"/>
        <v>12</v>
      </c>
      <c r="D8273" s="242">
        <v>47.5</v>
      </c>
      <c r="E8273" s="845">
        <f t="shared" si="260"/>
        <v>8.6111111111111107</v>
      </c>
    </row>
    <row r="8274" spans="2:5">
      <c r="B8274" s="1115">
        <v>45263</v>
      </c>
      <c r="C8274" s="242">
        <f t="shared" si="259"/>
        <v>12</v>
      </c>
      <c r="D8274" s="242">
        <v>48.2</v>
      </c>
      <c r="E8274" s="845">
        <f t="shared" si="260"/>
        <v>9.0000000000000018</v>
      </c>
    </row>
    <row r="8275" spans="2:5">
      <c r="B8275" s="1115">
        <v>45263</v>
      </c>
      <c r="C8275" s="242">
        <f t="shared" si="259"/>
        <v>12</v>
      </c>
      <c r="D8275" s="242">
        <v>48.4</v>
      </c>
      <c r="E8275" s="845">
        <f t="shared" si="260"/>
        <v>9.1111111111111107</v>
      </c>
    </row>
    <row r="8276" spans="2:5">
      <c r="B8276" s="1115">
        <v>45263</v>
      </c>
      <c r="C8276" s="242">
        <f t="shared" si="259"/>
        <v>12</v>
      </c>
      <c r="D8276" s="242">
        <v>48.2</v>
      </c>
      <c r="E8276" s="845">
        <f t="shared" si="260"/>
        <v>9.0000000000000018</v>
      </c>
    </row>
    <row r="8277" spans="2:5">
      <c r="B8277" s="1115">
        <v>45263</v>
      </c>
      <c r="C8277" s="242">
        <f t="shared" si="259"/>
        <v>12</v>
      </c>
      <c r="D8277" s="242">
        <v>47.8</v>
      </c>
      <c r="E8277" s="845">
        <f t="shared" si="260"/>
        <v>8.7777777777777768</v>
      </c>
    </row>
    <row r="8278" spans="2:5">
      <c r="B8278" s="1115">
        <v>45263</v>
      </c>
      <c r="C8278" s="242">
        <f t="shared" si="259"/>
        <v>12</v>
      </c>
      <c r="D8278" s="242">
        <v>47.1</v>
      </c>
      <c r="E8278" s="845">
        <f t="shared" si="260"/>
        <v>8.3888888888888893</v>
      </c>
    </row>
    <row r="8279" spans="2:5">
      <c r="B8279" s="1115">
        <v>45263</v>
      </c>
      <c r="C8279" s="242">
        <f t="shared" si="259"/>
        <v>12</v>
      </c>
      <c r="D8279" s="242" t="s">
        <v>1842</v>
      </c>
      <c r="E8279" s="845">
        <f t="shared" si="260"/>
        <v>7.7777777777777777</v>
      </c>
    </row>
    <row r="8280" spans="2:5">
      <c r="B8280" s="1115">
        <v>45263</v>
      </c>
      <c r="C8280" s="242">
        <f t="shared" si="259"/>
        <v>12</v>
      </c>
      <c r="D8280" s="242">
        <v>45.1</v>
      </c>
      <c r="E8280" s="845">
        <f t="shared" si="260"/>
        <v>7.2777777777777786</v>
      </c>
    </row>
    <row r="8281" spans="2:5">
      <c r="B8281" s="1115">
        <v>45263</v>
      </c>
      <c r="C8281" s="242">
        <f t="shared" si="259"/>
        <v>12</v>
      </c>
      <c r="D8281" s="242" t="s">
        <v>1836</v>
      </c>
      <c r="E8281" s="845">
        <f t="shared" si="260"/>
        <v>7.2222222222222223</v>
      </c>
    </row>
    <row r="8282" spans="2:5">
      <c r="B8282" s="1115">
        <v>45263</v>
      </c>
      <c r="C8282" s="242">
        <f t="shared" si="259"/>
        <v>12</v>
      </c>
      <c r="D8282" s="242">
        <v>45.7</v>
      </c>
      <c r="E8282" s="845">
        <f t="shared" si="260"/>
        <v>7.6111111111111125</v>
      </c>
    </row>
    <row r="8283" spans="2:5">
      <c r="B8283" s="1115">
        <v>45263</v>
      </c>
      <c r="C8283" s="242">
        <f t="shared" si="259"/>
        <v>12</v>
      </c>
      <c r="D8283" s="242">
        <v>47.1</v>
      </c>
      <c r="E8283" s="845">
        <f t="shared" si="260"/>
        <v>8.3888888888888893</v>
      </c>
    </row>
    <row r="8284" spans="2:5">
      <c r="B8284" s="1115">
        <v>45263</v>
      </c>
      <c r="C8284" s="242">
        <f t="shared" si="259"/>
        <v>12</v>
      </c>
      <c r="D8284" s="242">
        <v>47.7</v>
      </c>
      <c r="E8284" s="845">
        <f t="shared" si="260"/>
        <v>8.7222222222222232</v>
      </c>
    </row>
    <row r="8285" spans="2:5">
      <c r="B8285" s="1115">
        <v>45263</v>
      </c>
      <c r="C8285" s="242">
        <f t="shared" si="259"/>
        <v>12</v>
      </c>
      <c r="D8285" s="242">
        <v>48.2</v>
      </c>
      <c r="E8285" s="845">
        <f t="shared" si="260"/>
        <v>9.0000000000000018</v>
      </c>
    </row>
    <row r="8286" spans="2:5">
      <c r="B8286" s="1115">
        <v>45263</v>
      </c>
      <c r="C8286" s="242">
        <f t="shared" si="259"/>
        <v>12</v>
      </c>
      <c r="D8286" s="242">
        <v>48.4</v>
      </c>
      <c r="E8286" s="845">
        <f t="shared" si="260"/>
        <v>9.1111111111111107</v>
      </c>
    </row>
    <row r="8287" spans="2:5">
      <c r="B8287" s="1115">
        <v>45263</v>
      </c>
      <c r="C8287" s="242">
        <f t="shared" si="259"/>
        <v>12</v>
      </c>
      <c r="D8287" s="242">
        <v>48.6</v>
      </c>
      <c r="E8287" s="845">
        <f t="shared" si="260"/>
        <v>9.2222222222222232</v>
      </c>
    </row>
    <row r="8288" spans="2:5">
      <c r="B8288" s="1115">
        <v>45263</v>
      </c>
      <c r="C8288" s="242">
        <f t="shared" si="259"/>
        <v>12</v>
      </c>
      <c r="D8288" s="242">
        <v>48.2</v>
      </c>
      <c r="E8288" s="845">
        <f t="shared" si="260"/>
        <v>9.0000000000000018</v>
      </c>
    </row>
    <row r="8289" spans="2:5">
      <c r="B8289" s="1115">
        <v>45264</v>
      </c>
      <c r="C8289" s="242">
        <f t="shared" si="259"/>
        <v>12</v>
      </c>
      <c r="D8289" s="242" t="s">
        <v>1843</v>
      </c>
      <c r="E8289" s="845">
        <f t="shared" si="260"/>
        <v>8.8888888888888893</v>
      </c>
    </row>
    <row r="8290" spans="2:5">
      <c r="B8290" s="1115">
        <v>45264</v>
      </c>
      <c r="C8290" s="242">
        <f t="shared" si="259"/>
        <v>12</v>
      </c>
      <c r="D8290" s="242">
        <v>47.5</v>
      </c>
      <c r="E8290" s="845">
        <f t="shared" si="260"/>
        <v>8.6111111111111107</v>
      </c>
    </row>
    <row r="8291" spans="2:5">
      <c r="B8291" s="1115">
        <v>45264</v>
      </c>
      <c r="C8291" s="242">
        <f t="shared" si="259"/>
        <v>12</v>
      </c>
      <c r="D8291" s="242">
        <v>46.4</v>
      </c>
      <c r="E8291" s="845">
        <f t="shared" si="260"/>
        <v>7.9999999999999991</v>
      </c>
    </row>
    <row r="8292" spans="2:5">
      <c r="B8292" s="1115">
        <v>45264</v>
      </c>
      <c r="C8292" s="242">
        <f t="shared" si="259"/>
        <v>12</v>
      </c>
      <c r="D8292" s="242">
        <v>45.5</v>
      </c>
      <c r="E8292" s="845">
        <f t="shared" si="260"/>
        <v>7.5</v>
      </c>
    </row>
    <row r="8293" spans="2:5">
      <c r="B8293" s="1115">
        <v>45264</v>
      </c>
      <c r="C8293" s="242">
        <f t="shared" si="259"/>
        <v>12</v>
      </c>
      <c r="D8293" s="242" t="s">
        <v>1836</v>
      </c>
      <c r="E8293" s="845">
        <f t="shared" si="260"/>
        <v>7.2222222222222223</v>
      </c>
    </row>
    <row r="8294" spans="2:5">
      <c r="B8294" s="1115">
        <v>45264</v>
      </c>
      <c r="C8294" s="242">
        <f t="shared" si="259"/>
        <v>12</v>
      </c>
      <c r="D8294" s="242">
        <v>44.6</v>
      </c>
      <c r="E8294" s="845">
        <f t="shared" si="260"/>
        <v>7.0000000000000009</v>
      </c>
    </row>
    <row r="8295" spans="2:5">
      <c r="B8295" s="1115">
        <v>45264</v>
      </c>
      <c r="C8295" s="242">
        <f t="shared" si="259"/>
        <v>12</v>
      </c>
      <c r="D8295" s="242">
        <v>45.3</v>
      </c>
      <c r="E8295" s="845">
        <f t="shared" si="260"/>
        <v>7.3888888888888875</v>
      </c>
    </row>
    <row r="8296" spans="2:5">
      <c r="B8296" s="1115">
        <v>45264</v>
      </c>
      <c r="C8296" s="242">
        <f t="shared" si="259"/>
        <v>12</v>
      </c>
      <c r="D8296" s="242">
        <v>46.2</v>
      </c>
      <c r="E8296" s="845">
        <f t="shared" si="260"/>
        <v>7.8888888888888902</v>
      </c>
    </row>
    <row r="8297" spans="2:5">
      <c r="B8297" s="1115">
        <v>45264</v>
      </c>
      <c r="C8297" s="242">
        <f t="shared" si="259"/>
        <v>12</v>
      </c>
      <c r="D8297" s="242">
        <v>46.9</v>
      </c>
      <c r="E8297" s="845">
        <f t="shared" si="260"/>
        <v>8.2777777777777768</v>
      </c>
    </row>
    <row r="8298" spans="2:5">
      <c r="B8298" s="1115">
        <v>45264</v>
      </c>
      <c r="C8298" s="242">
        <f t="shared" si="259"/>
        <v>12</v>
      </c>
      <c r="D8298" s="242">
        <v>47.3</v>
      </c>
      <c r="E8298" s="845">
        <f t="shared" si="260"/>
        <v>8.4999999999999982</v>
      </c>
    </row>
    <row r="8299" spans="2:5">
      <c r="B8299" s="1115">
        <v>45264</v>
      </c>
      <c r="C8299" s="242">
        <f t="shared" si="259"/>
        <v>12</v>
      </c>
      <c r="D8299" s="242">
        <v>47.7</v>
      </c>
      <c r="E8299" s="845">
        <f t="shared" si="260"/>
        <v>8.7222222222222232</v>
      </c>
    </row>
    <row r="8300" spans="2:5">
      <c r="B8300" s="1115">
        <v>45264</v>
      </c>
      <c r="C8300" s="242">
        <f t="shared" si="259"/>
        <v>12</v>
      </c>
      <c r="D8300" s="242">
        <v>47.8</v>
      </c>
      <c r="E8300" s="845">
        <f t="shared" si="260"/>
        <v>8.7777777777777768</v>
      </c>
    </row>
    <row r="8301" spans="2:5">
      <c r="B8301" s="1115">
        <v>45264</v>
      </c>
      <c r="C8301" s="242">
        <f t="shared" si="259"/>
        <v>12</v>
      </c>
      <c r="D8301" s="242">
        <v>47.7</v>
      </c>
      <c r="E8301" s="845">
        <f t="shared" si="260"/>
        <v>8.7222222222222232</v>
      </c>
    </row>
    <row r="8302" spans="2:5">
      <c r="B8302" s="1115">
        <v>45264</v>
      </c>
      <c r="C8302" s="242">
        <f t="shared" si="259"/>
        <v>12</v>
      </c>
      <c r="D8302" s="242">
        <v>47.3</v>
      </c>
      <c r="E8302" s="845">
        <f t="shared" si="260"/>
        <v>8.4999999999999982</v>
      </c>
    </row>
    <row r="8303" spans="2:5">
      <c r="B8303" s="1115">
        <v>45264</v>
      </c>
      <c r="C8303" s="242">
        <f t="shared" si="259"/>
        <v>12</v>
      </c>
      <c r="D8303" s="242">
        <v>46.6</v>
      </c>
      <c r="E8303" s="845">
        <f t="shared" si="260"/>
        <v>8.1111111111111125</v>
      </c>
    </row>
    <row r="8304" spans="2:5">
      <c r="B8304" s="1115">
        <v>45264</v>
      </c>
      <c r="C8304" s="242">
        <f t="shared" si="259"/>
        <v>12</v>
      </c>
      <c r="D8304" s="242">
        <v>45.7</v>
      </c>
      <c r="E8304" s="845">
        <f t="shared" si="260"/>
        <v>7.6111111111111125</v>
      </c>
    </row>
    <row r="8305" spans="2:5">
      <c r="B8305" s="1115">
        <v>45264</v>
      </c>
      <c r="C8305" s="242">
        <f t="shared" si="259"/>
        <v>12</v>
      </c>
      <c r="D8305" s="242" t="s">
        <v>1836</v>
      </c>
      <c r="E8305" s="845">
        <f t="shared" si="260"/>
        <v>7.2222222222222223</v>
      </c>
    </row>
    <row r="8306" spans="2:5">
      <c r="B8306" s="1115">
        <v>45264</v>
      </c>
      <c r="C8306" s="242">
        <f t="shared" si="259"/>
        <v>12</v>
      </c>
      <c r="D8306" s="242">
        <v>44.8</v>
      </c>
      <c r="E8306" s="845">
        <f t="shared" si="260"/>
        <v>7.1111111111111089</v>
      </c>
    </row>
    <row r="8307" spans="2:5">
      <c r="B8307" s="1115">
        <v>45264</v>
      </c>
      <c r="C8307" s="242">
        <f t="shared" si="259"/>
        <v>12</v>
      </c>
      <c r="D8307" s="242">
        <v>45.1</v>
      </c>
      <c r="E8307" s="845">
        <f t="shared" si="260"/>
        <v>7.2777777777777786</v>
      </c>
    </row>
    <row r="8308" spans="2:5">
      <c r="B8308" s="1115">
        <v>45264</v>
      </c>
      <c r="C8308" s="242">
        <f t="shared" si="259"/>
        <v>12</v>
      </c>
      <c r="D8308" s="242">
        <v>46.2</v>
      </c>
      <c r="E8308" s="845">
        <f t="shared" si="260"/>
        <v>7.8888888888888902</v>
      </c>
    </row>
    <row r="8309" spans="2:5">
      <c r="B8309" s="1115">
        <v>45264</v>
      </c>
      <c r="C8309" s="242">
        <f t="shared" si="259"/>
        <v>12</v>
      </c>
      <c r="D8309" s="242">
        <v>46.6</v>
      </c>
      <c r="E8309" s="845">
        <f t="shared" si="260"/>
        <v>8.1111111111111125</v>
      </c>
    </row>
    <row r="8310" spans="2:5">
      <c r="B8310" s="1115">
        <v>45264</v>
      </c>
      <c r="C8310" s="242">
        <f t="shared" si="259"/>
        <v>12</v>
      </c>
      <c r="D8310" s="242">
        <v>47.1</v>
      </c>
      <c r="E8310" s="845">
        <f t="shared" si="260"/>
        <v>8.3888888888888893</v>
      </c>
    </row>
    <row r="8311" spans="2:5">
      <c r="B8311" s="1115">
        <v>45264</v>
      </c>
      <c r="C8311" s="242">
        <f t="shared" si="259"/>
        <v>12</v>
      </c>
      <c r="D8311" s="242">
        <v>47.5</v>
      </c>
      <c r="E8311" s="845">
        <f t="shared" si="260"/>
        <v>8.6111111111111107</v>
      </c>
    </row>
    <row r="8312" spans="2:5">
      <c r="B8312" s="1115">
        <v>45264</v>
      </c>
      <c r="C8312" s="242">
        <f t="shared" si="259"/>
        <v>12</v>
      </c>
      <c r="D8312" s="242">
        <v>47.7</v>
      </c>
      <c r="E8312" s="845">
        <f t="shared" si="260"/>
        <v>8.7222222222222232</v>
      </c>
    </row>
    <row r="8313" spans="2:5">
      <c r="B8313" s="1115">
        <v>45265</v>
      </c>
      <c r="C8313" s="242">
        <f t="shared" si="259"/>
        <v>12</v>
      </c>
      <c r="D8313" s="242">
        <v>47.5</v>
      </c>
      <c r="E8313" s="845">
        <f t="shared" si="260"/>
        <v>8.6111111111111107</v>
      </c>
    </row>
    <row r="8314" spans="2:5">
      <c r="B8314" s="1115">
        <v>45265</v>
      </c>
      <c r="C8314" s="242">
        <f t="shared" si="259"/>
        <v>12</v>
      </c>
      <c r="D8314" s="242">
        <v>47.1</v>
      </c>
      <c r="E8314" s="845">
        <f t="shared" si="260"/>
        <v>8.3888888888888893</v>
      </c>
    </row>
    <row r="8315" spans="2:5">
      <c r="B8315" s="1115">
        <v>45265</v>
      </c>
      <c r="C8315" s="242">
        <f t="shared" si="259"/>
        <v>12</v>
      </c>
      <c r="D8315" s="242">
        <v>46.6</v>
      </c>
      <c r="E8315" s="845">
        <f t="shared" si="260"/>
        <v>8.1111111111111125</v>
      </c>
    </row>
    <row r="8316" spans="2:5">
      <c r="B8316" s="1115">
        <v>45265</v>
      </c>
      <c r="C8316" s="242">
        <f t="shared" si="259"/>
        <v>12</v>
      </c>
      <c r="D8316" s="242">
        <v>45.5</v>
      </c>
      <c r="E8316" s="845">
        <f t="shared" si="260"/>
        <v>7.5</v>
      </c>
    </row>
    <row r="8317" spans="2:5">
      <c r="B8317" s="1115">
        <v>45265</v>
      </c>
      <c r="C8317" s="242">
        <f t="shared" si="259"/>
        <v>12</v>
      </c>
      <c r="D8317" s="242">
        <v>44.6</v>
      </c>
      <c r="E8317" s="845">
        <f t="shared" si="260"/>
        <v>7.0000000000000009</v>
      </c>
    </row>
    <row r="8318" spans="2:5">
      <c r="B8318" s="1115">
        <v>45265</v>
      </c>
      <c r="C8318" s="242">
        <f t="shared" si="259"/>
        <v>12</v>
      </c>
      <c r="D8318" s="242">
        <v>44.2</v>
      </c>
      <c r="E8318" s="845">
        <f t="shared" si="260"/>
        <v>6.7777777777777795</v>
      </c>
    </row>
    <row r="8319" spans="2:5">
      <c r="B8319" s="1115">
        <v>45265</v>
      </c>
      <c r="C8319" s="242">
        <f t="shared" si="259"/>
        <v>12</v>
      </c>
      <c r="D8319" s="242">
        <v>44.1</v>
      </c>
      <c r="E8319" s="845">
        <f t="shared" si="260"/>
        <v>6.7222222222222232</v>
      </c>
    </row>
    <row r="8320" spans="2:5">
      <c r="B8320" s="1115">
        <v>45265</v>
      </c>
      <c r="C8320" s="242">
        <f t="shared" si="259"/>
        <v>12</v>
      </c>
      <c r="D8320" s="242">
        <v>44.6</v>
      </c>
      <c r="E8320" s="845">
        <f t="shared" si="260"/>
        <v>7.0000000000000009</v>
      </c>
    </row>
    <row r="8321" spans="2:5">
      <c r="B8321" s="1115">
        <v>45265</v>
      </c>
      <c r="C8321" s="242">
        <f t="shared" si="259"/>
        <v>12</v>
      </c>
      <c r="D8321" s="242">
        <v>45.9</v>
      </c>
      <c r="E8321" s="845">
        <f t="shared" si="260"/>
        <v>7.7222222222222214</v>
      </c>
    </row>
    <row r="8322" spans="2:5">
      <c r="B8322" s="1115">
        <v>45265</v>
      </c>
      <c r="C8322" s="242">
        <f t="shared" si="259"/>
        <v>12</v>
      </c>
      <c r="D8322" s="242">
        <v>46.4</v>
      </c>
      <c r="E8322" s="845">
        <f t="shared" si="260"/>
        <v>7.9999999999999991</v>
      </c>
    </row>
    <row r="8323" spans="2:5">
      <c r="B8323" s="1115">
        <v>45265</v>
      </c>
      <c r="C8323" s="242">
        <f t="shared" si="259"/>
        <v>12</v>
      </c>
      <c r="D8323" s="242">
        <v>46.8</v>
      </c>
      <c r="E8323" s="845">
        <f t="shared" si="260"/>
        <v>8.2222222222222197</v>
      </c>
    </row>
    <row r="8324" spans="2:5">
      <c r="B8324" s="1115">
        <v>45265</v>
      </c>
      <c r="C8324" s="242">
        <f t="shared" si="259"/>
        <v>12</v>
      </c>
      <c r="D8324" s="242">
        <v>47.1</v>
      </c>
      <c r="E8324" s="845">
        <f t="shared" si="260"/>
        <v>8.3888888888888893</v>
      </c>
    </row>
    <row r="8325" spans="2:5">
      <c r="B8325" s="1115">
        <v>45265</v>
      </c>
      <c r="C8325" s="242">
        <f t="shared" si="259"/>
        <v>12</v>
      </c>
      <c r="D8325" s="242">
        <v>47.3</v>
      </c>
      <c r="E8325" s="845">
        <f t="shared" si="260"/>
        <v>8.4999999999999982</v>
      </c>
    </row>
    <row r="8326" spans="2:5">
      <c r="B8326" s="1115">
        <v>45265</v>
      </c>
      <c r="C8326" s="242">
        <f t="shared" si="259"/>
        <v>12</v>
      </c>
      <c r="D8326" s="242">
        <v>46.9</v>
      </c>
      <c r="E8326" s="845">
        <f t="shared" si="260"/>
        <v>8.2777777777777768</v>
      </c>
    </row>
    <row r="8327" spans="2:5">
      <c r="B8327" s="1115">
        <v>45265</v>
      </c>
      <c r="C8327" s="242">
        <f t="shared" si="259"/>
        <v>12</v>
      </c>
      <c r="D8327" s="242">
        <v>46.6</v>
      </c>
      <c r="E8327" s="845">
        <f t="shared" si="260"/>
        <v>8.1111111111111125</v>
      </c>
    </row>
    <row r="8328" spans="2:5">
      <c r="B8328" s="1115">
        <v>45265</v>
      </c>
      <c r="C8328" s="242">
        <f t="shared" si="259"/>
        <v>12</v>
      </c>
      <c r="D8328" s="242">
        <v>45.9</v>
      </c>
      <c r="E8328" s="845">
        <f t="shared" si="260"/>
        <v>7.7222222222222214</v>
      </c>
    </row>
    <row r="8329" spans="2:5">
      <c r="B8329" s="1115">
        <v>45265</v>
      </c>
      <c r="C8329" s="242">
        <f t="shared" si="259"/>
        <v>12</v>
      </c>
      <c r="D8329" s="242">
        <v>44.8</v>
      </c>
      <c r="E8329" s="845">
        <f t="shared" si="260"/>
        <v>7.1111111111111089</v>
      </c>
    </row>
    <row r="8330" spans="2:5">
      <c r="B8330" s="1115">
        <v>45265</v>
      </c>
      <c r="C8330" s="242">
        <f t="shared" ref="C8330:C8393" si="261">MONTH(B8330)</f>
        <v>12</v>
      </c>
      <c r="D8330" s="242">
        <v>44.2</v>
      </c>
      <c r="E8330" s="845">
        <f t="shared" ref="E8330:E8393" si="262">CONVERT(D8330,"F","C")</f>
        <v>6.7777777777777795</v>
      </c>
    </row>
    <row r="8331" spans="2:5">
      <c r="B8331" s="1115">
        <v>45265</v>
      </c>
      <c r="C8331" s="242">
        <f t="shared" si="261"/>
        <v>12</v>
      </c>
      <c r="D8331" s="242">
        <v>44.1</v>
      </c>
      <c r="E8331" s="845">
        <f t="shared" si="262"/>
        <v>6.7222222222222232</v>
      </c>
    </row>
    <row r="8332" spans="2:5">
      <c r="B8332" s="1115">
        <v>45265</v>
      </c>
      <c r="C8332" s="242">
        <f t="shared" si="261"/>
        <v>12</v>
      </c>
      <c r="D8332" s="242">
        <v>44.6</v>
      </c>
      <c r="E8332" s="845">
        <f t="shared" si="262"/>
        <v>7.0000000000000009</v>
      </c>
    </row>
    <row r="8333" spans="2:5">
      <c r="B8333" s="1115">
        <v>45265</v>
      </c>
      <c r="C8333" s="242">
        <f t="shared" si="261"/>
        <v>12</v>
      </c>
      <c r="D8333" s="242">
        <v>45.3</v>
      </c>
      <c r="E8333" s="845">
        <f t="shared" si="262"/>
        <v>7.3888888888888875</v>
      </c>
    </row>
    <row r="8334" spans="2:5">
      <c r="B8334" s="1115">
        <v>45265</v>
      </c>
      <c r="C8334" s="242">
        <f t="shared" si="261"/>
        <v>12</v>
      </c>
      <c r="D8334" s="242" t="s">
        <v>1842</v>
      </c>
      <c r="E8334" s="845">
        <f t="shared" si="262"/>
        <v>7.7777777777777777</v>
      </c>
    </row>
    <row r="8335" spans="2:5">
      <c r="B8335" s="1115">
        <v>45265</v>
      </c>
      <c r="C8335" s="242">
        <f t="shared" si="261"/>
        <v>12</v>
      </c>
      <c r="D8335" s="242">
        <v>46.4</v>
      </c>
      <c r="E8335" s="845">
        <f t="shared" si="262"/>
        <v>7.9999999999999991</v>
      </c>
    </row>
    <row r="8336" spans="2:5">
      <c r="B8336" s="1115">
        <v>45265</v>
      </c>
      <c r="C8336" s="242">
        <f t="shared" si="261"/>
        <v>12</v>
      </c>
      <c r="D8336" s="242">
        <v>46.9</v>
      </c>
      <c r="E8336" s="845">
        <f t="shared" si="262"/>
        <v>8.2777777777777768</v>
      </c>
    </row>
    <row r="8337" spans="2:5">
      <c r="B8337" s="1115">
        <v>45266</v>
      </c>
      <c r="C8337" s="242">
        <f t="shared" si="261"/>
        <v>12</v>
      </c>
      <c r="D8337" s="242">
        <v>47.1</v>
      </c>
      <c r="E8337" s="845">
        <f t="shared" si="262"/>
        <v>8.3888888888888893</v>
      </c>
    </row>
    <row r="8338" spans="2:5">
      <c r="B8338" s="1115">
        <v>45266</v>
      </c>
      <c r="C8338" s="242">
        <f t="shared" si="261"/>
        <v>12</v>
      </c>
      <c r="D8338" s="242">
        <v>46.8</v>
      </c>
      <c r="E8338" s="845">
        <f t="shared" si="262"/>
        <v>8.2222222222222197</v>
      </c>
    </row>
    <row r="8339" spans="2:5">
      <c r="B8339" s="1115">
        <v>45266</v>
      </c>
      <c r="C8339" s="242">
        <f t="shared" si="261"/>
        <v>12</v>
      </c>
      <c r="D8339" s="242">
        <v>46.4</v>
      </c>
      <c r="E8339" s="845">
        <f t="shared" si="262"/>
        <v>7.9999999999999991</v>
      </c>
    </row>
    <row r="8340" spans="2:5">
      <c r="B8340" s="1115">
        <v>45266</v>
      </c>
      <c r="C8340" s="242">
        <f t="shared" si="261"/>
        <v>12</v>
      </c>
      <c r="D8340" s="242">
        <v>45.7</v>
      </c>
      <c r="E8340" s="845">
        <f t="shared" si="262"/>
        <v>7.6111111111111125</v>
      </c>
    </row>
    <row r="8341" spans="2:5">
      <c r="B8341" s="1115">
        <v>45266</v>
      </c>
      <c r="C8341" s="242">
        <f t="shared" si="261"/>
        <v>12</v>
      </c>
      <c r="D8341" s="242">
        <v>44.6</v>
      </c>
      <c r="E8341" s="845">
        <f t="shared" si="262"/>
        <v>7.0000000000000009</v>
      </c>
    </row>
    <row r="8342" spans="2:5">
      <c r="B8342" s="1115">
        <v>45266</v>
      </c>
      <c r="C8342" s="242">
        <f t="shared" si="261"/>
        <v>12</v>
      </c>
      <c r="D8342" s="242">
        <v>43.9</v>
      </c>
      <c r="E8342" s="845">
        <f t="shared" si="262"/>
        <v>6.6111111111111098</v>
      </c>
    </row>
    <row r="8343" spans="2:5">
      <c r="B8343" s="1115">
        <v>45266</v>
      </c>
      <c r="C8343" s="242">
        <f t="shared" si="261"/>
        <v>12</v>
      </c>
      <c r="D8343" s="242">
        <v>43.5</v>
      </c>
      <c r="E8343" s="845">
        <f t="shared" si="262"/>
        <v>6.3888888888888884</v>
      </c>
    </row>
    <row r="8344" spans="2:5">
      <c r="B8344" s="1115">
        <v>45266</v>
      </c>
      <c r="C8344" s="242">
        <f t="shared" si="261"/>
        <v>12</v>
      </c>
      <c r="D8344" s="242">
        <v>43.5</v>
      </c>
      <c r="E8344" s="845">
        <f t="shared" si="262"/>
        <v>6.3888888888888884</v>
      </c>
    </row>
    <row r="8345" spans="2:5">
      <c r="B8345" s="1115">
        <v>45266</v>
      </c>
      <c r="C8345" s="242">
        <f t="shared" si="261"/>
        <v>12</v>
      </c>
      <c r="D8345" s="242">
        <v>43.9</v>
      </c>
      <c r="E8345" s="845">
        <f t="shared" si="262"/>
        <v>6.6111111111111098</v>
      </c>
    </row>
    <row r="8346" spans="2:5">
      <c r="B8346" s="1115">
        <v>45266</v>
      </c>
      <c r="C8346" s="242">
        <f t="shared" si="261"/>
        <v>12</v>
      </c>
      <c r="D8346" s="242">
        <v>45.5</v>
      </c>
      <c r="E8346" s="845">
        <f t="shared" si="262"/>
        <v>7.5</v>
      </c>
    </row>
    <row r="8347" spans="2:5">
      <c r="B8347" s="1115">
        <v>45266</v>
      </c>
      <c r="C8347" s="242">
        <f t="shared" si="261"/>
        <v>12</v>
      </c>
      <c r="D8347" s="242" t="s">
        <v>1842</v>
      </c>
      <c r="E8347" s="845">
        <f t="shared" si="262"/>
        <v>7.7777777777777777</v>
      </c>
    </row>
    <row r="8348" spans="2:5">
      <c r="B8348" s="1115">
        <v>45266</v>
      </c>
      <c r="C8348" s="242">
        <f t="shared" si="261"/>
        <v>12</v>
      </c>
      <c r="D8348" s="242">
        <v>46.4</v>
      </c>
      <c r="E8348" s="845">
        <f t="shared" si="262"/>
        <v>7.9999999999999991</v>
      </c>
    </row>
    <row r="8349" spans="2:5">
      <c r="B8349" s="1115">
        <v>45266</v>
      </c>
      <c r="C8349" s="242">
        <f t="shared" si="261"/>
        <v>12</v>
      </c>
      <c r="D8349" s="242">
        <v>46.8</v>
      </c>
      <c r="E8349" s="845">
        <f t="shared" si="262"/>
        <v>8.2222222222222197</v>
      </c>
    </row>
    <row r="8350" spans="2:5">
      <c r="B8350" s="1115">
        <v>45266</v>
      </c>
      <c r="C8350" s="242">
        <f t="shared" si="261"/>
        <v>12</v>
      </c>
      <c r="D8350" s="242">
        <v>46.9</v>
      </c>
      <c r="E8350" s="845">
        <f t="shared" si="262"/>
        <v>8.2777777777777768</v>
      </c>
    </row>
    <row r="8351" spans="2:5">
      <c r="B8351" s="1115">
        <v>45266</v>
      </c>
      <c r="C8351" s="242">
        <f t="shared" si="261"/>
        <v>12</v>
      </c>
      <c r="D8351" s="242">
        <v>46.6</v>
      </c>
      <c r="E8351" s="845">
        <f t="shared" si="262"/>
        <v>8.1111111111111125</v>
      </c>
    </row>
    <row r="8352" spans="2:5">
      <c r="B8352" s="1115">
        <v>45266</v>
      </c>
      <c r="C8352" s="242">
        <f t="shared" si="261"/>
        <v>12</v>
      </c>
      <c r="D8352" s="242" t="s">
        <v>1842</v>
      </c>
      <c r="E8352" s="845">
        <f t="shared" si="262"/>
        <v>7.7777777777777777</v>
      </c>
    </row>
    <row r="8353" spans="2:5">
      <c r="B8353" s="1115">
        <v>45266</v>
      </c>
      <c r="C8353" s="242">
        <f t="shared" si="261"/>
        <v>12</v>
      </c>
      <c r="D8353" s="242">
        <v>45.3</v>
      </c>
      <c r="E8353" s="845">
        <f t="shared" si="262"/>
        <v>7.3888888888888875</v>
      </c>
    </row>
    <row r="8354" spans="2:5">
      <c r="B8354" s="1115">
        <v>45266</v>
      </c>
      <c r="C8354" s="242">
        <f t="shared" si="261"/>
        <v>12</v>
      </c>
      <c r="D8354" s="242">
        <v>44.2</v>
      </c>
      <c r="E8354" s="845">
        <f t="shared" si="262"/>
        <v>6.7777777777777795</v>
      </c>
    </row>
    <row r="8355" spans="2:5">
      <c r="B8355" s="1115">
        <v>45266</v>
      </c>
      <c r="C8355" s="242">
        <f t="shared" si="261"/>
        <v>12</v>
      </c>
      <c r="D8355" s="242">
        <v>43.7</v>
      </c>
      <c r="E8355" s="845">
        <f t="shared" si="262"/>
        <v>6.5000000000000018</v>
      </c>
    </row>
    <row r="8356" spans="2:5">
      <c r="B8356" s="1115">
        <v>45266</v>
      </c>
      <c r="C8356" s="242">
        <f t="shared" si="261"/>
        <v>12</v>
      </c>
      <c r="D8356" s="242">
        <v>43.5</v>
      </c>
      <c r="E8356" s="845">
        <f t="shared" si="262"/>
        <v>6.3888888888888884</v>
      </c>
    </row>
    <row r="8357" spans="2:5">
      <c r="B8357" s="1115">
        <v>45266</v>
      </c>
      <c r="C8357" s="242">
        <f t="shared" si="261"/>
        <v>12</v>
      </c>
      <c r="D8357" s="242">
        <v>44.1</v>
      </c>
      <c r="E8357" s="845">
        <f t="shared" si="262"/>
        <v>6.7222222222222232</v>
      </c>
    </row>
    <row r="8358" spans="2:5">
      <c r="B8358" s="1115">
        <v>45266</v>
      </c>
      <c r="C8358" s="242">
        <f t="shared" si="261"/>
        <v>12</v>
      </c>
      <c r="D8358" s="242">
        <v>44.8</v>
      </c>
      <c r="E8358" s="845">
        <f t="shared" si="262"/>
        <v>7.1111111111111089</v>
      </c>
    </row>
    <row r="8359" spans="2:5">
      <c r="B8359" s="1115">
        <v>45266</v>
      </c>
      <c r="C8359" s="242">
        <f t="shared" si="261"/>
        <v>12</v>
      </c>
      <c r="D8359" s="242">
        <v>45.5</v>
      </c>
      <c r="E8359" s="845">
        <f t="shared" si="262"/>
        <v>7.5</v>
      </c>
    </row>
    <row r="8360" spans="2:5">
      <c r="B8360" s="1115">
        <v>45266</v>
      </c>
      <c r="C8360" s="242">
        <f t="shared" si="261"/>
        <v>12</v>
      </c>
      <c r="D8360" s="242" t="s">
        <v>1842</v>
      </c>
      <c r="E8360" s="845">
        <f t="shared" si="262"/>
        <v>7.7777777777777777</v>
      </c>
    </row>
    <row r="8361" spans="2:5">
      <c r="B8361" s="1115">
        <v>45267</v>
      </c>
      <c r="C8361" s="242">
        <f t="shared" si="261"/>
        <v>12</v>
      </c>
      <c r="D8361" s="242">
        <v>46.4</v>
      </c>
      <c r="E8361" s="845">
        <f t="shared" si="262"/>
        <v>7.9999999999999991</v>
      </c>
    </row>
    <row r="8362" spans="2:5">
      <c r="B8362" s="1115">
        <v>45267</v>
      </c>
      <c r="C8362" s="242">
        <f t="shared" si="261"/>
        <v>12</v>
      </c>
      <c r="D8362" s="242">
        <v>46.8</v>
      </c>
      <c r="E8362" s="845">
        <f t="shared" si="262"/>
        <v>8.2222222222222197</v>
      </c>
    </row>
    <row r="8363" spans="2:5">
      <c r="B8363" s="1115">
        <v>45267</v>
      </c>
      <c r="C8363" s="242">
        <f t="shared" si="261"/>
        <v>12</v>
      </c>
      <c r="D8363" s="242">
        <v>46.2</v>
      </c>
      <c r="E8363" s="845">
        <f t="shared" si="262"/>
        <v>7.8888888888888902</v>
      </c>
    </row>
    <row r="8364" spans="2:5">
      <c r="B8364" s="1115">
        <v>45267</v>
      </c>
      <c r="C8364" s="242">
        <f t="shared" si="261"/>
        <v>12</v>
      </c>
      <c r="D8364" s="242">
        <v>45.9</v>
      </c>
      <c r="E8364" s="845">
        <f t="shared" si="262"/>
        <v>7.7222222222222214</v>
      </c>
    </row>
    <row r="8365" spans="2:5">
      <c r="B8365" s="1115">
        <v>45267</v>
      </c>
      <c r="C8365" s="242">
        <f t="shared" si="261"/>
        <v>12</v>
      </c>
      <c r="D8365" s="242">
        <v>45.1</v>
      </c>
      <c r="E8365" s="845">
        <f t="shared" si="262"/>
        <v>7.2777777777777786</v>
      </c>
    </row>
    <row r="8366" spans="2:5">
      <c r="B8366" s="1115">
        <v>45267</v>
      </c>
      <c r="C8366" s="242">
        <f t="shared" si="261"/>
        <v>12</v>
      </c>
      <c r="D8366" s="242">
        <v>43.9</v>
      </c>
      <c r="E8366" s="845">
        <f t="shared" si="262"/>
        <v>6.6111111111111098</v>
      </c>
    </row>
    <row r="8367" spans="2:5">
      <c r="B8367" s="1115">
        <v>45267</v>
      </c>
      <c r="C8367" s="242">
        <f t="shared" si="261"/>
        <v>12</v>
      </c>
      <c r="D8367" s="242">
        <v>43.2</v>
      </c>
      <c r="E8367" s="845">
        <f t="shared" si="262"/>
        <v>6.2222222222222232</v>
      </c>
    </row>
    <row r="8368" spans="2:5">
      <c r="B8368" s="1115">
        <v>45267</v>
      </c>
      <c r="C8368" s="242">
        <f t="shared" si="261"/>
        <v>12</v>
      </c>
      <c r="D8368" s="242">
        <v>42.6</v>
      </c>
      <c r="E8368" s="845">
        <f t="shared" si="262"/>
        <v>5.8888888888888893</v>
      </c>
    </row>
    <row r="8369" spans="2:5">
      <c r="B8369" s="1115">
        <v>45267</v>
      </c>
      <c r="C8369" s="242">
        <f t="shared" si="261"/>
        <v>12</v>
      </c>
      <c r="D8369" s="242" t="s">
        <v>1838</v>
      </c>
      <c r="E8369" s="845">
        <f t="shared" si="262"/>
        <v>6.1111111111111107</v>
      </c>
    </row>
    <row r="8370" spans="2:5">
      <c r="B8370" s="1115">
        <v>45267</v>
      </c>
      <c r="C8370" s="242">
        <f t="shared" si="261"/>
        <v>12</v>
      </c>
      <c r="D8370" s="242">
        <v>43.5</v>
      </c>
      <c r="E8370" s="845">
        <f t="shared" si="262"/>
        <v>6.3888888888888884</v>
      </c>
    </row>
    <row r="8371" spans="2:5">
      <c r="B8371" s="1115">
        <v>45267</v>
      </c>
      <c r="C8371" s="242">
        <f t="shared" si="261"/>
        <v>12</v>
      </c>
      <c r="D8371" s="242">
        <v>44.8</v>
      </c>
      <c r="E8371" s="845">
        <f t="shared" si="262"/>
        <v>7.1111111111111089</v>
      </c>
    </row>
    <row r="8372" spans="2:5">
      <c r="B8372" s="1115">
        <v>45267</v>
      </c>
      <c r="C8372" s="242">
        <f t="shared" si="261"/>
        <v>12</v>
      </c>
      <c r="D8372" s="242">
        <v>45.3</v>
      </c>
      <c r="E8372" s="845">
        <f t="shared" si="262"/>
        <v>7.3888888888888875</v>
      </c>
    </row>
    <row r="8373" spans="2:5">
      <c r="B8373" s="1115">
        <v>45267</v>
      </c>
      <c r="C8373" s="242">
        <f t="shared" si="261"/>
        <v>12</v>
      </c>
      <c r="D8373" s="242">
        <v>45.7</v>
      </c>
      <c r="E8373" s="845">
        <f t="shared" si="262"/>
        <v>7.6111111111111125</v>
      </c>
    </row>
    <row r="8374" spans="2:5">
      <c r="B8374" s="1115">
        <v>45267</v>
      </c>
      <c r="C8374" s="242">
        <f t="shared" si="261"/>
        <v>12</v>
      </c>
      <c r="D8374" s="242" t="s">
        <v>1842</v>
      </c>
      <c r="E8374" s="845">
        <f t="shared" si="262"/>
        <v>7.7777777777777777</v>
      </c>
    </row>
    <row r="8375" spans="2:5">
      <c r="B8375" s="1115">
        <v>45267</v>
      </c>
      <c r="C8375" s="242">
        <f t="shared" si="261"/>
        <v>12</v>
      </c>
      <c r="D8375" s="242" t="s">
        <v>1842</v>
      </c>
      <c r="E8375" s="845">
        <f t="shared" si="262"/>
        <v>7.7777777777777777</v>
      </c>
    </row>
    <row r="8376" spans="2:5">
      <c r="B8376" s="1115">
        <v>45267</v>
      </c>
      <c r="C8376" s="242">
        <f t="shared" si="261"/>
        <v>12</v>
      </c>
      <c r="D8376" s="242">
        <v>45.9</v>
      </c>
      <c r="E8376" s="845">
        <f t="shared" si="262"/>
        <v>7.7222222222222214</v>
      </c>
    </row>
    <row r="8377" spans="2:5">
      <c r="B8377" s="1115">
        <v>45267</v>
      </c>
      <c r="C8377" s="242">
        <f t="shared" si="261"/>
        <v>12</v>
      </c>
      <c r="D8377" s="242">
        <v>45.1</v>
      </c>
      <c r="E8377" s="845">
        <f t="shared" si="262"/>
        <v>7.2777777777777786</v>
      </c>
    </row>
    <row r="8378" spans="2:5">
      <c r="B8378" s="1115">
        <v>45267</v>
      </c>
      <c r="C8378" s="242">
        <f t="shared" si="261"/>
        <v>12</v>
      </c>
      <c r="D8378" s="242">
        <v>44.2</v>
      </c>
      <c r="E8378" s="845">
        <f t="shared" si="262"/>
        <v>6.7777777777777795</v>
      </c>
    </row>
    <row r="8379" spans="2:5">
      <c r="B8379" s="1115">
        <v>45267</v>
      </c>
      <c r="C8379" s="242">
        <f t="shared" si="261"/>
        <v>12</v>
      </c>
      <c r="D8379" s="242">
        <v>43.3</v>
      </c>
      <c r="E8379" s="845">
        <f t="shared" si="262"/>
        <v>6.2777777777777759</v>
      </c>
    </row>
    <row r="8380" spans="2:5">
      <c r="B8380" s="1115">
        <v>45267</v>
      </c>
      <c r="C8380" s="242">
        <f t="shared" si="261"/>
        <v>12</v>
      </c>
      <c r="D8380" s="242">
        <v>42.8</v>
      </c>
      <c r="E8380" s="845">
        <f t="shared" si="262"/>
        <v>5.9999999999999982</v>
      </c>
    </row>
    <row r="8381" spans="2:5">
      <c r="B8381" s="1115">
        <v>45267</v>
      </c>
      <c r="C8381" s="242">
        <f t="shared" si="261"/>
        <v>12</v>
      </c>
      <c r="D8381" s="242">
        <v>42.4</v>
      </c>
      <c r="E8381" s="845">
        <f t="shared" si="262"/>
        <v>5.7777777777777768</v>
      </c>
    </row>
    <row r="8382" spans="2:5">
      <c r="B8382" s="1115">
        <v>45267</v>
      </c>
      <c r="C8382" s="242">
        <f t="shared" si="261"/>
        <v>12</v>
      </c>
      <c r="D8382" s="242">
        <v>43.2</v>
      </c>
      <c r="E8382" s="845">
        <f t="shared" si="262"/>
        <v>6.2222222222222232</v>
      </c>
    </row>
    <row r="8383" spans="2:5">
      <c r="B8383" s="1115">
        <v>45267</v>
      </c>
      <c r="C8383" s="242">
        <f t="shared" si="261"/>
        <v>12</v>
      </c>
      <c r="D8383" s="242">
        <v>44.2</v>
      </c>
      <c r="E8383" s="845">
        <f t="shared" si="262"/>
        <v>6.7777777777777795</v>
      </c>
    </row>
    <row r="8384" spans="2:5">
      <c r="B8384" s="1115">
        <v>45267</v>
      </c>
      <c r="C8384" s="242">
        <f t="shared" si="261"/>
        <v>12</v>
      </c>
      <c r="D8384" s="242" t="s">
        <v>1836</v>
      </c>
      <c r="E8384" s="845">
        <f t="shared" si="262"/>
        <v>7.2222222222222223</v>
      </c>
    </row>
    <row r="8385" spans="2:5">
      <c r="B8385" s="1115">
        <v>45268</v>
      </c>
      <c r="C8385" s="242">
        <f t="shared" si="261"/>
        <v>12</v>
      </c>
      <c r="D8385" s="242">
        <v>45.3</v>
      </c>
      <c r="E8385" s="845">
        <f t="shared" si="262"/>
        <v>7.3888888888888875</v>
      </c>
    </row>
    <row r="8386" spans="2:5">
      <c r="B8386" s="1115">
        <v>45268</v>
      </c>
      <c r="C8386" s="242">
        <f t="shared" si="261"/>
        <v>12</v>
      </c>
      <c r="D8386" s="242">
        <v>45.7</v>
      </c>
      <c r="E8386" s="845">
        <f t="shared" si="262"/>
        <v>7.6111111111111125</v>
      </c>
    </row>
    <row r="8387" spans="2:5">
      <c r="B8387" s="1115">
        <v>45268</v>
      </c>
      <c r="C8387" s="242">
        <f t="shared" si="261"/>
        <v>12</v>
      </c>
      <c r="D8387" s="242">
        <v>45.9</v>
      </c>
      <c r="E8387" s="845">
        <f t="shared" si="262"/>
        <v>7.7222222222222214</v>
      </c>
    </row>
    <row r="8388" spans="2:5">
      <c r="B8388" s="1115">
        <v>45268</v>
      </c>
      <c r="C8388" s="242">
        <f t="shared" si="261"/>
        <v>12</v>
      </c>
      <c r="D8388" s="242">
        <v>45.5</v>
      </c>
      <c r="E8388" s="845">
        <f t="shared" si="262"/>
        <v>7.5</v>
      </c>
    </row>
    <row r="8389" spans="2:5">
      <c r="B8389" s="1115">
        <v>45268</v>
      </c>
      <c r="C8389" s="242">
        <f t="shared" si="261"/>
        <v>12</v>
      </c>
      <c r="D8389" s="242" t="s">
        <v>1836</v>
      </c>
      <c r="E8389" s="845">
        <f t="shared" si="262"/>
        <v>7.2222222222222223</v>
      </c>
    </row>
    <row r="8390" spans="2:5">
      <c r="B8390" s="1115">
        <v>45268</v>
      </c>
      <c r="C8390" s="242">
        <f t="shared" si="261"/>
        <v>12</v>
      </c>
      <c r="D8390" s="242">
        <v>44.1</v>
      </c>
      <c r="E8390" s="845">
        <f t="shared" si="262"/>
        <v>6.7222222222222232</v>
      </c>
    </row>
    <row r="8391" spans="2:5">
      <c r="B8391" s="1115">
        <v>45268</v>
      </c>
      <c r="C8391" s="242">
        <f t="shared" si="261"/>
        <v>12</v>
      </c>
      <c r="D8391" s="242" t="s">
        <v>1838</v>
      </c>
      <c r="E8391" s="845">
        <f t="shared" si="262"/>
        <v>6.1111111111111107</v>
      </c>
    </row>
    <row r="8392" spans="2:5">
      <c r="B8392" s="1115">
        <v>45268</v>
      </c>
      <c r="C8392" s="242">
        <f t="shared" si="261"/>
        <v>12</v>
      </c>
      <c r="D8392" s="242">
        <v>42.3</v>
      </c>
      <c r="E8392" s="845">
        <f t="shared" si="262"/>
        <v>5.7222222222222205</v>
      </c>
    </row>
    <row r="8393" spans="2:5">
      <c r="B8393" s="1115">
        <v>45268</v>
      </c>
      <c r="C8393" s="242">
        <f t="shared" si="261"/>
        <v>12</v>
      </c>
      <c r="D8393" s="242">
        <v>41.9</v>
      </c>
      <c r="E8393" s="845">
        <f t="shared" si="262"/>
        <v>5.4999999999999991</v>
      </c>
    </row>
    <row r="8394" spans="2:5">
      <c r="B8394" s="1115">
        <v>45268</v>
      </c>
      <c r="C8394" s="242">
        <f t="shared" ref="C8394:C8457" si="263">MONTH(B8394)</f>
        <v>12</v>
      </c>
      <c r="D8394" s="242">
        <v>42.4</v>
      </c>
      <c r="E8394" s="845">
        <f t="shared" ref="E8394:E8457" si="264">CONVERT(D8394,"F","C")</f>
        <v>5.7777777777777768</v>
      </c>
    </row>
    <row r="8395" spans="2:5">
      <c r="B8395" s="1115">
        <v>45268</v>
      </c>
      <c r="C8395" s="242">
        <f t="shared" si="263"/>
        <v>12</v>
      </c>
      <c r="D8395" s="242">
        <v>43.3</v>
      </c>
      <c r="E8395" s="845">
        <f t="shared" si="264"/>
        <v>6.2777777777777759</v>
      </c>
    </row>
    <row r="8396" spans="2:5">
      <c r="B8396" s="1115">
        <v>45268</v>
      </c>
      <c r="C8396" s="242">
        <f t="shared" si="263"/>
        <v>12</v>
      </c>
      <c r="D8396" s="242">
        <v>44.2</v>
      </c>
      <c r="E8396" s="845">
        <f t="shared" si="264"/>
        <v>6.7777777777777795</v>
      </c>
    </row>
    <row r="8397" spans="2:5">
      <c r="B8397" s="1115">
        <v>45268</v>
      </c>
      <c r="C8397" s="242">
        <f t="shared" si="263"/>
        <v>12</v>
      </c>
      <c r="D8397" s="242">
        <v>44.8</v>
      </c>
      <c r="E8397" s="845">
        <f t="shared" si="264"/>
        <v>7.1111111111111089</v>
      </c>
    </row>
    <row r="8398" spans="2:5">
      <c r="B8398" s="1115">
        <v>45268</v>
      </c>
      <c r="C8398" s="242">
        <f t="shared" si="263"/>
        <v>12</v>
      </c>
      <c r="D8398" s="242">
        <v>45.3</v>
      </c>
      <c r="E8398" s="845">
        <f t="shared" si="264"/>
        <v>7.3888888888888875</v>
      </c>
    </row>
    <row r="8399" spans="2:5">
      <c r="B8399" s="1115">
        <v>45268</v>
      </c>
      <c r="C8399" s="242">
        <f t="shared" si="263"/>
        <v>12</v>
      </c>
      <c r="D8399" s="242">
        <v>45.5</v>
      </c>
      <c r="E8399" s="845">
        <f t="shared" si="264"/>
        <v>7.5</v>
      </c>
    </row>
    <row r="8400" spans="2:5">
      <c r="B8400" s="1115">
        <v>45268</v>
      </c>
      <c r="C8400" s="242">
        <f t="shared" si="263"/>
        <v>12</v>
      </c>
      <c r="D8400" s="242">
        <v>45.3</v>
      </c>
      <c r="E8400" s="845">
        <f t="shared" si="264"/>
        <v>7.3888888888888875</v>
      </c>
    </row>
    <row r="8401" spans="2:5">
      <c r="B8401" s="1115">
        <v>45268</v>
      </c>
      <c r="C8401" s="242">
        <f t="shared" si="263"/>
        <v>12</v>
      </c>
      <c r="D8401" s="242">
        <v>45.1</v>
      </c>
      <c r="E8401" s="845">
        <f t="shared" si="264"/>
        <v>7.2777777777777786</v>
      </c>
    </row>
    <row r="8402" spans="2:5">
      <c r="B8402" s="1115">
        <v>45268</v>
      </c>
      <c r="C8402" s="242">
        <f t="shared" si="263"/>
        <v>12</v>
      </c>
      <c r="D8402" s="242">
        <v>44.6</v>
      </c>
      <c r="E8402" s="845">
        <f t="shared" si="264"/>
        <v>7.0000000000000009</v>
      </c>
    </row>
    <row r="8403" spans="2:5">
      <c r="B8403" s="1115">
        <v>45268</v>
      </c>
      <c r="C8403" s="242">
        <f t="shared" si="263"/>
        <v>12</v>
      </c>
      <c r="D8403" s="242">
        <v>43.3</v>
      </c>
      <c r="E8403" s="845">
        <f t="shared" si="264"/>
        <v>6.2777777777777759</v>
      </c>
    </row>
    <row r="8404" spans="2:5">
      <c r="B8404" s="1115">
        <v>45268</v>
      </c>
      <c r="C8404" s="242">
        <f t="shared" si="263"/>
        <v>12</v>
      </c>
      <c r="D8404" s="242">
        <v>42.4</v>
      </c>
      <c r="E8404" s="845">
        <f t="shared" si="264"/>
        <v>5.7777777777777768</v>
      </c>
    </row>
    <row r="8405" spans="2:5">
      <c r="B8405" s="1115">
        <v>45268</v>
      </c>
      <c r="C8405" s="242">
        <f t="shared" si="263"/>
        <v>12</v>
      </c>
      <c r="D8405" s="242">
        <v>41.9</v>
      </c>
      <c r="E8405" s="845">
        <f t="shared" si="264"/>
        <v>5.4999999999999991</v>
      </c>
    </row>
    <row r="8406" spans="2:5">
      <c r="B8406" s="1115">
        <v>45268</v>
      </c>
      <c r="C8406" s="242">
        <f t="shared" si="263"/>
        <v>12</v>
      </c>
      <c r="D8406" s="242">
        <v>41.7</v>
      </c>
      <c r="E8406" s="845">
        <f t="shared" si="264"/>
        <v>5.3888888888888902</v>
      </c>
    </row>
    <row r="8407" spans="2:5">
      <c r="B8407" s="1115">
        <v>45268</v>
      </c>
      <c r="C8407" s="242">
        <f t="shared" si="263"/>
        <v>12</v>
      </c>
      <c r="D8407" s="242">
        <v>42.3</v>
      </c>
      <c r="E8407" s="845">
        <f t="shared" si="264"/>
        <v>5.7222222222222205</v>
      </c>
    </row>
    <row r="8408" spans="2:5">
      <c r="B8408" s="1115">
        <v>45268</v>
      </c>
      <c r="C8408" s="242">
        <f t="shared" si="263"/>
        <v>12</v>
      </c>
      <c r="D8408" s="242">
        <v>43.7</v>
      </c>
      <c r="E8408" s="845">
        <f t="shared" si="264"/>
        <v>6.5000000000000018</v>
      </c>
    </row>
    <row r="8409" spans="2:5">
      <c r="B8409" s="1115">
        <v>45269</v>
      </c>
      <c r="C8409" s="242">
        <f t="shared" si="263"/>
        <v>12</v>
      </c>
      <c r="D8409" s="242">
        <v>44.2</v>
      </c>
      <c r="E8409" s="845">
        <f t="shared" si="264"/>
        <v>6.7777777777777795</v>
      </c>
    </row>
    <row r="8410" spans="2:5">
      <c r="B8410" s="1115">
        <v>45269</v>
      </c>
      <c r="C8410" s="242">
        <f t="shared" si="263"/>
        <v>12</v>
      </c>
      <c r="D8410" s="242">
        <v>44.8</v>
      </c>
      <c r="E8410" s="845">
        <f t="shared" si="264"/>
        <v>7.1111111111111089</v>
      </c>
    </row>
    <row r="8411" spans="2:5">
      <c r="B8411" s="1115">
        <v>45269</v>
      </c>
      <c r="C8411" s="242">
        <f t="shared" si="263"/>
        <v>12</v>
      </c>
      <c r="D8411" s="242">
        <v>45.1</v>
      </c>
      <c r="E8411" s="845">
        <f t="shared" si="264"/>
        <v>7.2777777777777786</v>
      </c>
    </row>
    <row r="8412" spans="2:5">
      <c r="B8412" s="1115">
        <v>45269</v>
      </c>
      <c r="C8412" s="242">
        <f t="shared" si="263"/>
        <v>12</v>
      </c>
      <c r="D8412" s="242">
        <v>45.5</v>
      </c>
      <c r="E8412" s="845">
        <f t="shared" si="264"/>
        <v>7.5</v>
      </c>
    </row>
    <row r="8413" spans="2:5">
      <c r="B8413" s="1115">
        <v>45269</v>
      </c>
      <c r="C8413" s="242">
        <f t="shared" si="263"/>
        <v>12</v>
      </c>
      <c r="D8413" s="242">
        <v>45.1</v>
      </c>
      <c r="E8413" s="845">
        <f t="shared" si="264"/>
        <v>7.2777777777777786</v>
      </c>
    </row>
    <row r="8414" spans="2:5">
      <c r="B8414" s="1115">
        <v>45269</v>
      </c>
      <c r="C8414" s="242">
        <f t="shared" si="263"/>
        <v>12</v>
      </c>
      <c r="D8414" s="242">
        <v>44.4</v>
      </c>
      <c r="E8414" s="845">
        <f t="shared" si="264"/>
        <v>6.8888888888888875</v>
      </c>
    </row>
    <row r="8415" spans="2:5">
      <c r="B8415" s="1115">
        <v>45269</v>
      </c>
      <c r="C8415" s="242">
        <f t="shared" si="263"/>
        <v>12</v>
      </c>
      <c r="D8415" s="242">
        <v>43.5</v>
      </c>
      <c r="E8415" s="845">
        <f t="shared" si="264"/>
        <v>6.3888888888888884</v>
      </c>
    </row>
    <row r="8416" spans="2:5">
      <c r="B8416" s="1115">
        <v>45269</v>
      </c>
      <c r="C8416" s="242">
        <f t="shared" si="263"/>
        <v>12</v>
      </c>
      <c r="D8416" s="242">
        <v>42.4</v>
      </c>
      <c r="E8416" s="845">
        <f t="shared" si="264"/>
        <v>5.7777777777777768</v>
      </c>
    </row>
    <row r="8417" spans="2:5">
      <c r="B8417" s="1115">
        <v>45269</v>
      </c>
      <c r="C8417" s="242">
        <f t="shared" si="263"/>
        <v>12</v>
      </c>
      <c r="D8417" s="242">
        <v>41.7</v>
      </c>
      <c r="E8417" s="845">
        <f t="shared" si="264"/>
        <v>5.3888888888888902</v>
      </c>
    </row>
    <row r="8418" spans="2:5">
      <c r="B8418" s="1115">
        <v>45269</v>
      </c>
      <c r="C8418" s="242">
        <f t="shared" si="263"/>
        <v>12</v>
      </c>
      <c r="D8418" s="242">
        <v>41.5</v>
      </c>
      <c r="E8418" s="845">
        <f t="shared" si="264"/>
        <v>5.2777777777777777</v>
      </c>
    </row>
    <row r="8419" spans="2:5">
      <c r="B8419" s="1115">
        <v>45269</v>
      </c>
      <c r="C8419" s="242">
        <f t="shared" si="263"/>
        <v>12</v>
      </c>
      <c r="D8419" s="242">
        <v>42.3</v>
      </c>
      <c r="E8419" s="845">
        <f t="shared" si="264"/>
        <v>5.7222222222222205</v>
      </c>
    </row>
    <row r="8420" spans="2:5">
      <c r="B8420" s="1115">
        <v>45269</v>
      </c>
      <c r="C8420" s="242">
        <f t="shared" si="263"/>
        <v>12</v>
      </c>
      <c r="D8420" s="242">
        <v>43.5</v>
      </c>
      <c r="E8420" s="845">
        <f t="shared" si="264"/>
        <v>6.3888888888888884</v>
      </c>
    </row>
    <row r="8421" spans="2:5">
      <c r="B8421" s="1115">
        <v>45269</v>
      </c>
      <c r="C8421" s="242">
        <f t="shared" si="263"/>
        <v>12</v>
      </c>
      <c r="D8421" s="242">
        <v>44.4</v>
      </c>
      <c r="E8421" s="845">
        <f t="shared" si="264"/>
        <v>6.8888888888888875</v>
      </c>
    </row>
    <row r="8422" spans="2:5">
      <c r="B8422" s="1115">
        <v>45269</v>
      </c>
      <c r="C8422" s="242">
        <f t="shared" si="263"/>
        <v>12</v>
      </c>
      <c r="D8422" s="242">
        <v>45.1</v>
      </c>
      <c r="E8422" s="845">
        <f t="shared" si="264"/>
        <v>7.2777777777777786</v>
      </c>
    </row>
    <row r="8423" spans="2:5">
      <c r="B8423" s="1115">
        <v>45269</v>
      </c>
      <c r="C8423" s="242">
        <f t="shared" si="263"/>
        <v>12</v>
      </c>
      <c r="D8423" s="242">
        <v>45.5</v>
      </c>
      <c r="E8423" s="845">
        <f t="shared" si="264"/>
        <v>7.5</v>
      </c>
    </row>
    <row r="8424" spans="2:5">
      <c r="B8424" s="1115">
        <v>45269</v>
      </c>
      <c r="C8424" s="242">
        <f t="shared" si="263"/>
        <v>12</v>
      </c>
      <c r="D8424" s="242">
        <v>45.7</v>
      </c>
      <c r="E8424" s="845">
        <f t="shared" si="264"/>
        <v>7.6111111111111125</v>
      </c>
    </row>
    <row r="8425" spans="2:5">
      <c r="B8425" s="1115">
        <v>45269</v>
      </c>
      <c r="C8425" s="242">
        <f t="shared" si="263"/>
        <v>12</v>
      </c>
      <c r="D8425" s="242">
        <v>45.7</v>
      </c>
      <c r="E8425" s="845">
        <f t="shared" si="264"/>
        <v>7.6111111111111125</v>
      </c>
    </row>
    <row r="8426" spans="2:5">
      <c r="B8426" s="1115">
        <v>45269</v>
      </c>
      <c r="C8426" s="242">
        <f t="shared" si="263"/>
        <v>12</v>
      </c>
      <c r="D8426" s="242">
        <v>45.3</v>
      </c>
      <c r="E8426" s="845">
        <f t="shared" si="264"/>
        <v>7.3888888888888875</v>
      </c>
    </row>
    <row r="8427" spans="2:5">
      <c r="B8427" s="1115">
        <v>45269</v>
      </c>
      <c r="C8427" s="242">
        <f t="shared" si="263"/>
        <v>12</v>
      </c>
      <c r="D8427" s="242">
        <v>44.6</v>
      </c>
      <c r="E8427" s="845">
        <f t="shared" si="264"/>
        <v>7.0000000000000009</v>
      </c>
    </row>
    <row r="8428" spans="2:5">
      <c r="B8428" s="1115">
        <v>45269</v>
      </c>
      <c r="C8428" s="242">
        <f t="shared" si="263"/>
        <v>12</v>
      </c>
      <c r="D8428" s="242">
        <v>43.5</v>
      </c>
      <c r="E8428" s="845">
        <f t="shared" si="264"/>
        <v>6.3888888888888884</v>
      </c>
    </row>
    <row r="8429" spans="2:5">
      <c r="B8429" s="1115">
        <v>45269</v>
      </c>
      <c r="C8429" s="242">
        <f t="shared" si="263"/>
        <v>12</v>
      </c>
      <c r="D8429" s="242">
        <v>42.8</v>
      </c>
      <c r="E8429" s="845">
        <f t="shared" si="264"/>
        <v>5.9999999999999982</v>
      </c>
    </row>
    <row r="8430" spans="2:5">
      <c r="B8430" s="1115">
        <v>45269</v>
      </c>
      <c r="C8430" s="242">
        <f t="shared" si="263"/>
        <v>12</v>
      </c>
      <c r="D8430" s="242">
        <v>42.3</v>
      </c>
      <c r="E8430" s="845">
        <f t="shared" si="264"/>
        <v>5.7222222222222205</v>
      </c>
    </row>
    <row r="8431" spans="2:5">
      <c r="B8431" s="1115">
        <v>45269</v>
      </c>
      <c r="C8431" s="242">
        <f t="shared" si="263"/>
        <v>12</v>
      </c>
      <c r="D8431" s="242">
        <v>42.1</v>
      </c>
      <c r="E8431" s="845">
        <f t="shared" si="264"/>
        <v>5.6111111111111116</v>
      </c>
    </row>
    <row r="8432" spans="2:5">
      <c r="B8432" s="1115">
        <v>45269</v>
      </c>
      <c r="C8432" s="242">
        <f t="shared" si="263"/>
        <v>12</v>
      </c>
      <c r="D8432" s="242">
        <v>42.6</v>
      </c>
      <c r="E8432" s="845">
        <f t="shared" si="264"/>
        <v>5.8888888888888893</v>
      </c>
    </row>
    <row r="8433" spans="2:5">
      <c r="B8433" s="1115">
        <v>45270</v>
      </c>
      <c r="C8433" s="242">
        <f t="shared" si="263"/>
        <v>12</v>
      </c>
      <c r="D8433" s="242">
        <v>44.1</v>
      </c>
      <c r="E8433" s="845">
        <f t="shared" si="264"/>
        <v>6.7222222222222232</v>
      </c>
    </row>
    <row r="8434" spans="2:5">
      <c r="B8434" s="1115">
        <v>45270</v>
      </c>
      <c r="C8434" s="242">
        <f t="shared" si="263"/>
        <v>12</v>
      </c>
      <c r="D8434" s="242">
        <v>44.6</v>
      </c>
      <c r="E8434" s="845">
        <f t="shared" si="264"/>
        <v>7.0000000000000009</v>
      </c>
    </row>
    <row r="8435" spans="2:5">
      <c r="B8435" s="1115">
        <v>45270</v>
      </c>
      <c r="C8435" s="242">
        <f t="shared" si="263"/>
        <v>12</v>
      </c>
      <c r="D8435" s="242">
        <v>45.3</v>
      </c>
      <c r="E8435" s="845">
        <f t="shared" si="264"/>
        <v>7.3888888888888875</v>
      </c>
    </row>
    <row r="8436" spans="2:5">
      <c r="B8436" s="1115">
        <v>45270</v>
      </c>
      <c r="C8436" s="242">
        <f t="shared" si="263"/>
        <v>12</v>
      </c>
      <c r="D8436" s="242">
        <v>45.7</v>
      </c>
      <c r="E8436" s="845">
        <f t="shared" si="264"/>
        <v>7.6111111111111125</v>
      </c>
    </row>
    <row r="8437" spans="2:5">
      <c r="B8437" s="1115">
        <v>45270</v>
      </c>
      <c r="C8437" s="242">
        <f t="shared" si="263"/>
        <v>12</v>
      </c>
      <c r="D8437" s="242">
        <v>45.9</v>
      </c>
      <c r="E8437" s="845">
        <f t="shared" si="264"/>
        <v>7.7222222222222214</v>
      </c>
    </row>
    <row r="8438" spans="2:5">
      <c r="B8438" s="1115">
        <v>45270</v>
      </c>
      <c r="C8438" s="242">
        <f t="shared" si="263"/>
        <v>12</v>
      </c>
      <c r="D8438" s="242">
        <v>45.7</v>
      </c>
      <c r="E8438" s="845">
        <f t="shared" si="264"/>
        <v>7.6111111111111125</v>
      </c>
    </row>
    <row r="8439" spans="2:5">
      <c r="B8439" s="1115">
        <v>45270</v>
      </c>
      <c r="C8439" s="242">
        <f t="shared" si="263"/>
        <v>12</v>
      </c>
      <c r="D8439" s="242" t="s">
        <v>1836</v>
      </c>
      <c r="E8439" s="845">
        <f t="shared" si="264"/>
        <v>7.2222222222222223</v>
      </c>
    </row>
    <row r="8440" spans="2:5">
      <c r="B8440" s="1115">
        <v>45270</v>
      </c>
      <c r="C8440" s="242">
        <f t="shared" si="263"/>
        <v>12</v>
      </c>
      <c r="D8440" s="242">
        <v>43.9</v>
      </c>
      <c r="E8440" s="845">
        <f t="shared" si="264"/>
        <v>6.6111111111111098</v>
      </c>
    </row>
    <row r="8441" spans="2:5">
      <c r="B8441" s="1115">
        <v>45270</v>
      </c>
      <c r="C8441" s="242">
        <f t="shared" si="263"/>
        <v>12</v>
      </c>
      <c r="D8441" s="242" t="s">
        <v>1838</v>
      </c>
      <c r="E8441" s="845">
        <f t="shared" si="264"/>
        <v>6.1111111111111107</v>
      </c>
    </row>
    <row r="8442" spans="2:5">
      <c r="B8442" s="1115">
        <v>45270</v>
      </c>
      <c r="C8442" s="242">
        <f t="shared" si="263"/>
        <v>12</v>
      </c>
      <c r="D8442" s="242">
        <v>42.6</v>
      </c>
      <c r="E8442" s="845">
        <f t="shared" si="264"/>
        <v>5.8888888888888893</v>
      </c>
    </row>
    <row r="8443" spans="2:5">
      <c r="B8443" s="1115">
        <v>45270</v>
      </c>
      <c r="C8443" s="242">
        <f t="shared" si="263"/>
        <v>12</v>
      </c>
      <c r="D8443" s="242">
        <v>42.4</v>
      </c>
      <c r="E8443" s="845">
        <f t="shared" si="264"/>
        <v>5.7777777777777768</v>
      </c>
    </row>
    <row r="8444" spans="2:5">
      <c r="B8444" s="1115">
        <v>45270</v>
      </c>
      <c r="C8444" s="242">
        <f t="shared" si="263"/>
        <v>12</v>
      </c>
      <c r="D8444" s="242" t="s">
        <v>1838</v>
      </c>
      <c r="E8444" s="845">
        <f t="shared" si="264"/>
        <v>6.1111111111111107</v>
      </c>
    </row>
    <row r="8445" spans="2:5">
      <c r="B8445" s="1115">
        <v>45270</v>
      </c>
      <c r="C8445" s="242">
        <f t="shared" si="263"/>
        <v>12</v>
      </c>
      <c r="D8445" s="242">
        <v>44.4</v>
      </c>
      <c r="E8445" s="845">
        <f t="shared" si="264"/>
        <v>6.8888888888888875</v>
      </c>
    </row>
    <row r="8446" spans="2:5">
      <c r="B8446" s="1115">
        <v>45270</v>
      </c>
      <c r="C8446" s="242">
        <f t="shared" si="263"/>
        <v>12</v>
      </c>
      <c r="D8446" s="242">
        <v>45.1</v>
      </c>
      <c r="E8446" s="845">
        <f t="shared" si="264"/>
        <v>7.2777777777777786</v>
      </c>
    </row>
    <row r="8447" spans="2:5">
      <c r="B8447" s="1115">
        <v>45270</v>
      </c>
      <c r="C8447" s="242">
        <f t="shared" si="263"/>
        <v>12</v>
      </c>
      <c r="D8447" s="242">
        <v>45.7</v>
      </c>
      <c r="E8447" s="845">
        <f t="shared" si="264"/>
        <v>7.6111111111111125</v>
      </c>
    </row>
    <row r="8448" spans="2:5">
      <c r="B8448" s="1115">
        <v>45270</v>
      </c>
      <c r="C8448" s="242">
        <f t="shared" si="263"/>
        <v>12</v>
      </c>
      <c r="D8448" s="242" t="s">
        <v>1842</v>
      </c>
      <c r="E8448" s="845">
        <f t="shared" si="264"/>
        <v>7.7777777777777777</v>
      </c>
    </row>
    <row r="8449" spans="2:5">
      <c r="B8449" s="1115">
        <v>45270</v>
      </c>
      <c r="C8449" s="242">
        <f t="shared" si="263"/>
        <v>12</v>
      </c>
      <c r="D8449" s="242" t="s">
        <v>1842</v>
      </c>
      <c r="E8449" s="845">
        <f t="shared" si="264"/>
        <v>7.7777777777777777</v>
      </c>
    </row>
    <row r="8450" spans="2:5">
      <c r="B8450" s="1115">
        <v>45270</v>
      </c>
      <c r="C8450" s="242">
        <f t="shared" si="263"/>
        <v>12</v>
      </c>
      <c r="D8450" s="242" t="s">
        <v>1842</v>
      </c>
      <c r="E8450" s="845">
        <f t="shared" si="264"/>
        <v>7.7777777777777777</v>
      </c>
    </row>
    <row r="8451" spans="2:5">
      <c r="B8451" s="1115">
        <v>45270</v>
      </c>
      <c r="C8451" s="242">
        <f t="shared" si="263"/>
        <v>12</v>
      </c>
      <c r="D8451" s="242">
        <v>45.7</v>
      </c>
      <c r="E8451" s="845">
        <f t="shared" si="264"/>
        <v>7.6111111111111125</v>
      </c>
    </row>
    <row r="8452" spans="2:5">
      <c r="B8452" s="1115">
        <v>45270</v>
      </c>
      <c r="C8452" s="242">
        <f t="shared" si="263"/>
        <v>12</v>
      </c>
      <c r="D8452" s="242">
        <v>44.8</v>
      </c>
      <c r="E8452" s="845">
        <f t="shared" si="264"/>
        <v>7.1111111111111089</v>
      </c>
    </row>
    <row r="8453" spans="2:5">
      <c r="B8453" s="1115">
        <v>45270</v>
      </c>
      <c r="C8453" s="242">
        <f t="shared" si="263"/>
        <v>12</v>
      </c>
      <c r="D8453" s="242">
        <v>43.9</v>
      </c>
      <c r="E8453" s="845">
        <f t="shared" si="264"/>
        <v>6.6111111111111098</v>
      </c>
    </row>
    <row r="8454" spans="2:5">
      <c r="B8454" s="1115">
        <v>45270</v>
      </c>
      <c r="C8454" s="242">
        <f t="shared" si="263"/>
        <v>12</v>
      </c>
      <c r="D8454" s="242">
        <v>43.2</v>
      </c>
      <c r="E8454" s="845">
        <f t="shared" si="264"/>
        <v>6.2222222222222232</v>
      </c>
    </row>
    <row r="8455" spans="2:5">
      <c r="B8455" s="1115">
        <v>45270</v>
      </c>
      <c r="C8455" s="242">
        <f t="shared" si="263"/>
        <v>12</v>
      </c>
      <c r="D8455" s="242">
        <v>42.8</v>
      </c>
      <c r="E8455" s="845">
        <f t="shared" si="264"/>
        <v>5.9999999999999982</v>
      </c>
    </row>
    <row r="8456" spans="2:5">
      <c r="B8456" s="1115">
        <v>45270</v>
      </c>
      <c r="C8456" s="242">
        <f t="shared" si="263"/>
        <v>12</v>
      </c>
      <c r="D8456" s="242">
        <v>42.8</v>
      </c>
      <c r="E8456" s="845">
        <f t="shared" si="264"/>
        <v>5.9999999999999982</v>
      </c>
    </row>
    <row r="8457" spans="2:5">
      <c r="B8457" s="1115">
        <v>45271</v>
      </c>
      <c r="C8457" s="242">
        <f t="shared" si="263"/>
        <v>12</v>
      </c>
      <c r="D8457" s="242">
        <v>43.5</v>
      </c>
      <c r="E8457" s="845">
        <f t="shared" si="264"/>
        <v>6.3888888888888884</v>
      </c>
    </row>
    <row r="8458" spans="2:5">
      <c r="B8458" s="1115">
        <v>45271</v>
      </c>
      <c r="C8458" s="242">
        <f t="shared" ref="C8458:C8521" si="265">MONTH(B8458)</f>
        <v>12</v>
      </c>
      <c r="D8458" s="242">
        <v>44.4</v>
      </c>
      <c r="E8458" s="845">
        <f t="shared" ref="E8458:E8521" si="266">CONVERT(D8458,"F","C")</f>
        <v>6.8888888888888875</v>
      </c>
    </row>
    <row r="8459" spans="2:5">
      <c r="B8459" s="1115">
        <v>45271</v>
      </c>
      <c r="C8459" s="242">
        <f t="shared" si="265"/>
        <v>12</v>
      </c>
      <c r="D8459" s="242">
        <v>45.1</v>
      </c>
      <c r="E8459" s="845">
        <f t="shared" si="266"/>
        <v>7.2777777777777786</v>
      </c>
    </row>
    <row r="8460" spans="2:5">
      <c r="B8460" s="1115">
        <v>45271</v>
      </c>
      <c r="C8460" s="242">
        <f t="shared" si="265"/>
        <v>12</v>
      </c>
      <c r="D8460" s="242">
        <v>45.7</v>
      </c>
      <c r="E8460" s="845">
        <f t="shared" si="266"/>
        <v>7.6111111111111125</v>
      </c>
    </row>
    <row r="8461" spans="2:5">
      <c r="B8461" s="1115">
        <v>45271</v>
      </c>
      <c r="C8461" s="242">
        <f t="shared" si="265"/>
        <v>12</v>
      </c>
      <c r="D8461" s="242">
        <v>45.9</v>
      </c>
      <c r="E8461" s="845">
        <f t="shared" si="266"/>
        <v>7.7222222222222214</v>
      </c>
    </row>
    <row r="8462" spans="2:5">
      <c r="B8462" s="1115">
        <v>45271</v>
      </c>
      <c r="C8462" s="242">
        <f t="shared" si="265"/>
        <v>12</v>
      </c>
      <c r="D8462" s="242">
        <v>45.9</v>
      </c>
      <c r="E8462" s="845">
        <f t="shared" si="266"/>
        <v>7.7222222222222214</v>
      </c>
    </row>
    <row r="8463" spans="2:5">
      <c r="B8463" s="1115">
        <v>45271</v>
      </c>
      <c r="C8463" s="242">
        <f t="shared" si="265"/>
        <v>12</v>
      </c>
      <c r="D8463" s="242">
        <v>45.9</v>
      </c>
      <c r="E8463" s="845">
        <f t="shared" si="266"/>
        <v>7.7222222222222214</v>
      </c>
    </row>
    <row r="8464" spans="2:5">
      <c r="B8464" s="1115">
        <v>45271</v>
      </c>
      <c r="C8464" s="242">
        <f t="shared" si="265"/>
        <v>12</v>
      </c>
      <c r="D8464" s="242">
        <v>45.5</v>
      </c>
      <c r="E8464" s="845">
        <f t="shared" si="266"/>
        <v>7.5</v>
      </c>
    </row>
    <row r="8465" spans="2:5">
      <c r="B8465" s="1115">
        <v>45271</v>
      </c>
      <c r="C8465" s="242">
        <f t="shared" si="265"/>
        <v>12</v>
      </c>
      <c r="D8465" s="242">
        <v>44.6</v>
      </c>
      <c r="E8465" s="845">
        <f t="shared" si="266"/>
        <v>7.0000000000000009</v>
      </c>
    </row>
    <row r="8466" spans="2:5">
      <c r="B8466" s="1115">
        <v>45271</v>
      </c>
      <c r="C8466" s="242">
        <f t="shared" si="265"/>
        <v>12</v>
      </c>
      <c r="D8466" s="242">
        <v>43.9</v>
      </c>
      <c r="E8466" s="845">
        <f t="shared" si="266"/>
        <v>6.6111111111111098</v>
      </c>
    </row>
    <row r="8467" spans="2:5">
      <c r="B8467" s="1115">
        <v>45271</v>
      </c>
      <c r="C8467" s="242">
        <f t="shared" si="265"/>
        <v>12</v>
      </c>
      <c r="D8467" s="242">
        <v>43.5</v>
      </c>
      <c r="E8467" s="845">
        <f t="shared" si="266"/>
        <v>6.3888888888888884</v>
      </c>
    </row>
    <row r="8468" spans="2:5">
      <c r="B8468" s="1115">
        <v>45271</v>
      </c>
      <c r="C8468" s="242">
        <f t="shared" si="265"/>
        <v>12</v>
      </c>
      <c r="D8468" s="242">
        <v>43.5</v>
      </c>
      <c r="E8468" s="845">
        <f t="shared" si="266"/>
        <v>6.3888888888888884</v>
      </c>
    </row>
    <row r="8469" spans="2:5">
      <c r="B8469" s="1115">
        <v>45271</v>
      </c>
      <c r="C8469" s="242">
        <f t="shared" si="265"/>
        <v>12</v>
      </c>
      <c r="D8469" s="242">
        <v>44.6</v>
      </c>
      <c r="E8469" s="845">
        <f t="shared" si="266"/>
        <v>7.0000000000000009</v>
      </c>
    </row>
    <row r="8470" spans="2:5">
      <c r="B8470" s="1115">
        <v>45271</v>
      </c>
      <c r="C8470" s="242">
        <f t="shared" si="265"/>
        <v>12</v>
      </c>
      <c r="D8470" s="242">
        <v>45.1</v>
      </c>
      <c r="E8470" s="845">
        <f t="shared" si="266"/>
        <v>7.2777777777777786</v>
      </c>
    </row>
    <row r="8471" spans="2:5">
      <c r="B8471" s="1115">
        <v>45271</v>
      </c>
      <c r="C8471" s="242">
        <f t="shared" si="265"/>
        <v>12</v>
      </c>
      <c r="D8471" s="242">
        <v>45.9</v>
      </c>
      <c r="E8471" s="845">
        <f t="shared" si="266"/>
        <v>7.7222222222222214</v>
      </c>
    </row>
    <row r="8472" spans="2:5">
      <c r="B8472" s="1115">
        <v>45271</v>
      </c>
      <c r="C8472" s="242">
        <f t="shared" si="265"/>
        <v>12</v>
      </c>
      <c r="D8472" s="242" t="s">
        <v>1842</v>
      </c>
      <c r="E8472" s="845">
        <f t="shared" si="266"/>
        <v>7.7777777777777777</v>
      </c>
    </row>
    <row r="8473" spans="2:5">
      <c r="B8473" s="1115">
        <v>45271</v>
      </c>
      <c r="C8473" s="242">
        <f t="shared" si="265"/>
        <v>12</v>
      </c>
      <c r="D8473" s="242">
        <v>46.2</v>
      </c>
      <c r="E8473" s="845">
        <f t="shared" si="266"/>
        <v>7.8888888888888902</v>
      </c>
    </row>
    <row r="8474" spans="2:5">
      <c r="B8474" s="1115">
        <v>45271</v>
      </c>
      <c r="C8474" s="242">
        <f t="shared" si="265"/>
        <v>12</v>
      </c>
      <c r="D8474" s="242">
        <v>46.2</v>
      </c>
      <c r="E8474" s="845">
        <f t="shared" si="266"/>
        <v>7.8888888888888902</v>
      </c>
    </row>
    <row r="8475" spans="2:5">
      <c r="B8475" s="1115">
        <v>45271</v>
      </c>
      <c r="C8475" s="242">
        <f t="shared" si="265"/>
        <v>12</v>
      </c>
      <c r="D8475" s="242" t="s">
        <v>1842</v>
      </c>
      <c r="E8475" s="845">
        <f t="shared" si="266"/>
        <v>7.7777777777777777</v>
      </c>
    </row>
    <row r="8476" spans="2:5">
      <c r="B8476" s="1115">
        <v>45271</v>
      </c>
      <c r="C8476" s="242">
        <f t="shared" si="265"/>
        <v>12</v>
      </c>
      <c r="D8476" s="242">
        <v>45.5</v>
      </c>
      <c r="E8476" s="845">
        <f t="shared" si="266"/>
        <v>7.5</v>
      </c>
    </row>
    <row r="8477" spans="2:5">
      <c r="B8477" s="1115">
        <v>45271</v>
      </c>
      <c r="C8477" s="242">
        <f t="shared" si="265"/>
        <v>12</v>
      </c>
      <c r="D8477" s="242">
        <v>44.6</v>
      </c>
      <c r="E8477" s="845">
        <f t="shared" si="266"/>
        <v>7.0000000000000009</v>
      </c>
    </row>
    <row r="8478" spans="2:5">
      <c r="B8478" s="1115">
        <v>45271</v>
      </c>
      <c r="C8478" s="242">
        <f t="shared" si="265"/>
        <v>12</v>
      </c>
      <c r="D8478" s="242">
        <v>44.1</v>
      </c>
      <c r="E8478" s="845">
        <f t="shared" si="266"/>
        <v>6.7222222222222232</v>
      </c>
    </row>
    <row r="8479" spans="2:5">
      <c r="B8479" s="1115">
        <v>45271</v>
      </c>
      <c r="C8479" s="242">
        <f t="shared" si="265"/>
        <v>12</v>
      </c>
      <c r="D8479" s="242">
        <v>43.5</v>
      </c>
      <c r="E8479" s="845">
        <f t="shared" si="266"/>
        <v>6.3888888888888884</v>
      </c>
    </row>
    <row r="8480" spans="2:5">
      <c r="B8480" s="1115">
        <v>45271</v>
      </c>
      <c r="C8480" s="242">
        <f t="shared" si="265"/>
        <v>12</v>
      </c>
      <c r="D8480" s="242">
        <v>43.2</v>
      </c>
      <c r="E8480" s="845">
        <f t="shared" si="266"/>
        <v>6.2222222222222232</v>
      </c>
    </row>
    <row r="8481" spans="2:5">
      <c r="B8481" s="1115">
        <v>45272</v>
      </c>
      <c r="C8481" s="242">
        <f t="shared" si="265"/>
        <v>12</v>
      </c>
      <c r="D8481" s="242" t="s">
        <v>1838</v>
      </c>
      <c r="E8481" s="845">
        <f t="shared" si="266"/>
        <v>6.1111111111111107</v>
      </c>
    </row>
    <row r="8482" spans="2:5">
      <c r="B8482" s="1115">
        <v>45272</v>
      </c>
      <c r="C8482" s="242">
        <f t="shared" si="265"/>
        <v>12</v>
      </c>
      <c r="D8482" s="242">
        <v>43.7</v>
      </c>
      <c r="E8482" s="845">
        <f t="shared" si="266"/>
        <v>6.5000000000000018</v>
      </c>
    </row>
    <row r="8483" spans="2:5">
      <c r="B8483" s="1115">
        <v>45272</v>
      </c>
      <c r="C8483" s="242">
        <f t="shared" si="265"/>
        <v>12</v>
      </c>
      <c r="D8483" s="242" t="s">
        <v>1836</v>
      </c>
      <c r="E8483" s="845">
        <f t="shared" si="266"/>
        <v>7.2222222222222223</v>
      </c>
    </row>
    <row r="8484" spans="2:5">
      <c r="B8484" s="1115">
        <v>45272</v>
      </c>
      <c r="C8484" s="242">
        <f t="shared" si="265"/>
        <v>12</v>
      </c>
      <c r="D8484" s="242">
        <v>45.3</v>
      </c>
      <c r="E8484" s="845">
        <f t="shared" si="266"/>
        <v>7.3888888888888875</v>
      </c>
    </row>
    <row r="8485" spans="2:5">
      <c r="B8485" s="1115">
        <v>45272</v>
      </c>
      <c r="C8485" s="242">
        <f t="shared" si="265"/>
        <v>12</v>
      </c>
      <c r="D8485" s="242">
        <v>45.5</v>
      </c>
      <c r="E8485" s="845">
        <f t="shared" si="266"/>
        <v>7.5</v>
      </c>
    </row>
    <row r="8486" spans="2:5">
      <c r="B8486" s="1115">
        <v>45272</v>
      </c>
      <c r="C8486" s="242">
        <f t="shared" si="265"/>
        <v>12</v>
      </c>
      <c r="D8486" s="242">
        <v>46.2</v>
      </c>
      <c r="E8486" s="845">
        <f t="shared" si="266"/>
        <v>7.8888888888888902</v>
      </c>
    </row>
    <row r="8487" spans="2:5">
      <c r="B8487" s="1115">
        <v>45272</v>
      </c>
      <c r="C8487" s="242">
        <f t="shared" si="265"/>
        <v>12</v>
      </c>
      <c r="D8487" s="242">
        <v>45.7</v>
      </c>
      <c r="E8487" s="845">
        <f t="shared" si="266"/>
        <v>7.6111111111111125</v>
      </c>
    </row>
    <row r="8488" spans="2:5">
      <c r="B8488" s="1115">
        <v>45272</v>
      </c>
      <c r="C8488" s="242">
        <f t="shared" si="265"/>
        <v>12</v>
      </c>
      <c r="D8488" s="242">
        <v>45.3</v>
      </c>
      <c r="E8488" s="845">
        <f t="shared" si="266"/>
        <v>7.3888888888888875</v>
      </c>
    </row>
    <row r="8489" spans="2:5">
      <c r="B8489" s="1115">
        <v>45272</v>
      </c>
      <c r="C8489" s="242">
        <f t="shared" si="265"/>
        <v>12</v>
      </c>
      <c r="D8489" s="242">
        <v>44.4</v>
      </c>
      <c r="E8489" s="845">
        <f t="shared" si="266"/>
        <v>6.8888888888888875</v>
      </c>
    </row>
    <row r="8490" spans="2:5">
      <c r="B8490" s="1115">
        <v>45272</v>
      </c>
      <c r="C8490" s="242">
        <f t="shared" si="265"/>
        <v>12</v>
      </c>
      <c r="D8490" s="242">
        <v>43.3</v>
      </c>
      <c r="E8490" s="845">
        <f t="shared" si="266"/>
        <v>6.2777777777777759</v>
      </c>
    </row>
    <row r="8491" spans="2:5">
      <c r="B8491" s="1115">
        <v>45272</v>
      </c>
      <c r="C8491" s="242">
        <f t="shared" si="265"/>
        <v>12</v>
      </c>
      <c r="D8491" s="242">
        <v>42.8</v>
      </c>
      <c r="E8491" s="845">
        <f t="shared" si="266"/>
        <v>5.9999999999999982</v>
      </c>
    </row>
    <row r="8492" spans="2:5">
      <c r="B8492" s="1115">
        <v>45272</v>
      </c>
      <c r="C8492" s="242">
        <f t="shared" si="265"/>
        <v>12</v>
      </c>
      <c r="D8492" s="242">
        <v>42.4</v>
      </c>
      <c r="E8492" s="845">
        <f t="shared" si="266"/>
        <v>5.7777777777777768</v>
      </c>
    </row>
    <row r="8493" spans="2:5">
      <c r="B8493" s="1115">
        <v>45272</v>
      </c>
      <c r="C8493" s="242">
        <f t="shared" si="265"/>
        <v>12</v>
      </c>
      <c r="D8493" s="242">
        <v>42.8</v>
      </c>
      <c r="E8493" s="845">
        <f t="shared" si="266"/>
        <v>5.9999999999999982</v>
      </c>
    </row>
    <row r="8494" spans="2:5">
      <c r="B8494" s="1115">
        <v>45272</v>
      </c>
      <c r="C8494" s="242">
        <f t="shared" si="265"/>
        <v>12</v>
      </c>
      <c r="D8494" s="242">
        <v>43.9</v>
      </c>
      <c r="E8494" s="845">
        <f t="shared" si="266"/>
        <v>6.6111111111111098</v>
      </c>
    </row>
    <row r="8495" spans="2:5">
      <c r="B8495" s="1115">
        <v>45272</v>
      </c>
      <c r="C8495" s="242">
        <f t="shared" si="265"/>
        <v>12</v>
      </c>
      <c r="D8495" s="242">
        <v>44.6</v>
      </c>
      <c r="E8495" s="845">
        <f t="shared" si="266"/>
        <v>7.0000000000000009</v>
      </c>
    </row>
    <row r="8496" spans="2:5">
      <c r="B8496" s="1115">
        <v>45272</v>
      </c>
      <c r="C8496" s="242">
        <f t="shared" si="265"/>
        <v>12</v>
      </c>
      <c r="D8496" s="242">
        <v>45.5</v>
      </c>
      <c r="E8496" s="845">
        <f t="shared" si="266"/>
        <v>7.5</v>
      </c>
    </row>
    <row r="8497" spans="2:5">
      <c r="B8497" s="1115">
        <v>45272</v>
      </c>
      <c r="C8497" s="242">
        <f t="shared" si="265"/>
        <v>12</v>
      </c>
      <c r="D8497" s="242">
        <v>45.9</v>
      </c>
      <c r="E8497" s="845">
        <f t="shared" si="266"/>
        <v>7.7222222222222214</v>
      </c>
    </row>
    <row r="8498" spans="2:5">
      <c r="B8498" s="1115">
        <v>45272</v>
      </c>
      <c r="C8498" s="242">
        <f t="shared" si="265"/>
        <v>12</v>
      </c>
      <c r="D8498" s="242" t="s">
        <v>1842</v>
      </c>
      <c r="E8498" s="845">
        <f t="shared" si="266"/>
        <v>7.7777777777777777</v>
      </c>
    </row>
    <row r="8499" spans="2:5">
      <c r="B8499" s="1115">
        <v>45272</v>
      </c>
      <c r="C8499" s="242">
        <f t="shared" si="265"/>
        <v>12</v>
      </c>
      <c r="D8499" s="242" t="s">
        <v>1842</v>
      </c>
      <c r="E8499" s="845">
        <f t="shared" si="266"/>
        <v>7.7777777777777777</v>
      </c>
    </row>
    <row r="8500" spans="2:5">
      <c r="B8500" s="1115">
        <v>45272</v>
      </c>
      <c r="C8500" s="242">
        <f t="shared" si="265"/>
        <v>12</v>
      </c>
      <c r="D8500" s="242">
        <v>45.7</v>
      </c>
      <c r="E8500" s="845">
        <f t="shared" si="266"/>
        <v>7.6111111111111125</v>
      </c>
    </row>
    <row r="8501" spans="2:5">
      <c r="B8501" s="1115">
        <v>45272</v>
      </c>
      <c r="C8501" s="242">
        <f t="shared" si="265"/>
        <v>12</v>
      </c>
      <c r="D8501" s="242">
        <v>44.8</v>
      </c>
      <c r="E8501" s="845">
        <f t="shared" si="266"/>
        <v>7.1111111111111089</v>
      </c>
    </row>
    <row r="8502" spans="2:5">
      <c r="B8502" s="1115">
        <v>45272</v>
      </c>
      <c r="C8502" s="242">
        <f t="shared" si="265"/>
        <v>12</v>
      </c>
      <c r="D8502" s="242">
        <v>43.7</v>
      </c>
      <c r="E8502" s="845">
        <f t="shared" si="266"/>
        <v>6.5000000000000018</v>
      </c>
    </row>
    <row r="8503" spans="2:5">
      <c r="B8503" s="1115">
        <v>45272</v>
      </c>
      <c r="C8503" s="242">
        <f t="shared" si="265"/>
        <v>12</v>
      </c>
      <c r="D8503" s="242">
        <v>42.8</v>
      </c>
      <c r="E8503" s="845">
        <f t="shared" si="266"/>
        <v>5.9999999999999982</v>
      </c>
    </row>
    <row r="8504" spans="2:5">
      <c r="B8504" s="1115">
        <v>45272</v>
      </c>
      <c r="C8504" s="242">
        <f t="shared" si="265"/>
        <v>12</v>
      </c>
      <c r="D8504" s="242">
        <v>42.4</v>
      </c>
      <c r="E8504" s="845">
        <f t="shared" si="266"/>
        <v>5.7777777777777768</v>
      </c>
    </row>
    <row r="8505" spans="2:5">
      <c r="B8505" s="1115">
        <v>45273</v>
      </c>
      <c r="C8505" s="242">
        <f t="shared" si="265"/>
        <v>12</v>
      </c>
      <c r="D8505" s="242">
        <v>42.1</v>
      </c>
      <c r="E8505" s="845">
        <f t="shared" si="266"/>
        <v>5.6111111111111116</v>
      </c>
    </row>
    <row r="8506" spans="2:5">
      <c r="B8506" s="1115">
        <v>45273</v>
      </c>
      <c r="C8506" s="242">
        <f t="shared" si="265"/>
        <v>12</v>
      </c>
      <c r="D8506" s="242">
        <v>42.4</v>
      </c>
      <c r="E8506" s="845">
        <f t="shared" si="266"/>
        <v>5.7777777777777768</v>
      </c>
    </row>
    <row r="8507" spans="2:5">
      <c r="B8507" s="1115">
        <v>45273</v>
      </c>
      <c r="C8507" s="242">
        <f t="shared" si="265"/>
        <v>12</v>
      </c>
      <c r="D8507" s="242">
        <v>44.2</v>
      </c>
      <c r="E8507" s="845">
        <f t="shared" si="266"/>
        <v>6.7777777777777795</v>
      </c>
    </row>
    <row r="8508" spans="2:5">
      <c r="B8508" s="1115">
        <v>45273</v>
      </c>
      <c r="C8508" s="242">
        <f t="shared" si="265"/>
        <v>12</v>
      </c>
      <c r="D8508" s="242">
        <v>44.6</v>
      </c>
      <c r="E8508" s="845">
        <f t="shared" si="266"/>
        <v>7.0000000000000009</v>
      </c>
    </row>
    <row r="8509" spans="2:5">
      <c r="B8509" s="1115">
        <v>45273</v>
      </c>
      <c r="C8509" s="242">
        <f t="shared" si="265"/>
        <v>12</v>
      </c>
      <c r="D8509" s="242">
        <v>45.1</v>
      </c>
      <c r="E8509" s="845">
        <f t="shared" si="266"/>
        <v>7.2777777777777786</v>
      </c>
    </row>
    <row r="8510" spans="2:5">
      <c r="B8510" s="1115">
        <v>45273</v>
      </c>
      <c r="C8510" s="242">
        <f t="shared" si="265"/>
        <v>12</v>
      </c>
      <c r="D8510" s="242">
        <v>45.7</v>
      </c>
      <c r="E8510" s="845">
        <f t="shared" si="266"/>
        <v>7.6111111111111125</v>
      </c>
    </row>
    <row r="8511" spans="2:5">
      <c r="B8511" s="1115">
        <v>45273</v>
      </c>
      <c r="C8511" s="242">
        <f t="shared" si="265"/>
        <v>12</v>
      </c>
      <c r="D8511" s="242" t="s">
        <v>1842</v>
      </c>
      <c r="E8511" s="845">
        <f t="shared" si="266"/>
        <v>7.7777777777777777</v>
      </c>
    </row>
    <row r="8512" spans="2:5">
      <c r="B8512" s="1115">
        <v>45273</v>
      </c>
      <c r="C8512" s="242">
        <f t="shared" si="265"/>
        <v>12</v>
      </c>
      <c r="D8512" s="242">
        <v>45.5</v>
      </c>
      <c r="E8512" s="845">
        <f t="shared" si="266"/>
        <v>7.5</v>
      </c>
    </row>
    <row r="8513" spans="2:5">
      <c r="B8513" s="1115">
        <v>45273</v>
      </c>
      <c r="C8513" s="242">
        <f t="shared" si="265"/>
        <v>12</v>
      </c>
      <c r="D8513" s="242" t="s">
        <v>1836</v>
      </c>
      <c r="E8513" s="845">
        <f t="shared" si="266"/>
        <v>7.2222222222222223</v>
      </c>
    </row>
    <row r="8514" spans="2:5">
      <c r="B8514" s="1115">
        <v>45273</v>
      </c>
      <c r="C8514" s="242">
        <f t="shared" si="265"/>
        <v>12</v>
      </c>
      <c r="D8514" s="242">
        <v>43.7</v>
      </c>
      <c r="E8514" s="845">
        <f t="shared" si="266"/>
        <v>6.5000000000000018</v>
      </c>
    </row>
    <row r="8515" spans="2:5">
      <c r="B8515" s="1115">
        <v>45273</v>
      </c>
      <c r="C8515" s="242">
        <f t="shared" si="265"/>
        <v>12</v>
      </c>
      <c r="D8515" s="242">
        <v>42.6</v>
      </c>
      <c r="E8515" s="845">
        <f t="shared" si="266"/>
        <v>5.8888888888888893</v>
      </c>
    </row>
    <row r="8516" spans="2:5">
      <c r="B8516" s="1115">
        <v>45273</v>
      </c>
      <c r="C8516" s="242">
        <f t="shared" si="265"/>
        <v>12</v>
      </c>
      <c r="D8516" s="242">
        <v>42.1</v>
      </c>
      <c r="E8516" s="845">
        <f t="shared" si="266"/>
        <v>5.6111111111111116</v>
      </c>
    </row>
    <row r="8517" spans="2:5">
      <c r="B8517" s="1115">
        <v>45273</v>
      </c>
      <c r="C8517" s="242">
        <f t="shared" si="265"/>
        <v>12</v>
      </c>
      <c r="D8517" s="242">
        <v>41.9</v>
      </c>
      <c r="E8517" s="845">
        <f t="shared" si="266"/>
        <v>5.4999999999999991</v>
      </c>
    </row>
    <row r="8518" spans="2:5">
      <c r="B8518" s="1115">
        <v>45273</v>
      </c>
      <c r="C8518" s="242">
        <f t="shared" si="265"/>
        <v>12</v>
      </c>
      <c r="D8518" s="242">
        <v>42.3</v>
      </c>
      <c r="E8518" s="845">
        <f t="shared" si="266"/>
        <v>5.7222222222222205</v>
      </c>
    </row>
    <row r="8519" spans="2:5">
      <c r="B8519" s="1115">
        <v>45273</v>
      </c>
      <c r="C8519" s="242">
        <f t="shared" si="265"/>
        <v>12</v>
      </c>
      <c r="D8519" s="242">
        <v>43.9</v>
      </c>
      <c r="E8519" s="845">
        <f t="shared" si="266"/>
        <v>6.6111111111111098</v>
      </c>
    </row>
    <row r="8520" spans="2:5">
      <c r="B8520" s="1115">
        <v>45273</v>
      </c>
      <c r="C8520" s="242">
        <f t="shared" si="265"/>
        <v>12</v>
      </c>
      <c r="D8520" s="242">
        <v>44.8</v>
      </c>
      <c r="E8520" s="845">
        <f t="shared" si="266"/>
        <v>7.1111111111111089</v>
      </c>
    </row>
    <row r="8521" spans="2:5">
      <c r="B8521" s="1115">
        <v>45273</v>
      </c>
      <c r="C8521" s="242">
        <f t="shared" si="265"/>
        <v>12</v>
      </c>
      <c r="D8521" s="242">
        <v>45.7</v>
      </c>
      <c r="E8521" s="845">
        <f t="shared" si="266"/>
        <v>7.6111111111111125</v>
      </c>
    </row>
    <row r="8522" spans="2:5">
      <c r="B8522" s="1115">
        <v>45273</v>
      </c>
      <c r="C8522" s="242">
        <f t="shared" ref="C8522:C8585" si="267">MONTH(B8522)</f>
        <v>12</v>
      </c>
      <c r="D8522" s="242">
        <v>46.2</v>
      </c>
      <c r="E8522" s="845">
        <f t="shared" ref="E8522:E8585" si="268">CONVERT(D8522,"F","C")</f>
        <v>7.8888888888888902</v>
      </c>
    </row>
    <row r="8523" spans="2:5">
      <c r="B8523" s="1115">
        <v>45273</v>
      </c>
      <c r="C8523" s="242">
        <f t="shared" si="267"/>
        <v>12</v>
      </c>
      <c r="D8523" s="242">
        <v>46.4</v>
      </c>
      <c r="E8523" s="845">
        <f t="shared" si="268"/>
        <v>7.9999999999999991</v>
      </c>
    </row>
    <row r="8524" spans="2:5">
      <c r="B8524" s="1115">
        <v>45273</v>
      </c>
      <c r="C8524" s="242">
        <f t="shared" si="267"/>
        <v>12</v>
      </c>
      <c r="D8524" s="242">
        <v>46.4</v>
      </c>
      <c r="E8524" s="845">
        <f t="shared" si="268"/>
        <v>7.9999999999999991</v>
      </c>
    </row>
    <row r="8525" spans="2:5">
      <c r="B8525" s="1115">
        <v>45273</v>
      </c>
      <c r="C8525" s="242">
        <f t="shared" si="267"/>
        <v>12</v>
      </c>
      <c r="D8525" s="242">
        <v>45.5</v>
      </c>
      <c r="E8525" s="845">
        <f t="shared" si="268"/>
        <v>7.5</v>
      </c>
    </row>
    <row r="8526" spans="2:5">
      <c r="B8526" s="1115">
        <v>45273</v>
      </c>
      <c r="C8526" s="242">
        <f t="shared" si="267"/>
        <v>12</v>
      </c>
      <c r="D8526" s="242">
        <v>44.2</v>
      </c>
      <c r="E8526" s="845">
        <f t="shared" si="268"/>
        <v>6.7777777777777795</v>
      </c>
    </row>
    <row r="8527" spans="2:5">
      <c r="B8527" s="1115">
        <v>45273</v>
      </c>
      <c r="C8527" s="242">
        <f t="shared" si="267"/>
        <v>12</v>
      </c>
      <c r="D8527" s="242" t="s">
        <v>1838</v>
      </c>
      <c r="E8527" s="845">
        <f t="shared" si="268"/>
        <v>6.1111111111111107</v>
      </c>
    </row>
    <row r="8528" spans="2:5">
      <c r="B8528" s="1115">
        <v>45273</v>
      </c>
      <c r="C8528" s="242">
        <f t="shared" si="267"/>
        <v>12</v>
      </c>
      <c r="D8528" s="242">
        <v>42.3</v>
      </c>
      <c r="E8528" s="845">
        <f t="shared" si="268"/>
        <v>5.7222222222222205</v>
      </c>
    </row>
    <row r="8529" spans="2:5">
      <c r="B8529" s="1115">
        <v>45274</v>
      </c>
      <c r="C8529" s="242">
        <f t="shared" si="267"/>
        <v>12</v>
      </c>
      <c r="D8529" s="242">
        <v>41.7</v>
      </c>
      <c r="E8529" s="845">
        <f t="shared" si="268"/>
        <v>5.3888888888888902</v>
      </c>
    </row>
    <row r="8530" spans="2:5">
      <c r="B8530" s="1115">
        <v>45274</v>
      </c>
      <c r="C8530" s="242">
        <f t="shared" si="267"/>
        <v>12</v>
      </c>
      <c r="D8530" s="242">
        <v>41.5</v>
      </c>
      <c r="E8530" s="845">
        <f t="shared" si="268"/>
        <v>5.2777777777777777</v>
      </c>
    </row>
    <row r="8531" spans="2:5">
      <c r="B8531" s="1115">
        <v>45274</v>
      </c>
      <c r="C8531" s="242">
        <f t="shared" si="267"/>
        <v>12</v>
      </c>
      <c r="D8531" s="242">
        <v>42.4</v>
      </c>
      <c r="E8531" s="845">
        <f t="shared" si="268"/>
        <v>5.7777777777777768</v>
      </c>
    </row>
    <row r="8532" spans="2:5">
      <c r="B8532" s="1115">
        <v>45274</v>
      </c>
      <c r="C8532" s="242">
        <f t="shared" si="267"/>
        <v>12</v>
      </c>
      <c r="D8532" s="242" t="s">
        <v>1836</v>
      </c>
      <c r="E8532" s="845">
        <f t="shared" si="268"/>
        <v>7.2222222222222223</v>
      </c>
    </row>
    <row r="8533" spans="2:5">
      <c r="B8533" s="1115">
        <v>45274</v>
      </c>
      <c r="C8533" s="242">
        <f t="shared" si="267"/>
        <v>12</v>
      </c>
      <c r="D8533" s="242">
        <v>45.1</v>
      </c>
      <c r="E8533" s="845">
        <f t="shared" si="268"/>
        <v>7.2777777777777786</v>
      </c>
    </row>
    <row r="8534" spans="2:5">
      <c r="B8534" s="1115">
        <v>45274</v>
      </c>
      <c r="C8534" s="242">
        <f t="shared" si="267"/>
        <v>12</v>
      </c>
      <c r="D8534" s="242" t="s">
        <v>1842</v>
      </c>
      <c r="E8534" s="845">
        <f t="shared" si="268"/>
        <v>7.7777777777777777</v>
      </c>
    </row>
    <row r="8535" spans="2:5">
      <c r="B8535" s="1115">
        <v>45274</v>
      </c>
      <c r="C8535" s="242">
        <f t="shared" si="267"/>
        <v>12</v>
      </c>
      <c r="D8535" s="242" t="s">
        <v>1842</v>
      </c>
      <c r="E8535" s="845">
        <f t="shared" si="268"/>
        <v>7.7777777777777777</v>
      </c>
    </row>
    <row r="8536" spans="2:5">
      <c r="B8536" s="1115">
        <v>45274</v>
      </c>
      <c r="C8536" s="242">
        <f t="shared" si="267"/>
        <v>12</v>
      </c>
      <c r="D8536" s="242">
        <v>45.3</v>
      </c>
      <c r="E8536" s="845">
        <f t="shared" si="268"/>
        <v>7.3888888888888875</v>
      </c>
    </row>
    <row r="8537" spans="2:5">
      <c r="B8537" s="1115">
        <v>45274</v>
      </c>
      <c r="C8537" s="242">
        <f t="shared" si="267"/>
        <v>12</v>
      </c>
      <c r="D8537" s="242">
        <v>45.9</v>
      </c>
      <c r="E8537" s="845">
        <f t="shared" si="268"/>
        <v>7.7222222222222214</v>
      </c>
    </row>
    <row r="8538" spans="2:5">
      <c r="B8538" s="1115">
        <v>45274</v>
      </c>
      <c r="C8538" s="242">
        <f t="shared" si="267"/>
        <v>12</v>
      </c>
      <c r="D8538" s="242">
        <v>44.8</v>
      </c>
      <c r="E8538" s="845">
        <f t="shared" si="268"/>
        <v>7.1111111111111089</v>
      </c>
    </row>
    <row r="8539" spans="2:5">
      <c r="B8539" s="1115">
        <v>45274</v>
      </c>
      <c r="C8539" s="242">
        <f t="shared" si="267"/>
        <v>12</v>
      </c>
      <c r="D8539" s="242">
        <v>43.2</v>
      </c>
      <c r="E8539" s="845">
        <f t="shared" si="268"/>
        <v>6.2222222222222232</v>
      </c>
    </row>
    <row r="8540" spans="2:5">
      <c r="B8540" s="1115">
        <v>45274</v>
      </c>
      <c r="C8540" s="242">
        <f t="shared" si="267"/>
        <v>12</v>
      </c>
      <c r="D8540" s="242">
        <v>41.9</v>
      </c>
      <c r="E8540" s="845">
        <f t="shared" si="268"/>
        <v>5.4999999999999991</v>
      </c>
    </row>
    <row r="8541" spans="2:5">
      <c r="B8541" s="1115">
        <v>45274</v>
      </c>
      <c r="C8541" s="242">
        <f t="shared" si="267"/>
        <v>12</v>
      </c>
      <c r="D8541" s="242">
        <v>41.4</v>
      </c>
      <c r="E8541" s="845">
        <f t="shared" si="268"/>
        <v>5.2222222222222214</v>
      </c>
    </row>
    <row r="8542" spans="2:5">
      <c r="B8542" s="1115">
        <v>45274</v>
      </c>
      <c r="C8542" s="242">
        <f t="shared" si="267"/>
        <v>12</v>
      </c>
      <c r="D8542" s="242">
        <v>41.2</v>
      </c>
      <c r="E8542" s="845">
        <f t="shared" si="268"/>
        <v>5.1111111111111125</v>
      </c>
    </row>
    <row r="8543" spans="2:5">
      <c r="B8543" s="1115">
        <v>45274</v>
      </c>
      <c r="C8543" s="242">
        <f t="shared" si="267"/>
        <v>12</v>
      </c>
      <c r="D8543" s="242">
        <v>42.8</v>
      </c>
      <c r="E8543" s="845">
        <f t="shared" si="268"/>
        <v>5.9999999999999982</v>
      </c>
    </row>
    <row r="8544" spans="2:5">
      <c r="B8544" s="1115">
        <v>45274</v>
      </c>
      <c r="C8544" s="242">
        <f t="shared" si="267"/>
        <v>12</v>
      </c>
      <c r="D8544" s="242">
        <v>44.4</v>
      </c>
      <c r="E8544" s="845">
        <f t="shared" si="268"/>
        <v>6.8888888888888875</v>
      </c>
    </row>
    <row r="8545" spans="2:5">
      <c r="B8545" s="1115">
        <v>45274</v>
      </c>
      <c r="C8545" s="242">
        <f t="shared" si="267"/>
        <v>12</v>
      </c>
      <c r="D8545" s="242">
        <v>45.7</v>
      </c>
      <c r="E8545" s="845">
        <f t="shared" si="268"/>
        <v>7.6111111111111125</v>
      </c>
    </row>
    <row r="8546" spans="2:5">
      <c r="B8546" s="1115">
        <v>45274</v>
      </c>
      <c r="C8546" s="242">
        <f t="shared" si="267"/>
        <v>12</v>
      </c>
      <c r="D8546" s="242">
        <v>46.4</v>
      </c>
      <c r="E8546" s="845">
        <f t="shared" si="268"/>
        <v>7.9999999999999991</v>
      </c>
    </row>
    <row r="8547" spans="2:5">
      <c r="B8547" s="1115">
        <v>45274</v>
      </c>
      <c r="C8547" s="242">
        <f t="shared" si="267"/>
        <v>12</v>
      </c>
      <c r="D8547" s="242">
        <v>46.8</v>
      </c>
      <c r="E8547" s="845">
        <f t="shared" si="268"/>
        <v>8.2222222222222197</v>
      </c>
    </row>
    <row r="8548" spans="2:5">
      <c r="B8548" s="1115">
        <v>45274</v>
      </c>
      <c r="C8548" s="242">
        <f t="shared" si="267"/>
        <v>12</v>
      </c>
      <c r="D8548" s="242">
        <v>47.1</v>
      </c>
      <c r="E8548" s="845">
        <f t="shared" si="268"/>
        <v>8.3888888888888893</v>
      </c>
    </row>
    <row r="8549" spans="2:5">
      <c r="B8549" s="1115">
        <v>45274</v>
      </c>
      <c r="C8549" s="242">
        <f t="shared" si="267"/>
        <v>12</v>
      </c>
      <c r="D8549" s="242">
        <v>46.8</v>
      </c>
      <c r="E8549" s="845">
        <f t="shared" si="268"/>
        <v>8.2222222222222197</v>
      </c>
    </row>
    <row r="8550" spans="2:5">
      <c r="B8550" s="1115">
        <v>45274</v>
      </c>
      <c r="C8550" s="242">
        <f t="shared" si="267"/>
        <v>12</v>
      </c>
      <c r="D8550" s="242">
        <v>45.7</v>
      </c>
      <c r="E8550" s="845">
        <f t="shared" si="268"/>
        <v>7.6111111111111125</v>
      </c>
    </row>
    <row r="8551" spans="2:5">
      <c r="B8551" s="1115">
        <v>45274</v>
      </c>
      <c r="C8551" s="242">
        <f t="shared" si="267"/>
        <v>12</v>
      </c>
      <c r="D8551" s="242">
        <v>44.1</v>
      </c>
      <c r="E8551" s="845">
        <f t="shared" si="268"/>
        <v>6.7222222222222232</v>
      </c>
    </row>
    <row r="8552" spans="2:5">
      <c r="B8552" s="1115">
        <v>45274</v>
      </c>
      <c r="C8552" s="242">
        <f t="shared" si="267"/>
        <v>12</v>
      </c>
      <c r="D8552" s="242">
        <v>42.8</v>
      </c>
      <c r="E8552" s="845">
        <f t="shared" si="268"/>
        <v>5.9999999999999982</v>
      </c>
    </row>
    <row r="8553" spans="2:5">
      <c r="B8553" s="1115">
        <v>45275</v>
      </c>
      <c r="C8553" s="242">
        <f t="shared" si="267"/>
        <v>12</v>
      </c>
      <c r="D8553" s="242">
        <v>41.7</v>
      </c>
      <c r="E8553" s="845">
        <f t="shared" si="268"/>
        <v>5.3888888888888902</v>
      </c>
    </row>
    <row r="8554" spans="2:5">
      <c r="B8554" s="1115">
        <v>45275</v>
      </c>
      <c r="C8554" s="242">
        <f t="shared" si="267"/>
        <v>12</v>
      </c>
      <c r="D8554" s="242">
        <v>41.2</v>
      </c>
      <c r="E8554" s="845">
        <f t="shared" si="268"/>
        <v>5.1111111111111125</v>
      </c>
    </row>
    <row r="8555" spans="2:5">
      <c r="B8555" s="1115">
        <v>45275</v>
      </c>
      <c r="C8555" s="242">
        <f t="shared" si="267"/>
        <v>12</v>
      </c>
      <c r="D8555" s="242" t="s">
        <v>1837</v>
      </c>
      <c r="E8555" s="845">
        <f t="shared" si="268"/>
        <v>5</v>
      </c>
    </row>
    <row r="8556" spans="2:5">
      <c r="B8556" s="1115">
        <v>45275</v>
      </c>
      <c r="C8556" s="242">
        <f t="shared" si="267"/>
        <v>12</v>
      </c>
      <c r="D8556" s="242">
        <v>42.3</v>
      </c>
      <c r="E8556" s="845">
        <f t="shared" si="268"/>
        <v>5.7222222222222205</v>
      </c>
    </row>
    <row r="8557" spans="2:5">
      <c r="B8557" s="1115">
        <v>45275</v>
      </c>
      <c r="C8557" s="242">
        <f t="shared" si="267"/>
        <v>12</v>
      </c>
      <c r="D8557" s="242">
        <v>43.9</v>
      </c>
      <c r="E8557" s="845">
        <f t="shared" si="268"/>
        <v>6.6111111111111098</v>
      </c>
    </row>
    <row r="8558" spans="2:5">
      <c r="B8558" s="1115">
        <v>45275</v>
      </c>
      <c r="C8558" s="242">
        <f t="shared" si="267"/>
        <v>12</v>
      </c>
      <c r="D8558" s="242" t="s">
        <v>1836</v>
      </c>
      <c r="E8558" s="845">
        <f t="shared" si="268"/>
        <v>7.2222222222222223</v>
      </c>
    </row>
    <row r="8559" spans="2:5">
      <c r="B8559" s="1115">
        <v>45275</v>
      </c>
      <c r="C8559" s="242">
        <f t="shared" si="267"/>
        <v>12</v>
      </c>
      <c r="D8559" s="242">
        <v>46.2</v>
      </c>
      <c r="E8559" s="845">
        <f t="shared" si="268"/>
        <v>7.8888888888888902</v>
      </c>
    </row>
    <row r="8560" spans="2:5">
      <c r="B8560" s="1115">
        <v>45275</v>
      </c>
      <c r="C8560" s="242">
        <f t="shared" si="267"/>
        <v>12</v>
      </c>
      <c r="D8560" s="242">
        <v>46.2</v>
      </c>
      <c r="E8560" s="845">
        <f t="shared" si="268"/>
        <v>7.8888888888888902</v>
      </c>
    </row>
    <row r="8561" spans="2:5">
      <c r="B8561" s="1115">
        <v>45275</v>
      </c>
      <c r="C8561" s="242">
        <f t="shared" si="267"/>
        <v>12</v>
      </c>
      <c r="D8561" s="242" t="s">
        <v>1842</v>
      </c>
      <c r="E8561" s="845">
        <f t="shared" si="268"/>
        <v>7.7777777777777777</v>
      </c>
    </row>
    <row r="8562" spans="2:5">
      <c r="B8562" s="1115">
        <v>45275</v>
      </c>
      <c r="C8562" s="242">
        <f t="shared" si="267"/>
        <v>12</v>
      </c>
      <c r="D8562" s="242" t="s">
        <v>1842</v>
      </c>
      <c r="E8562" s="845">
        <f t="shared" si="268"/>
        <v>7.7777777777777777</v>
      </c>
    </row>
    <row r="8563" spans="2:5">
      <c r="B8563" s="1115">
        <v>45275</v>
      </c>
      <c r="C8563" s="242">
        <f t="shared" si="267"/>
        <v>12</v>
      </c>
      <c r="D8563" s="242">
        <v>45.1</v>
      </c>
      <c r="E8563" s="845">
        <f t="shared" si="268"/>
        <v>7.2777777777777786</v>
      </c>
    </row>
    <row r="8564" spans="2:5">
      <c r="B8564" s="1115">
        <v>45275</v>
      </c>
      <c r="C8564" s="242">
        <f t="shared" si="267"/>
        <v>12</v>
      </c>
      <c r="D8564" s="242">
        <v>43.2</v>
      </c>
      <c r="E8564" s="845">
        <f t="shared" si="268"/>
        <v>6.2222222222222232</v>
      </c>
    </row>
    <row r="8565" spans="2:5">
      <c r="B8565" s="1115">
        <v>45275</v>
      </c>
      <c r="C8565" s="242">
        <f t="shared" si="267"/>
        <v>12</v>
      </c>
      <c r="D8565" s="242">
        <v>42.1</v>
      </c>
      <c r="E8565" s="845">
        <f t="shared" si="268"/>
        <v>5.6111111111111116</v>
      </c>
    </row>
    <row r="8566" spans="2:5">
      <c r="B8566" s="1115">
        <v>45275</v>
      </c>
      <c r="C8566" s="242">
        <f t="shared" si="267"/>
        <v>12</v>
      </c>
      <c r="D8566" s="242">
        <v>41.4</v>
      </c>
      <c r="E8566" s="845">
        <f t="shared" si="268"/>
        <v>5.2222222222222214</v>
      </c>
    </row>
    <row r="8567" spans="2:5">
      <c r="B8567" s="1115">
        <v>45275</v>
      </c>
      <c r="C8567" s="242">
        <f t="shared" si="267"/>
        <v>12</v>
      </c>
      <c r="D8567" s="242">
        <v>42.1</v>
      </c>
      <c r="E8567" s="845">
        <f t="shared" si="268"/>
        <v>5.6111111111111116</v>
      </c>
    </row>
    <row r="8568" spans="2:5">
      <c r="B8568" s="1115">
        <v>45275</v>
      </c>
      <c r="C8568" s="242">
        <f t="shared" si="267"/>
        <v>12</v>
      </c>
      <c r="D8568" s="242">
        <v>43.2</v>
      </c>
      <c r="E8568" s="845">
        <f t="shared" si="268"/>
        <v>6.2222222222222232</v>
      </c>
    </row>
    <row r="8569" spans="2:5">
      <c r="B8569" s="1115">
        <v>45275</v>
      </c>
      <c r="C8569" s="242">
        <f t="shared" si="267"/>
        <v>12</v>
      </c>
      <c r="D8569" s="242">
        <v>45.3</v>
      </c>
      <c r="E8569" s="845">
        <f t="shared" si="268"/>
        <v>7.3888888888888875</v>
      </c>
    </row>
    <row r="8570" spans="2:5">
      <c r="B8570" s="1115">
        <v>45275</v>
      </c>
      <c r="C8570" s="242">
        <f t="shared" si="267"/>
        <v>12</v>
      </c>
      <c r="D8570" s="242">
        <v>46.2</v>
      </c>
      <c r="E8570" s="845">
        <f t="shared" si="268"/>
        <v>7.8888888888888902</v>
      </c>
    </row>
    <row r="8571" spans="2:5">
      <c r="B8571" s="1115">
        <v>45275</v>
      </c>
      <c r="C8571" s="242">
        <f t="shared" si="267"/>
        <v>12</v>
      </c>
      <c r="D8571" s="242">
        <v>47.1</v>
      </c>
      <c r="E8571" s="845">
        <f t="shared" si="268"/>
        <v>8.3888888888888893</v>
      </c>
    </row>
    <row r="8572" spans="2:5">
      <c r="B8572" s="1115">
        <v>45275</v>
      </c>
      <c r="C8572" s="242">
        <f t="shared" si="267"/>
        <v>12</v>
      </c>
      <c r="D8572" s="242">
        <v>47.5</v>
      </c>
      <c r="E8572" s="845">
        <f t="shared" si="268"/>
        <v>8.6111111111111107</v>
      </c>
    </row>
    <row r="8573" spans="2:5">
      <c r="B8573" s="1115">
        <v>45275</v>
      </c>
      <c r="C8573" s="242">
        <f t="shared" si="267"/>
        <v>12</v>
      </c>
      <c r="D8573" s="242">
        <v>47.5</v>
      </c>
      <c r="E8573" s="845">
        <f t="shared" si="268"/>
        <v>8.6111111111111107</v>
      </c>
    </row>
    <row r="8574" spans="2:5">
      <c r="B8574" s="1115">
        <v>45275</v>
      </c>
      <c r="C8574" s="242">
        <f t="shared" si="267"/>
        <v>12</v>
      </c>
      <c r="D8574" s="242">
        <v>47.1</v>
      </c>
      <c r="E8574" s="845">
        <f t="shared" si="268"/>
        <v>8.3888888888888893</v>
      </c>
    </row>
    <row r="8575" spans="2:5">
      <c r="B8575" s="1115">
        <v>45275</v>
      </c>
      <c r="C8575" s="242">
        <f t="shared" si="267"/>
        <v>12</v>
      </c>
      <c r="D8575" s="242" t="s">
        <v>1842</v>
      </c>
      <c r="E8575" s="845">
        <f t="shared" si="268"/>
        <v>7.7777777777777777</v>
      </c>
    </row>
    <row r="8576" spans="2:5">
      <c r="B8576" s="1115">
        <v>45275</v>
      </c>
      <c r="C8576" s="242">
        <f t="shared" si="267"/>
        <v>12</v>
      </c>
      <c r="D8576" s="242">
        <v>44.2</v>
      </c>
      <c r="E8576" s="845">
        <f t="shared" si="268"/>
        <v>6.7777777777777795</v>
      </c>
    </row>
    <row r="8577" spans="2:5">
      <c r="B8577" s="1115">
        <v>45276</v>
      </c>
      <c r="C8577" s="242">
        <f t="shared" si="267"/>
        <v>12</v>
      </c>
      <c r="D8577" s="242">
        <v>42.8</v>
      </c>
      <c r="E8577" s="845">
        <f t="shared" si="268"/>
        <v>5.9999999999999982</v>
      </c>
    </row>
    <row r="8578" spans="2:5">
      <c r="B8578" s="1115">
        <v>45276</v>
      </c>
      <c r="C8578" s="242">
        <f t="shared" si="267"/>
        <v>12</v>
      </c>
      <c r="D8578" s="242">
        <v>41.9</v>
      </c>
      <c r="E8578" s="845">
        <f t="shared" si="268"/>
        <v>5.4999999999999991</v>
      </c>
    </row>
    <row r="8579" spans="2:5">
      <c r="B8579" s="1115">
        <v>45276</v>
      </c>
      <c r="C8579" s="242">
        <f t="shared" si="267"/>
        <v>12</v>
      </c>
      <c r="D8579" s="242">
        <v>41.2</v>
      </c>
      <c r="E8579" s="845">
        <f t="shared" si="268"/>
        <v>5.1111111111111125</v>
      </c>
    </row>
    <row r="8580" spans="2:5">
      <c r="B8580" s="1115">
        <v>45276</v>
      </c>
      <c r="C8580" s="242">
        <f t="shared" si="267"/>
        <v>12</v>
      </c>
      <c r="D8580" s="242">
        <v>41.5</v>
      </c>
      <c r="E8580" s="845">
        <f t="shared" si="268"/>
        <v>5.2777777777777777</v>
      </c>
    </row>
    <row r="8581" spans="2:5">
      <c r="B8581" s="1115">
        <v>45276</v>
      </c>
      <c r="C8581" s="242">
        <f t="shared" si="267"/>
        <v>12</v>
      </c>
      <c r="D8581" s="242">
        <v>43.3</v>
      </c>
      <c r="E8581" s="845">
        <f t="shared" si="268"/>
        <v>6.2777777777777759</v>
      </c>
    </row>
    <row r="8582" spans="2:5">
      <c r="B8582" s="1115">
        <v>45276</v>
      </c>
      <c r="C8582" s="242">
        <f t="shared" si="267"/>
        <v>12</v>
      </c>
      <c r="D8582" s="242">
        <v>44.6</v>
      </c>
      <c r="E8582" s="845">
        <f t="shared" si="268"/>
        <v>7.0000000000000009</v>
      </c>
    </row>
    <row r="8583" spans="2:5">
      <c r="B8583" s="1115">
        <v>45276</v>
      </c>
      <c r="C8583" s="242">
        <f t="shared" si="267"/>
        <v>12</v>
      </c>
      <c r="D8583" s="242">
        <v>45.9</v>
      </c>
      <c r="E8583" s="845">
        <f t="shared" si="268"/>
        <v>7.7222222222222214</v>
      </c>
    </row>
    <row r="8584" spans="2:5">
      <c r="B8584" s="1115">
        <v>45276</v>
      </c>
      <c r="C8584" s="242">
        <f t="shared" si="267"/>
        <v>12</v>
      </c>
      <c r="D8584" s="242">
        <v>46.9</v>
      </c>
      <c r="E8584" s="845">
        <f t="shared" si="268"/>
        <v>8.2777777777777768</v>
      </c>
    </row>
    <row r="8585" spans="2:5">
      <c r="B8585" s="1115">
        <v>45276</v>
      </c>
      <c r="C8585" s="242">
        <f t="shared" si="267"/>
        <v>12</v>
      </c>
      <c r="D8585" s="242">
        <v>47.1</v>
      </c>
      <c r="E8585" s="845">
        <f t="shared" si="268"/>
        <v>8.3888888888888893</v>
      </c>
    </row>
    <row r="8586" spans="2:5">
      <c r="B8586" s="1115">
        <v>45276</v>
      </c>
      <c r="C8586" s="242">
        <f t="shared" ref="C8586:C8649" si="269">MONTH(B8586)</f>
        <v>12</v>
      </c>
      <c r="D8586" s="242">
        <v>46.8</v>
      </c>
      <c r="E8586" s="845">
        <f t="shared" ref="E8586:E8649" si="270">CONVERT(D8586,"F","C")</f>
        <v>8.2222222222222197</v>
      </c>
    </row>
    <row r="8587" spans="2:5">
      <c r="B8587" s="1115">
        <v>45276</v>
      </c>
      <c r="C8587" s="242">
        <f t="shared" si="269"/>
        <v>12</v>
      </c>
      <c r="D8587" s="242">
        <v>46.4</v>
      </c>
      <c r="E8587" s="845">
        <f t="shared" si="270"/>
        <v>7.9999999999999991</v>
      </c>
    </row>
    <row r="8588" spans="2:5">
      <c r="B8588" s="1115">
        <v>45276</v>
      </c>
      <c r="C8588" s="242">
        <f t="shared" si="269"/>
        <v>12</v>
      </c>
      <c r="D8588" s="242">
        <v>45.1</v>
      </c>
      <c r="E8588" s="845">
        <f t="shared" si="270"/>
        <v>7.2777777777777786</v>
      </c>
    </row>
    <row r="8589" spans="2:5">
      <c r="B8589" s="1115">
        <v>45276</v>
      </c>
      <c r="C8589" s="242">
        <f t="shared" si="269"/>
        <v>12</v>
      </c>
      <c r="D8589" s="242">
        <v>43.3</v>
      </c>
      <c r="E8589" s="845">
        <f t="shared" si="270"/>
        <v>6.2777777777777759</v>
      </c>
    </row>
    <row r="8590" spans="2:5">
      <c r="B8590" s="1115">
        <v>45276</v>
      </c>
      <c r="C8590" s="242">
        <f t="shared" si="269"/>
        <v>12</v>
      </c>
      <c r="D8590" s="242">
        <v>42.3</v>
      </c>
      <c r="E8590" s="845">
        <f t="shared" si="270"/>
        <v>5.7222222222222205</v>
      </c>
    </row>
    <row r="8591" spans="2:5">
      <c r="B8591" s="1115">
        <v>45276</v>
      </c>
      <c r="C8591" s="242">
        <f t="shared" si="269"/>
        <v>12</v>
      </c>
      <c r="D8591" s="242">
        <v>41.7</v>
      </c>
      <c r="E8591" s="845">
        <f t="shared" si="270"/>
        <v>5.3888888888888902</v>
      </c>
    </row>
    <row r="8592" spans="2:5">
      <c r="B8592" s="1115">
        <v>45276</v>
      </c>
      <c r="C8592" s="242">
        <f t="shared" si="269"/>
        <v>12</v>
      </c>
      <c r="D8592" s="242">
        <v>42.4</v>
      </c>
      <c r="E8592" s="845">
        <f t="shared" si="270"/>
        <v>5.7777777777777768</v>
      </c>
    </row>
    <row r="8593" spans="2:5">
      <c r="B8593" s="1115">
        <v>45276</v>
      </c>
      <c r="C8593" s="242">
        <f t="shared" si="269"/>
        <v>12</v>
      </c>
      <c r="D8593" s="242">
        <v>44.2</v>
      </c>
      <c r="E8593" s="845">
        <f t="shared" si="270"/>
        <v>6.7777777777777795</v>
      </c>
    </row>
    <row r="8594" spans="2:5">
      <c r="B8594" s="1115">
        <v>45276</v>
      </c>
      <c r="C8594" s="242">
        <f t="shared" si="269"/>
        <v>12</v>
      </c>
      <c r="D8594" s="242">
        <v>45.5</v>
      </c>
      <c r="E8594" s="845">
        <f t="shared" si="270"/>
        <v>7.5</v>
      </c>
    </row>
    <row r="8595" spans="2:5">
      <c r="B8595" s="1115">
        <v>45276</v>
      </c>
      <c r="C8595" s="242">
        <f t="shared" si="269"/>
        <v>12</v>
      </c>
      <c r="D8595" s="242">
        <v>46.8</v>
      </c>
      <c r="E8595" s="845">
        <f t="shared" si="270"/>
        <v>8.2222222222222197</v>
      </c>
    </row>
    <row r="8596" spans="2:5">
      <c r="B8596" s="1115">
        <v>45276</v>
      </c>
      <c r="C8596" s="242">
        <f t="shared" si="269"/>
        <v>12</v>
      </c>
      <c r="D8596" s="242">
        <v>47.3</v>
      </c>
      <c r="E8596" s="845">
        <f t="shared" si="270"/>
        <v>8.4999999999999982</v>
      </c>
    </row>
    <row r="8597" spans="2:5">
      <c r="B8597" s="1115">
        <v>45276</v>
      </c>
      <c r="C8597" s="242">
        <f t="shared" si="269"/>
        <v>12</v>
      </c>
      <c r="D8597" s="242">
        <v>47.5</v>
      </c>
      <c r="E8597" s="845">
        <f t="shared" si="270"/>
        <v>8.6111111111111107</v>
      </c>
    </row>
    <row r="8598" spans="2:5">
      <c r="B8598" s="1115">
        <v>45276</v>
      </c>
      <c r="C8598" s="242">
        <f t="shared" si="269"/>
        <v>12</v>
      </c>
      <c r="D8598" s="242">
        <v>47.3</v>
      </c>
      <c r="E8598" s="845">
        <f t="shared" si="270"/>
        <v>8.4999999999999982</v>
      </c>
    </row>
    <row r="8599" spans="2:5">
      <c r="B8599" s="1115">
        <v>45276</v>
      </c>
      <c r="C8599" s="242">
        <f t="shared" si="269"/>
        <v>12</v>
      </c>
      <c r="D8599" s="242">
        <v>46.9</v>
      </c>
      <c r="E8599" s="845">
        <f t="shared" si="270"/>
        <v>8.2777777777777768</v>
      </c>
    </row>
    <row r="8600" spans="2:5">
      <c r="B8600" s="1115">
        <v>45276</v>
      </c>
      <c r="C8600" s="242">
        <f t="shared" si="269"/>
        <v>12</v>
      </c>
      <c r="D8600" s="242">
        <v>46.2</v>
      </c>
      <c r="E8600" s="845">
        <f t="shared" si="270"/>
        <v>7.8888888888888902</v>
      </c>
    </row>
    <row r="8601" spans="2:5">
      <c r="B8601" s="1115">
        <v>45277</v>
      </c>
      <c r="C8601" s="242">
        <f t="shared" si="269"/>
        <v>12</v>
      </c>
      <c r="D8601" s="242">
        <v>44.6</v>
      </c>
      <c r="E8601" s="845">
        <f t="shared" si="270"/>
        <v>7.0000000000000009</v>
      </c>
    </row>
    <row r="8602" spans="2:5">
      <c r="B8602" s="1115">
        <v>45277</v>
      </c>
      <c r="C8602" s="242">
        <f t="shared" si="269"/>
        <v>12</v>
      </c>
      <c r="D8602" s="242">
        <v>43.5</v>
      </c>
      <c r="E8602" s="845">
        <f t="shared" si="270"/>
        <v>6.3888888888888884</v>
      </c>
    </row>
    <row r="8603" spans="2:5">
      <c r="B8603" s="1115">
        <v>45277</v>
      </c>
      <c r="C8603" s="242">
        <f t="shared" si="269"/>
        <v>12</v>
      </c>
      <c r="D8603" s="242">
        <v>42.4</v>
      </c>
      <c r="E8603" s="845">
        <f t="shared" si="270"/>
        <v>5.7777777777777768</v>
      </c>
    </row>
    <row r="8604" spans="2:5">
      <c r="B8604" s="1115">
        <v>45277</v>
      </c>
      <c r="C8604" s="242">
        <f t="shared" si="269"/>
        <v>12</v>
      </c>
      <c r="D8604" s="242">
        <v>42.1</v>
      </c>
      <c r="E8604" s="845">
        <f t="shared" si="270"/>
        <v>5.6111111111111116</v>
      </c>
    </row>
    <row r="8605" spans="2:5">
      <c r="B8605" s="1115">
        <v>45277</v>
      </c>
      <c r="C8605" s="242">
        <f t="shared" si="269"/>
        <v>12</v>
      </c>
      <c r="D8605" s="242">
        <v>42.6</v>
      </c>
      <c r="E8605" s="845">
        <f t="shared" si="270"/>
        <v>5.8888888888888893</v>
      </c>
    </row>
    <row r="8606" spans="2:5">
      <c r="B8606" s="1115">
        <v>45277</v>
      </c>
      <c r="C8606" s="242">
        <f t="shared" si="269"/>
        <v>12</v>
      </c>
      <c r="D8606" s="242">
        <v>44.4</v>
      </c>
      <c r="E8606" s="845">
        <f t="shared" si="270"/>
        <v>6.8888888888888875</v>
      </c>
    </row>
    <row r="8607" spans="2:5">
      <c r="B8607" s="1115">
        <v>45277</v>
      </c>
      <c r="C8607" s="242">
        <f t="shared" si="269"/>
        <v>12</v>
      </c>
      <c r="D8607" s="242">
        <v>45.5</v>
      </c>
      <c r="E8607" s="845">
        <f t="shared" si="270"/>
        <v>7.5</v>
      </c>
    </row>
    <row r="8608" spans="2:5">
      <c r="B8608" s="1115">
        <v>45277</v>
      </c>
      <c r="C8608" s="242">
        <f t="shared" si="269"/>
        <v>12</v>
      </c>
      <c r="D8608" s="242">
        <v>46.2</v>
      </c>
      <c r="E8608" s="845">
        <f t="shared" si="270"/>
        <v>7.8888888888888902</v>
      </c>
    </row>
    <row r="8609" spans="2:5">
      <c r="B8609" s="1115">
        <v>45277</v>
      </c>
      <c r="C8609" s="242">
        <f t="shared" si="269"/>
        <v>12</v>
      </c>
      <c r="D8609" s="242">
        <v>46.6</v>
      </c>
      <c r="E8609" s="845">
        <f t="shared" si="270"/>
        <v>8.1111111111111125</v>
      </c>
    </row>
    <row r="8610" spans="2:5">
      <c r="B8610" s="1115">
        <v>45277</v>
      </c>
      <c r="C8610" s="242">
        <f t="shared" si="269"/>
        <v>12</v>
      </c>
      <c r="D8610" s="242">
        <v>46.9</v>
      </c>
      <c r="E8610" s="845">
        <f t="shared" si="270"/>
        <v>8.2777777777777768</v>
      </c>
    </row>
    <row r="8611" spans="2:5">
      <c r="B8611" s="1115">
        <v>45277</v>
      </c>
      <c r="C8611" s="242">
        <f t="shared" si="269"/>
        <v>12</v>
      </c>
      <c r="D8611" s="242">
        <v>46.6</v>
      </c>
      <c r="E8611" s="845">
        <f t="shared" si="270"/>
        <v>8.1111111111111125</v>
      </c>
    </row>
    <row r="8612" spans="2:5">
      <c r="B8612" s="1115">
        <v>45277</v>
      </c>
      <c r="C8612" s="242">
        <f t="shared" si="269"/>
        <v>12</v>
      </c>
      <c r="D8612" s="242">
        <v>46.2</v>
      </c>
      <c r="E8612" s="845">
        <f t="shared" si="270"/>
        <v>7.8888888888888902</v>
      </c>
    </row>
    <row r="8613" spans="2:5">
      <c r="B8613" s="1115">
        <v>45277</v>
      </c>
      <c r="C8613" s="242">
        <f t="shared" si="269"/>
        <v>12</v>
      </c>
      <c r="D8613" s="242">
        <v>45.1</v>
      </c>
      <c r="E8613" s="845">
        <f t="shared" si="270"/>
        <v>7.2777777777777786</v>
      </c>
    </row>
    <row r="8614" spans="2:5">
      <c r="B8614" s="1115">
        <v>45277</v>
      </c>
      <c r="C8614" s="242">
        <f t="shared" si="269"/>
        <v>12</v>
      </c>
      <c r="D8614" s="242">
        <v>43.7</v>
      </c>
      <c r="E8614" s="845">
        <f t="shared" si="270"/>
        <v>6.5000000000000018</v>
      </c>
    </row>
    <row r="8615" spans="2:5">
      <c r="B8615" s="1115">
        <v>45277</v>
      </c>
      <c r="C8615" s="242">
        <f t="shared" si="269"/>
        <v>12</v>
      </c>
      <c r="D8615" s="242">
        <v>42.8</v>
      </c>
      <c r="E8615" s="845">
        <f t="shared" si="270"/>
        <v>5.9999999999999982</v>
      </c>
    </row>
    <row r="8616" spans="2:5">
      <c r="B8616" s="1115">
        <v>45277</v>
      </c>
      <c r="C8616" s="242">
        <f t="shared" si="269"/>
        <v>12</v>
      </c>
      <c r="D8616" s="242">
        <v>42.4</v>
      </c>
      <c r="E8616" s="845">
        <f t="shared" si="270"/>
        <v>5.7777777777777768</v>
      </c>
    </row>
    <row r="8617" spans="2:5">
      <c r="B8617" s="1115">
        <v>45277</v>
      </c>
      <c r="C8617" s="242">
        <f t="shared" si="269"/>
        <v>12</v>
      </c>
      <c r="D8617" s="242" t="s">
        <v>1838</v>
      </c>
      <c r="E8617" s="845">
        <f t="shared" si="270"/>
        <v>6.1111111111111107</v>
      </c>
    </row>
    <row r="8618" spans="2:5">
      <c r="B8618" s="1115">
        <v>45277</v>
      </c>
      <c r="C8618" s="242">
        <f t="shared" si="269"/>
        <v>12</v>
      </c>
      <c r="D8618" s="242">
        <v>44.4</v>
      </c>
      <c r="E8618" s="845">
        <f t="shared" si="270"/>
        <v>6.8888888888888875</v>
      </c>
    </row>
    <row r="8619" spans="2:5">
      <c r="B8619" s="1115">
        <v>45277</v>
      </c>
      <c r="C8619" s="242">
        <f t="shared" si="269"/>
        <v>12</v>
      </c>
      <c r="D8619" s="242">
        <v>45.3</v>
      </c>
      <c r="E8619" s="845">
        <f t="shared" si="270"/>
        <v>7.3888888888888875</v>
      </c>
    </row>
    <row r="8620" spans="2:5">
      <c r="B8620" s="1115">
        <v>45277</v>
      </c>
      <c r="C8620" s="242">
        <f t="shared" si="269"/>
        <v>12</v>
      </c>
      <c r="D8620" s="242">
        <v>46.6</v>
      </c>
      <c r="E8620" s="845">
        <f t="shared" si="270"/>
        <v>8.1111111111111125</v>
      </c>
    </row>
    <row r="8621" spans="2:5">
      <c r="B8621" s="1115">
        <v>45277</v>
      </c>
      <c r="C8621" s="242">
        <f t="shared" si="269"/>
        <v>12</v>
      </c>
      <c r="D8621" s="242">
        <v>46.9</v>
      </c>
      <c r="E8621" s="845">
        <f t="shared" si="270"/>
        <v>8.2777777777777768</v>
      </c>
    </row>
    <row r="8622" spans="2:5">
      <c r="B8622" s="1115">
        <v>45277</v>
      </c>
      <c r="C8622" s="242">
        <f t="shared" si="269"/>
        <v>12</v>
      </c>
      <c r="D8622" s="242">
        <v>46.9</v>
      </c>
      <c r="E8622" s="845">
        <f t="shared" si="270"/>
        <v>8.2777777777777768</v>
      </c>
    </row>
    <row r="8623" spans="2:5">
      <c r="B8623" s="1115">
        <v>45277</v>
      </c>
      <c r="C8623" s="242">
        <f t="shared" si="269"/>
        <v>12</v>
      </c>
      <c r="D8623" s="242">
        <v>46.8</v>
      </c>
      <c r="E8623" s="845">
        <f t="shared" si="270"/>
        <v>8.2222222222222197</v>
      </c>
    </row>
    <row r="8624" spans="2:5">
      <c r="B8624" s="1115">
        <v>45277</v>
      </c>
      <c r="C8624" s="242">
        <f t="shared" si="269"/>
        <v>12</v>
      </c>
      <c r="D8624" s="242">
        <v>46.6</v>
      </c>
      <c r="E8624" s="845">
        <f t="shared" si="270"/>
        <v>8.1111111111111125</v>
      </c>
    </row>
    <row r="8625" spans="2:5">
      <c r="B8625" s="1115">
        <v>45278</v>
      </c>
      <c r="C8625" s="242">
        <f t="shared" si="269"/>
        <v>12</v>
      </c>
      <c r="D8625" s="242">
        <v>45.9</v>
      </c>
      <c r="E8625" s="845">
        <f t="shared" si="270"/>
        <v>7.7222222222222214</v>
      </c>
    </row>
    <row r="8626" spans="2:5">
      <c r="B8626" s="1115">
        <v>45278</v>
      </c>
      <c r="C8626" s="242">
        <f t="shared" si="269"/>
        <v>12</v>
      </c>
      <c r="D8626" s="242">
        <v>44.4</v>
      </c>
      <c r="E8626" s="845">
        <f t="shared" si="270"/>
        <v>6.8888888888888875</v>
      </c>
    </row>
    <row r="8627" spans="2:5">
      <c r="B8627" s="1115">
        <v>45278</v>
      </c>
      <c r="C8627" s="242">
        <f t="shared" si="269"/>
        <v>12</v>
      </c>
      <c r="D8627" s="242">
        <v>43.5</v>
      </c>
      <c r="E8627" s="845">
        <f t="shared" si="270"/>
        <v>6.3888888888888884</v>
      </c>
    </row>
    <row r="8628" spans="2:5">
      <c r="B8628" s="1115">
        <v>45278</v>
      </c>
      <c r="C8628" s="242">
        <f t="shared" si="269"/>
        <v>12</v>
      </c>
      <c r="D8628" s="242">
        <v>42.8</v>
      </c>
      <c r="E8628" s="845">
        <f t="shared" si="270"/>
        <v>5.9999999999999982</v>
      </c>
    </row>
    <row r="8629" spans="2:5">
      <c r="B8629" s="1115">
        <v>45278</v>
      </c>
      <c r="C8629" s="242">
        <f t="shared" si="269"/>
        <v>12</v>
      </c>
      <c r="D8629" s="242">
        <v>42.4</v>
      </c>
      <c r="E8629" s="845">
        <f t="shared" si="270"/>
        <v>5.7777777777777768</v>
      </c>
    </row>
    <row r="8630" spans="2:5">
      <c r="B8630" s="1115">
        <v>45278</v>
      </c>
      <c r="C8630" s="242">
        <f t="shared" si="269"/>
        <v>12</v>
      </c>
      <c r="D8630" s="242" t="s">
        <v>1838</v>
      </c>
      <c r="E8630" s="845">
        <f t="shared" si="270"/>
        <v>6.1111111111111107</v>
      </c>
    </row>
    <row r="8631" spans="2:5">
      <c r="B8631" s="1115">
        <v>45278</v>
      </c>
      <c r="C8631" s="242">
        <f t="shared" si="269"/>
        <v>12</v>
      </c>
      <c r="D8631" s="242">
        <v>44.4</v>
      </c>
      <c r="E8631" s="845">
        <f t="shared" si="270"/>
        <v>6.8888888888888875</v>
      </c>
    </row>
    <row r="8632" spans="2:5">
      <c r="B8632" s="1115">
        <v>45278</v>
      </c>
      <c r="C8632" s="242">
        <f t="shared" si="269"/>
        <v>12</v>
      </c>
      <c r="D8632" s="242">
        <v>45.3</v>
      </c>
      <c r="E8632" s="845">
        <f t="shared" si="270"/>
        <v>7.3888888888888875</v>
      </c>
    </row>
    <row r="8633" spans="2:5">
      <c r="B8633" s="1115">
        <v>45278</v>
      </c>
      <c r="C8633" s="242">
        <f t="shared" si="269"/>
        <v>12</v>
      </c>
      <c r="D8633" s="242">
        <v>46.6</v>
      </c>
      <c r="E8633" s="845">
        <f t="shared" si="270"/>
        <v>8.1111111111111125</v>
      </c>
    </row>
    <row r="8634" spans="2:5">
      <c r="B8634" s="1115">
        <v>45278</v>
      </c>
      <c r="C8634" s="242">
        <f t="shared" si="269"/>
        <v>12</v>
      </c>
      <c r="D8634" s="242">
        <v>46.8</v>
      </c>
      <c r="E8634" s="845">
        <f t="shared" si="270"/>
        <v>8.2222222222222197</v>
      </c>
    </row>
    <row r="8635" spans="2:5">
      <c r="B8635" s="1115">
        <v>45278</v>
      </c>
      <c r="C8635" s="242">
        <f t="shared" si="269"/>
        <v>12</v>
      </c>
      <c r="D8635" s="242">
        <v>47.1</v>
      </c>
      <c r="E8635" s="845">
        <f t="shared" si="270"/>
        <v>8.3888888888888893</v>
      </c>
    </row>
    <row r="8636" spans="2:5">
      <c r="B8636" s="1115">
        <v>45278</v>
      </c>
      <c r="C8636" s="242">
        <f t="shared" si="269"/>
        <v>12</v>
      </c>
      <c r="D8636" s="242">
        <v>47.1</v>
      </c>
      <c r="E8636" s="845">
        <f t="shared" si="270"/>
        <v>8.3888888888888893</v>
      </c>
    </row>
    <row r="8637" spans="2:5">
      <c r="B8637" s="1115">
        <v>45278</v>
      </c>
      <c r="C8637" s="242">
        <f t="shared" si="269"/>
        <v>12</v>
      </c>
      <c r="D8637" s="242">
        <v>46.8</v>
      </c>
      <c r="E8637" s="845">
        <f t="shared" si="270"/>
        <v>8.2222222222222197</v>
      </c>
    </row>
    <row r="8638" spans="2:5">
      <c r="B8638" s="1115">
        <v>45278</v>
      </c>
      <c r="C8638" s="242">
        <f t="shared" si="269"/>
        <v>12</v>
      </c>
      <c r="D8638" s="242">
        <v>46.2</v>
      </c>
      <c r="E8638" s="845">
        <f t="shared" si="270"/>
        <v>7.8888888888888902</v>
      </c>
    </row>
    <row r="8639" spans="2:5">
      <c r="B8639" s="1115">
        <v>45278</v>
      </c>
      <c r="C8639" s="242">
        <f t="shared" si="269"/>
        <v>12</v>
      </c>
      <c r="D8639" s="242">
        <v>45.1</v>
      </c>
      <c r="E8639" s="845">
        <f t="shared" si="270"/>
        <v>7.2777777777777786</v>
      </c>
    </row>
    <row r="8640" spans="2:5">
      <c r="B8640" s="1115">
        <v>45278</v>
      </c>
      <c r="C8640" s="242">
        <f t="shared" si="269"/>
        <v>12</v>
      </c>
      <c r="D8640" s="242">
        <v>44.4</v>
      </c>
      <c r="E8640" s="845">
        <f t="shared" si="270"/>
        <v>6.8888888888888875</v>
      </c>
    </row>
    <row r="8641" spans="2:5">
      <c r="B8641" s="1115">
        <v>45278</v>
      </c>
      <c r="C8641" s="242">
        <f t="shared" si="269"/>
        <v>12</v>
      </c>
      <c r="D8641" s="242">
        <v>44.1</v>
      </c>
      <c r="E8641" s="845">
        <f t="shared" si="270"/>
        <v>6.7222222222222232</v>
      </c>
    </row>
    <row r="8642" spans="2:5">
      <c r="B8642" s="1115">
        <v>45278</v>
      </c>
      <c r="C8642" s="242">
        <f t="shared" si="269"/>
        <v>12</v>
      </c>
      <c r="D8642" s="242">
        <v>44.6</v>
      </c>
      <c r="E8642" s="845">
        <f t="shared" si="270"/>
        <v>7.0000000000000009</v>
      </c>
    </row>
    <row r="8643" spans="2:5">
      <c r="B8643" s="1115">
        <v>45278</v>
      </c>
      <c r="C8643" s="242">
        <f t="shared" si="269"/>
        <v>12</v>
      </c>
      <c r="D8643" s="242">
        <v>45.7</v>
      </c>
      <c r="E8643" s="845">
        <f t="shared" si="270"/>
        <v>7.6111111111111125</v>
      </c>
    </row>
    <row r="8644" spans="2:5">
      <c r="B8644" s="1115">
        <v>45278</v>
      </c>
      <c r="C8644" s="242">
        <f t="shared" si="269"/>
        <v>12</v>
      </c>
      <c r="D8644" s="242">
        <v>46.4</v>
      </c>
      <c r="E8644" s="845">
        <f t="shared" si="270"/>
        <v>7.9999999999999991</v>
      </c>
    </row>
    <row r="8645" spans="2:5">
      <c r="B8645" s="1115">
        <v>45278</v>
      </c>
      <c r="C8645" s="242">
        <f t="shared" si="269"/>
        <v>12</v>
      </c>
      <c r="D8645" s="242">
        <v>46.9</v>
      </c>
      <c r="E8645" s="845">
        <f t="shared" si="270"/>
        <v>8.2777777777777768</v>
      </c>
    </row>
    <row r="8646" spans="2:5">
      <c r="B8646" s="1115">
        <v>45278</v>
      </c>
      <c r="C8646" s="242">
        <f t="shared" si="269"/>
        <v>12</v>
      </c>
      <c r="D8646" s="242">
        <v>47.1</v>
      </c>
      <c r="E8646" s="845">
        <f t="shared" si="270"/>
        <v>8.3888888888888893</v>
      </c>
    </row>
    <row r="8647" spans="2:5">
      <c r="B8647" s="1115">
        <v>45278</v>
      </c>
      <c r="C8647" s="242">
        <f t="shared" si="269"/>
        <v>12</v>
      </c>
      <c r="D8647" s="242">
        <v>47.1</v>
      </c>
      <c r="E8647" s="845">
        <f t="shared" si="270"/>
        <v>8.3888888888888893</v>
      </c>
    </row>
    <row r="8648" spans="2:5">
      <c r="B8648" s="1115">
        <v>45278</v>
      </c>
      <c r="C8648" s="242">
        <f t="shared" si="269"/>
        <v>12</v>
      </c>
      <c r="D8648" s="242">
        <v>47.1</v>
      </c>
      <c r="E8648" s="845">
        <f t="shared" si="270"/>
        <v>8.3888888888888893</v>
      </c>
    </row>
    <row r="8649" spans="2:5">
      <c r="B8649" s="1115">
        <v>45279</v>
      </c>
      <c r="C8649" s="242">
        <f t="shared" si="269"/>
        <v>12</v>
      </c>
      <c r="D8649" s="242">
        <v>46.9</v>
      </c>
      <c r="E8649" s="845">
        <f t="shared" si="270"/>
        <v>8.2777777777777768</v>
      </c>
    </row>
    <row r="8650" spans="2:5">
      <c r="B8650" s="1115">
        <v>45279</v>
      </c>
      <c r="C8650" s="242">
        <f t="shared" ref="C8650:C8713" si="271">MONTH(B8650)</f>
        <v>12</v>
      </c>
      <c r="D8650" s="242">
        <v>46.4</v>
      </c>
      <c r="E8650" s="845">
        <f t="shared" ref="E8650:E8713" si="272">CONVERT(D8650,"F","C")</f>
        <v>7.9999999999999991</v>
      </c>
    </row>
    <row r="8651" spans="2:5">
      <c r="B8651" s="1115">
        <v>45279</v>
      </c>
      <c r="C8651" s="242">
        <f t="shared" si="271"/>
        <v>12</v>
      </c>
      <c r="D8651" s="242">
        <v>45.3</v>
      </c>
      <c r="E8651" s="845">
        <f t="shared" si="272"/>
        <v>7.3888888888888875</v>
      </c>
    </row>
    <row r="8652" spans="2:5">
      <c r="B8652" s="1115">
        <v>45279</v>
      </c>
      <c r="C8652" s="242">
        <f t="shared" si="271"/>
        <v>12</v>
      </c>
      <c r="D8652" s="242">
        <v>44.8</v>
      </c>
      <c r="E8652" s="845">
        <f t="shared" si="272"/>
        <v>7.1111111111111089</v>
      </c>
    </row>
    <row r="8653" spans="2:5">
      <c r="B8653" s="1115">
        <v>45279</v>
      </c>
      <c r="C8653" s="242">
        <f t="shared" si="271"/>
        <v>12</v>
      </c>
      <c r="D8653" s="242">
        <v>44.2</v>
      </c>
      <c r="E8653" s="845">
        <f t="shared" si="272"/>
        <v>6.7777777777777795</v>
      </c>
    </row>
    <row r="8654" spans="2:5">
      <c r="B8654" s="1115">
        <v>45279</v>
      </c>
      <c r="C8654" s="242">
        <f t="shared" si="271"/>
        <v>12</v>
      </c>
      <c r="D8654" s="242">
        <v>44.1</v>
      </c>
      <c r="E8654" s="845">
        <f t="shared" si="272"/>
        <v>6.7222222222222232</v>
      </c>
    </row>
    <row r="8655" spans="2:5">
      <c r="B8655" s="1115">
        <v>45279</v>
      </c>
      <c r="C8655" s="242">
        <f t="shared" si="271"/>
        <v>12</v>
      </c>
      <c r="D8655" s="242">
        <v>44.1</v>
      </c>
      <c r="E8655" s="845">
        <f t="shared" si="272"/>
        <v>6.7222222222222232</v>
      </c>
    </row>
    <row r="8656" spans="2:5">
      <c r="B8656" s="1115">
        <v>45279</v>
      </c>
      <c r="C8656" s="242">
        <f t="shared" si="271"/>
        <v>12</v>
      </c>
      <c r="D8656" s="242" t="s">
        <v>1836</v>
      </c>
      <c r="E8656" s="845">
        <f t="shared" si="272"/>
        <v>7.2222222222222223</v>
      </c>
    </row>
    <row r="8657" spans="2:5">
      <c r="B8657" s="1115">
        <v>45279</v>
      </c>
      <c r="C8657" s="242">
        <f t="shared" si="271"/>
        <v>12</v>
      </c>
      <c r="D8657" s="242">
        <v>46.2</v>
      </c>
      <c r="E8657" s="845">
        <f t="shared" si="272"/>
        <v>7.8888888888888902</v>
      </c>
    </row>
    <row r="8658" spans="2:5">
      <c r="B8658" s="1115">
        <v>45279</v>
      </c>
      <c r="C8658" s="242">
        <f t="shared" si="271"/>
        <v>12</v>
      </c>
      <c r="D8658" s="242">
        <v>46.6</v>
      </c>
      <c r="E8658" s="845">
        <f t="shared" si="272"/>
        <v>8.1111111111111125</v>
      </c>
    </row>
    <row r="8659" spans="2:5">
      <c r="B8659" s="1115">
        <v>45279</v>
      </c>
      <c r="C8659" s="242">
        <f t="shared" si="271"/>
        <v>12</v>
      </c>
      <c r="D8659" s="242">
        <v>46.9</v>
      </c>
      <c r="E8659" s="845">
        <f t="shared" si="272"/>
        <v>8.2777777777777768</v>
      </c>
    </row>
    <row r="8660" spans="2:5">
      <c r="B8660" s="1115">
        <v>45279</v>
      </c>
      <c r="C8660" s="242">
        <f t="shared" si="271"/>
        <v>12</v>
      </c>
      <c r="D8660" s="242">
        <v>47.1</v>
      </c>
      <c r="E8660" s="845">
        <f t="shared" si="272"/>
        <v>8.3888888888888893</v>
      </c>
    </row>
    <row r="8661" spans="2:5">
      <c r="B8661" s="1115">
        <v>45279</v>
      </c>
      <c r="C8661" s="242">
        <f t="shared" si="271"/>
        <v>12</v>
      </c>
      <c r="D8661" s="242">
        <v>46.6</v>
      </c>
      <c r="E8661" s="845">
        <f t="shared" si="272"/>
        <v>8.1111111111111125</v>
      </c>
    </row>
    <row r="8662" spans="2:5">
      <c r="B8662" s="1115">
        <v>45279</v>
      </c>
      <c r="C8662" s="242">
        <f t="shared" si="271"/>
        <v>12</v>
      </c>
      <c r="D8662" s="242">
        <v>46.2</v>
      </c>
      <c r="E8662" s="845">
        <f t="shared" si="272"/>
        <v>7.8888888888888902</v>
      </c>
    </row>
    <row r="8663" spans="2:5">
      <c r="B8663" s="1115">
        <v>45279</v>
      </c>
      <c r="C8663" s="242">
        <f t="shared" si="271"/>
        <v>12</v>
      </c>
      <c r="D8663" s="242">
        <v>45.1</v>
      </c>
      <c r="E8663" s="845">
        <f t="shared" si="272"/>
        <v>7.2777777777777786</v>
      </c>
    </row>
    <row r="8664" spans="2:5">
      <c r="B8664" s="1115">
        <v>45279</v>
      </c>
      <c r="C8664" s="242">
        <f t="shared" si="271"/>
        <v>12</v>
      </c>
      <c r="D8664" s="242">
        <v>44.6</v>
      </c>
      <c r="E8664" s="845">
        <f t="shared" si="272"/>
        <v>7.0000000000000009</v>
      </c>
    </row>
    <row r="8665" spans="2:5">
      <c r="B8665" s="1115">
        <v>45279</v>
      </c>
      <c r="C8665" s="242">
        <f t="shared" si="271"/>
        <v>12</v>
      </c>
      <c r="D8665" s="242">
        <v>44.2</v>
      </c>
      <c r="E8665" s="845">
        <f t="shared" si="272"/>
        <v>6.7777777777777795</v>
      </c>
    </row>
    <row r="8666" spans="2:5">
      <c r="B8666" s="1115">
        <v>45279</v>
      </c>
      <c r="C8666" s="242">
        <f t="shared" si="271"/>
        <v>12</v>
      </c>
      <c r="D8666" s="242">
        <v>44.1</v>
      </c>
      <c r="E8666" s="845">
        <f t="shared" si="272"/>
        <v>6.7222222222222232</v>
      </c>
    </row>
    <row r="8667" spans="2:5">
      <c r="B8667" s="1115">
        <v>45279</v>
      </c>
      <c r="C8667" s="242">
        <f t="shared" si="271"/>
        <v>12</v>
      </c>
      <c r="D8667" s="242">
        <v>44.2</v>
      </c>
      <c r="E8667" s="845">
        <f t="shared" si="272"/>
        <v>6.7777777777777795</v>
      </c>
    </row>
    <row r="8668" spans="2:5">
      <c r="B8668" s="1115">
        <v>45279</v>
      </c>
      <c r="C8668" s="242">
        <f t="shared" si="271"/>
        <v>12</v>
      </c>
      <c r="D8668" s="242">
        <v>45.5</v>
      </c>
      <c r="E8668" s="845">
        <f t="shared" si="272"/>
        <v>7.5</v>
      </c>
    </row>
    <row r="8669" spans="2:5">
      <c r="B8669" s="1115">
        <v>45279</v>
      </c>
      <c r="C8669" s="242">
        <f t="shared" si="271"/>
        <v>12</v>
      </c>
      <c r="D8669" s="242">
        <v>46.4</v>
      </c>
      <c r="E8669" s="845">
        <f t="shared" si="272"/>
        <v>7.9999999999999991</v>
      </c>
    </row>
    <row r="8670" spans="2:5">
      <c r="B8670" s="1115">
        <v>45279</v>
      </c>
      <c r="C8670" s="242">
        <f t="shared" si="271"/>
        <v>12</v>
      </c>
      <c r="D8670" s="242">
        <v>47.1</v>
      </c>
      <c r="E8670" s="845">
        <f t="shared" si="272"/>
        <v>8.3888888888888893</v>
      </c>
    </row>
    <row r="8671" spans="2:5">
      <c r="B8671" s="1115">
        <v>45279</v>
      </c>
      <c r="C8671" s="242">
        <f t="shared" si="271"/>
        <v>12</v>
      </c>
      <c r="D8671" s="242">
        <v>46.9</v>
      </c>
      <c r="E8671" s="845">
        <f t="shared" si="272"/>
        <v>8.2777777777777768</v>
      </c>
    </row>
    <row r="8672" spans="2:5">
      <c r="B8672" s="1115">
        <v>45279</v>
      </c>
      <c r="C8672" s="242">
        <f t="shared" si="271"/>
        <v>12</v>
      </c>
      <c r="D8672" s="242">
        <v>46.8</v>
      </c>
      <c r="E8672" s="845">
        <f t="shared" si="272"/>
        <v>8.2222222222222197</v>
      </c>
    </row>
    <row r="8673" spans="2:5">
      <c r="B8673" s="1115">
        <v>45280</v>
      </c>
      <c r="C8673" s="242">
        <f t="shared" si="271"/>
        <v>12</v>
      </c>
      <c r="D8673" s="242">
        <v>46.4</v>
      </c>
      <c r="E8673" s="845">
        <f t="shared" si="272"/>
        <v>7.9999999999999991</v>
      </c>
    </row>
    <row r="8674" spans="2:5">
      <c r="B8674" s="1115">
        <v>45280</v>
      </c>
      <c r="C8674" s="242">
        <f t="shared" si="271"/>
        <v>12</v>
      </c>
      <c r="D8674" s="242" t="s">
        <v>1842</v>
      </c>
      <c r="E8674" s="845">
        <f t="shared" si="272"/>
        <v>7.7777777777777777</v>
      </c>
    </row>
    <row r="8675" spans="2:5">
      <c r="B8675" s="1115">
        <v>45280</v>
      </c>
      <c r="C8675" s="242">
        <f t="shared" si="271"/>
        <v>12</v>
      </c>
      <c r="D8675" s="242">
        <v>45.3</v>
      </c>
      <c r="E8675" s="845">
        <f t="shared" si="272"/>
        <v>7.3888888888888875</v>
      </c>
    </row>
    <row r="8676" spans="2:5">
      <c r="B8676" s="1115">
        <v>45280</v>
      </c>
      <c r="C8676" s="242">
        <f t="shared" si="271"/>
        <v>12</v>
      </c>
      <c r="D8676" s="242">
        <v>44.8</v>
      </c>
      <c r="E8676" s="845">
        <f t="shared" si="272"/>
        <v>7.1111111111111089</v>
      </c>
    </row>
    <row r="8677" spans="2:5">
      <c r="B8677" s="1115">
        <v>45280</v>
      </c>
      <c r="C8677" s="242">
        <f t="shared" si="271"/>
        <v>12</v>
      </c>
      <c r="D8677" s="242">
        <v>44.4</v>
      </c>
      <c r="E8677" s="845">
        <f t="shared" si="272"/>
        <v>6.8888888888888875</v>
      </c>
    </row>
    <row r="8678" spans="2:5">
      <c r="B8678" s="1115">
        <v>45280</v>
      </c>
      <c r="C8678" s="242">
        <f t="shared" si="271"/>
        <v>12</v>
      </c>
      <c r="D8678" s="242">
        <v>44.2</v>
      </c>
      <c r="E8678" s="845">
        <f t="shared" si="272"/>
        <v>6.7777777777777795</v>
      </c>
    </row>
    <row r="8679" spans="2:5">
      <c r="B8679" s="1115">
        <v>45280</v>
      </c>
      <c r="C8679" s="242">
        <f t="shared" si="271"/>
        <v>12</v>
      </c>
      <c r="D8679" s="242">
        <v>44.1</v>
      </c>
      <c r="E8679" s="845">
        <f t="shared" si="272"/>
        <v>6.7222222222222232</v>
      </c>
    </row>
    <row r="8680" spans="2:5">
      <c r="B8680" s="1115">
        <v>45280</v>
      </c>
      <c r="C8680" s="242">
        <f t="shared" si="271"/>
        <v>12</v>
      </c>
      <c r="D8680" s="242">
        <v>44.1</v>
      </c>
      <c r="E8680" s="845">
        <f t="shared" si="272"/>
        <v>6.7222222222222232</v>
      </c>
    </row>
    <row r="8681" spans="2:5">
      <c r="B8681" s="1115">
        <v>45280</v>
      </c>
      <c r="C8681" s="242">
        <f t="shared" si="271"/>
        <v>12</v>
      </c>
      <c r="D8681" s="242" t="s">
        <v>1842</v>
      </c>
      <c r="E8681" s="845">
        <f t="shared" si="272"/>
        <v>7.7777777777777777</v>
      </c>
    </row>
    <row r="8682" spans="2:5">
      <c r="B8682" s="1115">
        <v>45280</v>
      </c>
      <c r="C8682" s="242">
        <f t="shared" si="271"/>
        <v>12</v>
      </c>
      <c r="D8682" s="242">
        <v>46.9</v>
      </c>
      <c r="E8682" s="845">
        <f t="shared" si="272"/>
        <v>8.2777777777777768</v>
      </c>
    </row>
    <row r="8683" spans="2:5">
      <c r="B8683" s="1115">
        <v>45280</v>
      </c>
      <c r="C8683" s="242">
        <f t="shared" si="271"/>
        <v>12</v>
      </c>
      <c r="D8683" s="242">
        <v>47.1</v>
      </c>
      <c r="E8683" s="845">
        <f t="shared" si="272"/>
        <v>8.3888888888888893</v>
      </c>
    </row>
    <row r="8684" spans="2:5">
      <c r="B8684" s="1115">
        <v>45280</v>
      </c>
      <c r="C8684" s="242">
        <f t="shared" si="271"/>
        <v>12</v>
      </c>
      <c r="D8684" s="242">
        <v>47.3</v>
      </c>
      <c r="E8684" s="845">
        <f t="shared" si="272"/>
        <v>8.4999999999999982</v>
      </c>
    </row>
    <row r="8685" spans="2:5">
      <c r="B8685" s="1115">
        <v>45280</v>
      </c>
      <c r="C8685" s="242">
        <f t="shared" si="271"/>
        <v>12</v>
      </c>
      <c r="D8685" s="242">
        <v>46.2</v>
      </c>
      <c r="E8685" s="845">
        <f t="shared" si="272"/>
        <v>7.8888888888888902</v>
      </c>
    </row>
    <row r="8686" spans="2:5">
      <c r="B8686" s="1115">
        <v>45280</v>
      </c>
      <c r="C8686" s="242">
        <f t="shared" si="271"/>
        <v>12</v>
      </c>
      <c r="D8686" s="242">
        <v>46.9</v>
      </c>
      <c r="E8686" s="845">
        <f t="shared" si="272"/>
        <v>8.2777777777777768</v>
      </c>
    </row>
    <row r="8687" spans="2:5">
      <c r="B8687" s="1115">
        <v>45280</v>
      </c>
      <c r="C8687" s="242">
        <f t="shared" si="271"/>
        <v>12</v>
      </c>
      <c r="D8687" s="242" t="s">
        <v>1842</v>
      </c>
      <c r="E8687" s="845">
        <f t="shared" si="272"/>
        <v>7.7777777777777777</v>
      </c>
    </row>
    <row r="8688" spans="2:5">
      <c r="B8688" s="1115">
        <v>45280</v>
      </c>
      <c r="C8688" s="242">
        <f t="shared" si="271"/>
        <v>12</v>
      </c>
      <c r="D8688" s="242">
        <v>45.1</v>
      </c>
      <c r="E8688" s="845">
        <f t="shared" si="272"/>
        <v>7.2777777777777786</v>
      </c>
    </row>
    <row r="8689" spans="2:5">
      <c r="B8689" s="1115">
        <v>45280</v>
      </c>
      <c r="C8689" s="242">
        <f t="shared" si="271"/>
        <v>12</v>
      </c>
      <c r="D8689" s="242">
        <v>44.4</v>
      </c>
      <c r="E8689" s="845">
        <f t="shared" si="272"/>
        <v>6.8888888888888875</v>
      </c>
    </row>
    <row r="8690" spans="2:5">
      <c r="B8690" s="1115">
        <v>45280</v>
      </c>
      <c r="C8690" s="242">
        <f t="shared" si="271"/>
        <v>12</v>
      </c>
      <c r="D8690" s="242">
        <v>44.1</v>
      </c>
      <c r="E8690" s="845">
        <f t="shared" si="272"/>
        <v>6.7222222222222232</v>
      </c>
    </row>
    <row r="8691" spans="2:5">
      <c r="B8691" s="1115">
        <v>45280</v>
      </c>
      <c r="C8691" s="242">
        <f t="shared" si="271"/>
        <v>12</v>
      </c>
      <c r="D8691" s="242">
        <v>43.9</v>
      </c>
      <c r="E8691" s="845">
        <f t="shared" si="272"/>
        <v>6.6111111111111098</v>
      </c>
    </row>
    <row r="8692" spans="2:5">
      <c r="B8692" s="1115">
        <v>45280</v>
      </c>
      <c r="C8692" s="242">
        <f t="shared" si="271"/>
        <v>12</v>
      </c>
      <c r="D8692" s="242">
        <v>43.9</v>
      </c>
      <c r="E8692" s="845">
        <f t="shared" si="272"/>
        <v>6.6111111111111098</v>
      </c>
    </row>
    <row r="8693" spans="2:5">
      <c r="B8693" s="1115">
        <v>45280</v>
      </c>
      <c r="C8693" s="242">
        <f t="shared" si="271"/>
        <v>12</v>
      </c>
      <c r="D8693" s="242">
        <v>44.6</v>
      </c>
      <c r="E8693" s="845">
        <f t="shared" si="272"/>
        <v>7.0000000000000009</v>
      </c>
    </row>
    <row r="8694" spans="2:5">
      <c r="B8694" s="1115">
        <v>45280</v>
      </c>
      <c r="C8694" s="242">
        <f t="shared" si="271"/>
        <v>12</v>
      </c>
      <c r="D8694" s="242">
        <v>46.8</v>
      </c>
      <c r="E8694" s="845">
        <f t="shared" si="272"/>
        <v>8.2222222222222197</v>
      </c>
    </row>
    <row r="8695" spans="2:5">
      <c r="B8695" s="1115">
        <v>45280</v>
      </c>
      <c r="C8695" s="242">
        <f t="shared" si="271"/>
        <v>12</v>
      </c>
      <c r="D8695" s="242">
        <v>46.9</v>
      </c>
      <c r="E8695" s="845">
        <f t="shared" si="272"/>
        <v>8.2777777777777768</v>
      </c>
    </row>
    <row r="8696" spans="2:5">
      <c r="B8696" s="1115">
        <v>45280</v>
      </c>
      <c r="C8696" s="242">
        <f t="shared" si="271"/>
        <v>12</v>
      </c>
      <c r="D8696" s="242">
        <v>46.9</v>
      </c>
      <c r="E8696" s="845">
        <f t="shared" si="272"/>
        <v>8.2777777777777768</v>
      </c>
    </row>
    <row r="8697" spans="2:5">
      <c r="B8697" s="1115">
        <v>45281</v>
      </c>
      <c r="C8697" s="242">
        <f t="shared" si="271"/>
        <v>12</v>
      </c>
      <c r="D8697" s="242">
        <v>46.9</v>
      </c>
      <c r="E8697" s="845">
        <f t="shared" si="272"/>
        <v>8.2777777777777768</v>
      </c>
    </row>
    <row r="8698" spans="2:5">
      <c r="B8698" s="1115">
        <v>45281</v>
      </c>
      <c r="C8698" s="242">
        <f t="shared" si="271"/>
        <v>12</v>
      </c>
      <c r="D8698" s="242">
        <v>46.4</v>
      </c>
      <c r="E8698" s="845">
        <f t="shared" si="272"/>
        <v>7.9999999999999991</v>
      </c>
    </row>
    <row r="8699" spans="2:5">
      <c r="B8699" s="1115">
        <v>45281</v>
      </c>
      <c r="C8699" s="242">
        <f t="shared" si="271"/>
        <v>12</v>
      </c>
      <c r="D8699" s="242">
        <v>46.4</v>
      </c>
      <c r="E8699" s="845">
        <f t="shared" si="272"/>
        <v>7.9999999999999991</v>
      </c>
    </row>
    <row r="8700" spans="2:5">
      <c r="B8700" s="1115">
        <v>45281</v>
      </c>
      <c r="C8700" s="242">
        <f t="shared" si="271"/>
        <v>12</v>
      </c>
      <c r="D8700" s="242">
        <v>45.3</v>
      </c>
      <c r="E8700" s="845">
        <f t="shared" si="272"/>
        <v>7.3888888888888875</v>
      </c>
    </row>
    <row r="8701" spans="2:5">
      <c r="B8701" s="1115">
        <v>45281</v>
      </c>
      <c r="C8701" s="242">
        <f t="shared" si="271"/>
        <v>12</v>
      </c>
      <c r="D8701" s="242">
        <v>44.6</v>
      </c>
      <c r="E8701" s="845">
        <f t="shared" si="272"/>
        <v>7.0000000000000009</v>
      </c>
    </row>
    <row r="8702" spans="2:5">
      <c r="B8702" s="1115">
        <v>45281</v>
      </c>
      <c r="C8702" s="242">
        <f t="shared" si="271"/>
        <v>12</v>
      </c>
      <c r="D8702" s="242">
        <v>43.9</v>
      </c>
      <c r="E8702" s="845">
        <f t="shared" si="272"/>
        <v>6.6111111111111098</v>
      </c>
    </row>
    <row r="8703" spans="2:5">
      <c r="B8703" s="1115">
        <v>45281</v>
      </c>
      <c r="C8703" s="242">
        <f t="shared" si="271"/>
        <v>12</v>
      </c>
      <c r="D8703" s="242">
        <v>43.5</v>
      </c>
      <c r="E8703" s="845">
        <f t="shared" si="272"/>
        <v>6.3888888888888884</v>
      </c>
    </row>
    <row r="8704" spans="2:5">
      <c r="B8704" s="1115">
        <v>45281</v>
      </c>
      <c r="C8704" s="242">
        <f t="shared" si="271"/>
        <v>12</v>
      </c>
      <c r="D8704" s="242">
        <v>43.3</v>
      </c>
      <c r="E8704" s="845">
        <f t="shared" si="272"/>
        <v>6.2777777777777759</v>
      </c>
    </row>
    <row r="8705" spans="2:5">
      <c r="B8705" s="1115">
        <v>45281</v>
      </c>
      <c r="C8705" s="242">
        <f t="shared" si="271"/>
        <v>12</v>
      </c>
      <c r="D8705" s="242">
        <v>43.9</v>
      </c>
      <c r="E8705" s="845">
        <f t="shared" si="272"/>
        <v>6.6111111111111098</v>
      </c>
    </row>
    <row r="8706" spans="2:5">
      <c r="B8706" s="1115">
        <v>45281</v>
      </c>
      <c r="C8706" s="242">
        <f t="shared" si="271"/>
        <v>12</v>
      </c>
      <c r="D8706" s="242">
        <v>46.2</v>
      </c>
      <c r="E8706" s="845">
        <f t="shared" si="272"/>
        <v>7.8888888888888902</v>
      </c>
    </row>
    <row r="8707" spans="2:5">
      <c r="B8707" s="1115">
        <v>45281</v>
      </c>
      <c r="C8707" s="242">
        <f t="shared" si="271"/>
        <v>12</v>
      </c>
      <c r="D8707" s="242">
        <v>46.6</v>
      </c>
      <c r="E8707" s="845">
        <f t="shared" si="272"/>
        <v>8.1111111111111125</v>
      </c>
    </row>
    <row r="8708" spans="2:5">
      <c r="B8708" s="1115">
        <v>45281</v>
      </c>
      <c r="C8708" s="242">
        <f t="shared" si="271"/>
        <v>12</v>
      </c>
      <c r="D8708" s="242">
        <v>46.8</v>
      </c>
      <c r="E8708" s="845">
        <f t="shared" si="272"/>
        <v>8.2222222222222197</v>
      </c>
    </row>
    <row r="8709" spans="2:5">
      <c r="B8709" s="1115">
        <v>45281</v>
      </c>
      <c r="C8709" s="242">
        <f t="shared" si="271"/>
        <v>12</v>
      </c>
      <c r="D8709" s="242">
        <v>46.9</v>
      </c>
      <c r="E8709" s="845">
        <f t="shared" si="272"/>
        <v>8.2777777777777768</v>
      </c>
    </row>
    <row r="8710" spans="2:5">
      <c r="B8710" s="1115">
        <v>45281</v>
      </c>
      <c r="C8710" s="242">
        <f t="shared" si="271"/>
        <v>12</v>
      </c>
      <c r="D8710" s="242">
        <v>45.5</v>
      </c>
      <c r="E8710" s="845">
        <f t="shared" si="272"/>
        <v>7.5</v>
      </c>
    </row>
    <row r="8711" spans="2:5">
      <c r="B8711" s="1115">
        <v>45281</v>
      </c>
      <c r="C8711" s="242">
        <f t="shared" si="271"/>
        <v>12</v>
      </c>
      <c r="D8711" s="242">
        <v>46.2</v>
      </c>
      <c r="E8711" s="845">
        <f t="shared" si="272"/>
        <v>7.8888888888888902</v>
      </c>
    </row>
    <row r="8712" spans="2:5">
      <c r="B8712" s="1115">
        <v>45281</v>
      </c>
      <c r="C8712" s="242">
        <f t="shared" si="271"/>
        <v>12</v>
      </c>
      <c r="D8712" s="242">
        <v>45.9</v>
      </c>
      <c r="E8712" s="845">
        <f t="shared" si="272"/>
        <v>7.7222222222222214</v>
      </c>
    </row>
    <row r="8713" spans="2:5">
      <c r="B8713" s="1115">
        <v>45281</v>
      </c>
      <c r="C8713" s="242">
        <f t="shared" si="271"/>
        <v>12</v>
      </c>
      <c r="D8713" s="242">
        <v>44.8</v>
      </c>
      <c r="E8713" s="845">
        <f t="shared" si="272"/>
        <v>7.1111111111111089</v>
      </c>
    </row>
    <row r="8714" spans="2:5">
      <c r="B8714" s="1115">
        <v>45281</v>
      </c>
      <c r="C8714" s="242">
        <f t="shared" ref="C8714:C8777" si="273">MONTH(B8714)</f>
        <v>12</v>
      </c>
      <c r="D8714" s="242">
        <v>43.9</v>
      </c>
      <c r="E8714" s="845">
        <f t="shared" ref="E8714:E8777" si="274">CONVERT(D8714,"F","C")</f>
        <v>6.6111111111111098</v>
      </c>
    </row>
    <row r="8715" spans="2:5">
      <c r="B8715" s="1115">
        <v>45281</v>
      </c>
      <c r="C8715" s="242">
        <f t="shared" si="273"/>
        <v>12</v>
      </c>
      <c r="D8715" s="242">
        <v>43.3</v>
      </c>
      <c r="E8715" s="845">
        <f t="shared" si="274"/>
        <v>6.2777777777777759</v>
      </c>
    </row>
    <row r="8716" spans="2:5">
      <c r="B8716" s="1115">
        <v>45281</v>
      </c>
      <c r="C8716" s="242">
        <f t="shared" si="273"/>
        <v>12</v>
      </c>
      <c r="D8716" s="242" t="s">
        <v>1838</v>
      </c>
      <c r="E8716" s="845">
        <f t="shared" si="274"/>
        <v>6.1111111111111107</v>
      </c>
    </row>
    <row r="8717" spans="2:5">
      <c r="B8717" s="1115">
        <v>45281</v>
      </c>
      <c r="C8717" s="242">
        <f t="shared" si="273"/>
        <v>12</v>
      </c>
      <c r="D8717" s="242" t="s">
        <v>1838</v>
      </c>
      <c r="E8717" s="845">
        <f t="shared" si="274"/>
        <v>6.1111111111111107</v>
      </c>
    </row>
    <row r="8718" spans="2:5">
      <c r="B8718" s="1115">
        <v>45281</v>
      </c>
      <c r="C8718" s="242">
        <f t="shared" si="273"/>
        <v>12</v>
      </c>
      <c r="D8718" s="242">
        <v>44.8</v>
      </c>
      <c r="E8718" s="845">
        <f t="shared" si="274"/>
        <v>7.1111111111111089</v>
      </c>
    </row>
    <row r="8719" spans="2:5">
      <c r="B8719" s="1115">
        <v>45281</v>
      </c>
      <c r="C8719" s="242">
        <f t="shared" si="273"/>
        <v>12</v>
      </c>
      <c r="D8719" s="242" t="s">
        <v>1842</v>
      </c>
      <c r="E8719" s="845">
        <f t="shared" si="274"/>
        <v>7.7777777777777777</v>
      </c>
    </row>
    <row r="8720" spans="2:5">
      <c r="B8720" s="1115">
        <v>45281</v>
      </c>
      <c r="C8720" s="242">
        <f t="shared" si="273"/>
        <v>12</v>
      </c>
      <c r="D8720" s="242">
        <v>46.4</v>
      </c>
      <c r="E8720" s="845">
        <f t="shared" si="274"/>
        <v>7.9999999999999991</v>
      </c>
    </row>
    <row r="8721" spans="2:5">
      <c r="B8721" s="1115">
        <v>45282</v>
      </c>
      <c r="C8721" s="242">
        <f t="shared" si="273"/>
        <v>12</v>
      </c>
      <c r="D8721" s="242">
        <v>46.4</v>
      </c>
      <c r="E8721" s="845">
        <f t="shared" si="274"/>
        <v>7.9999999999999991</v>
      </c>
    </row>
    <row r="8722" spans="2:5">
      <c r="B8722" s="1115">
        <v>45282</v>
      </c>
      <c r="C8722" s="242">
        <f t="shared" si="273"/>
        <v>12</v>
      </c>
      <c r="D8722" s="242">
        <v>46.8</v>
      </c>
      <c r="E8722" s="845">
        <f t="shared" si="274"/>
        <v>8.2222222222222197</v>
      </c>
    </row>
    <row r="8723" spans="2:5">
      <c r="B8723" s="1115">
        <v>45282</v>
      </c>
      <c r="C8723" s="242">
        <f t="shared" si="273"/>
        <v>12</v>
      </c>
      <c r="D8723" s="242" t="s">
        <v>1842</v>
      </c>
      <c r="E8723" s="845">
        <f t="shared" si="274"/>
        <v>7.7777777777777777</v>
      </c>
    </row>
    <row r="8724" spans="2:5">
      <c r="B8724" s="1115">
        <v>45282</v>
      </c>
      <c r="C8724" s="242">
        <f t="shared" si="273"/>
        <v>12</v>
      </c>
      <c r="D8724" s="242" t="s">
        <v>1842</v>
      </c>
      <c r="E8724" s="845">
        <f t="shared" si="274"/>
        <v>7.7777777777777777</v>
      </c>
    </row>
    <row r="8725" spans="2:5">
      <c r="B8725" s="1115">
        <v>45282</v>
      </c>
      <c r="C8725" s="242">
        <f t="shared" si="273"/>
        <v>12</v>
      </c>
      <c r="D8725" s="242" t="s">
        <v>1836</v>
      </c>
      <c r="E8725" s="845">
        <f t="shared" si="274"/>
        <v>7.2222222222222223</v>
      </c>
    </row>
    <row r="8726" spans="2:5">
      <c r="B8726" s="1115">
        <v>45282</v>
      </c>
      <c r="C8726" s="242">
        <f t="shared" si="273"/>
        <v>12</v>
      </c>
      <c r="D8726" s="242">
        <v>43.7</v>
      </c>
      <c r="E8726" s="845">
        <f t="shared" si="274"/>
        <v>6.5000000000000018</v>
      </c>
    </row>
    <row r="8727" spans="2:5">
      <c r="B8727" s="1115">
        <v>45282</v>
      </c>
      <c r="C8727" s="242">
        <f t="shared" si="273"/>
        <v>12</v>
      </c>
      <c r="D8727" s="242" t="s">
        <v>1838</v>
      </c>
      <c r="E8727" s="845">
        <f t="shared" si="274"/>
        <v>6.1111111111111107</v>
      </c>
    </row>
    <row r="8728" spans="2:5">
      <c r="B8728" s="1115">
        <v>45282</v>
      </c>
      <c r="C8728" s="242">
        <f t="shared" si="273"/>
        <v>12</v>
      </c>
      <c r="D8728" s="242">
        <v>42.4</v>
      </c>
      <c r="E8728" s="845">
        <f t="shared" si="274"/>
        <v>5.7777777777777768</v>
      </c>
    </row>
    <row r="8729" spans="2:5">
      <c r="B8729" s="1115">
        <v>45282</v>
      </c>
      <c r="C8729" s="242">
        <f t="shared" si="273"/>
        <v>12</v>
      </c>
      <c r="D8729" s="242">
        <v>42.3</v>
      </c>
      <c r="E8729" s="845">
        <f t="shared" si="274"/>
        <v>5.7222222222222205</v>
      </c>
    </row>
    <row r="8730" spans="2:5">
      <c r="B8730" s="1115">
        <v>45282</v>
      </c>
      <c r="C8730" s="242">
        <f t="shared" si="273"/>
        <v>12</v>
      </c>
      <c r="D8730" s="242">
        <v>43.3</v>
      </c>
      <c r="E8730" s="845">
        <f t="shared" si="274"/>
        <v>6.2777777777777759</v>
      </c>
    </row>
    <row r="8731" spans="2:5">
      <c r="B8731" s="1115">
        <v>45282</v>
      </c>
      <c r="C8731" s="242">
        <f t="shared" si="273"/>
        <v>12</v>
      </c>
      <c r="D8731" s="242">
        <v>45.3</v>
      </c>
      <c r="E8731" s="845">
        <f t="shared" si="274"/>
        <v>7.3888888888888875</v>
      </c>
    </row>
    <row r="8732" spans="2:5">
      <c r="B8732" s="1115">
        <v>45282</v>
      </c>
      <c r="C8732" s="242">
        <f t="shared" si="273"/>
        <v>12</v>
      </c>
      <c r="D8732" s="242">
        <v>45.7</v>
      </c>
      <c r="E8732" s="845">
        <f t="shared" si="274"/>
        <v>7.6111111111111125</v>
      </c>
    </row>
    <row r="8733" spans="2:5">
      <c r="B8733" s="1115">
        <v>45282</v>
      </c>
      <c r="C8733" s="242">
        <f t="shared" si="273"/>
        <v>12</v>
      </c>
      <c r="D8733" s="242">
        <v>45.7</v>
      </c>
      <c r="E8733" s="845">
        <f t="shared" si="274"/>
        <v>7.6111111111111125</v>
      </c>
    </row>
    <row r="8734" spans="2:5">
      <c r="B8734" s="1115">
        <v>45282</v>
      </c>
      <c r="C8734" s="242">
        <f t="shared" si="273"/>
        <v>12</v>
      </c>
      <c r="D8734" s="242">
        <v>45.7</v>
      </c>
      <c r="E8734" s="845">
        <f t="shared" si="274"/>
        <v>7.6111111111111125</v>
      </c>
    </row>
    <row r="8735" spans="2:5">
      <c r="B8735" s="1115">
        <v>45282</v>
      </c>
      <c r="C8735" s="242">
        <f t="shared" si="273"/>
        <v>12</v>
      </c>
      <c r="D8735" s="242">
        <v>45.1</v>
      </c>
      <c r="E8735" s="845">
        <f t="shared" si="274"/>
        <v>7.2777777777777786</v>
      </c>
    </row>
    <row r="8736" spans="2:5">
      <c r="B8736" s="1115">
        <v>45282</v>
      </c>
      <c r="C8736" s="242">
        <f t="shared" si="273"/>
        <v>12</v>
      </c>
      <c r="D8736" s="242">
        <v>45.7</v>
      </c>
      <c r="E8736" s="845">
        <f t="shared" si="274"/>
        <v>7.6111111111111125</v>
      </c>
    </row>
    <row r="8737" spans="2:5">
      <c r="B8737" s="1115">
        <v>45282</v>
      </c>
      <c r="C8737" s="242">
        <f t="shared" si="273"/>
        <v>12</v>
      </c>
      <c r="D8737" s="242">
        <v>45.1</v>
      </c>
      <c r="E8737" s="845">
        <f t="shared" si="274"/>
        <v>7.2777777777777786</v>
      </c>
    </row>
    <row r="8738" spans="2:5">
      <c r="B8738" s="1115">
        <v>45282</v>
      </c>
      <c r="C8738" s="242">
        <f t="shared" si="273"/>
        <v>12</v>
      </c>
      <c r="D8738" s="242">
        <v>44.1</v>
      </c>
      <c r="E8738" s="845">
        <f t="shared" si="274"/>
        <v>6.7222222222222232</v>
      </c>
    </row>
    <row r="8739" spans="2:5">
      <c r="B8739" s="1115">
        <v>45282</v>
      </c>
      <c r="C8739" s="242">
        <f t="shared" si="273"/>
        <v>12</v>
      </c>
      <c r="D8739" s="242" t="s">
        <v>1838</v>
      </c>
      <c r="E8739" s="845">
        <f t="shared" si="274"/>
        <v>6.1111111111111107</v>
      </c>
    </row>
    <row r="8740" spans="2:5">
      <c r="B8740" s="1115">
        <v>45282</v>
      </c>
      <c r="C8740" s="242">
        <f t="shared" si="273"/>
        <v>12</v>
      </c>
      <c r="D8740" s="242">
        <v>42.3</v>
      </c>
      <c r="E8740" s="845">
        <f t="shared" si="274"/>
        <v>5.7222222222222205</v>
      </c>
    </row>
    <row r="8741" spans="2:5">
      <c r="B8741" s="1115">
        <v>45282</v>
      </c>
      <c r="C8741" s="242">
        <f t="shared" si="273"/>
        <v>12</v>
      </c>
      <c r="D8741" s="242">
        <v>41.9</v>
      </c>
      <c r="E8741" s="845">
        <f t="shared" si="274"/>
        <v>5.4999999999999991</v>
      </c>
    </row>
    <row r="8742" spans="2:5">
      <c r="B8742" s="1115">
        <v>45282</v>
      </c>
      <c r="C8742" s="242">
        <f t="shared" si="273"/>
        <v>12</v>
      </c>
      <c r="D8742" s="242">
        <v>41.7</v>
      </c>
      <c r="E8742" s="845">
        <f t="shared" si="274"/>
        <v>5.3888888888888902</v>
      </c>
    </row>
    <row r="8743" spans="2:5">
      <c r="B8743" s="1115">
        <v>45282</v>
      </c>
      <c r="C8743" s="242">
        <f t="shared" si="273"/>
        <v>12</v>
      </c>
      <c r="D8743" s="242">
        <v>43.9</v>
      </c>
      <c r="E8743" s="845">
        <f t="shared" si="274"/>
        <v>6.6111111111111098</v>
      </c>
    </row>
    <row r="8744" spans="2:5">
      <c r="B8744" s="1115">
        <v>45282</v>
      </c>
      <c r="C8744" s="242">
        <f t="shared" si="273"/>
        <v>12</v>
      </c>
      <c r="D8744" s="242">
        <v>44.8</v>
      </c>
      <c r="E8744" s="845">
        <f t="shared" si="274"/>
        <v>7.1111111111111089</v>
      </c>
    </row>
    <row r="8745" spans="2:5">
      <c r="B8745" s="1115">
        <v>45283</v>
      </c>
      <c r="C8745" s="242">
        <f t="shared" si="273"/>
        <v>12</v>
      </c>
      <c r="D8745" s="242" t="s">
        <v>1836</v>
      </c>
      <c r="E8745" s="845">
        <f t="shared" si="274"/>
        <v>7.2222222222222223</v>
      </c>
    </row>
    <row r="8746" spans="2:5">
      <c r="B8746" s="1115">
        <v>45283</v>
      </c>
      <c r="C8746" s="242">
        <f t="shared" si="273"/>
        <v>12</v>
      </c>
      <c r="D8746" s="242">
        <v>44.8</v>
      </c>
      <c r="E8746" s="845">
        <f t="shared" si="274"/>
        <v>7.1111111111111089</v>
      </c>
    </row>
    <row r="8747" spans="2:5">
      <c r="B8747" s="1115">
        <v>45283</v>
      </c>
      <c r="C8747" s="242">
        <f t="shared" si="273"/>
        <v>12</v>
      </c>
      <c r="D8747" s="242">
        <v>45.1</v>
      </c>
      <c r="E8747" s="845">
        <f t="shared" si="274"/>
        <v>7.2777777777777786</v>
      </c>
    </row>
    <row r="8748" spans="2:5">
      <c r="B8748" s="1115">
        <v>45283</v>
      </c>
      <c r="C8748" s="242">
        <f t="shared" si="273"/>
        <v>12</v>
      </c>
      <c r="D8748" s="242">
        <v>44.8</v>
      </c>
      <c r="E8748" s="845">
        <f t="shared" si="274"/>
        <v>7.1111111111111089</v>
      </c>
    </row>
    <row r="8749" spans="2:5">
      <c r="B8749" s="1115">
        <v>45283</v>
      </c>
      <c r="C8749" s="242">
        <f t="shared" si="273"/>
        <v>12</v>
      </c>
      <c r="D8749" s="242">
        <v>44.6</v>
      </c>
      <c r="E8749" s="845">
        <f t="shared" si="274"/>
        <v>7.0000000000000009</v>
      </c>
    </row>
    <row r="8750" spans="2:5">
      <c r="B8750" s="1115">
        <v>45283</v>
      </c>
      <c r="C8750" s="242">
        <f t="shared" si="273"/>
        <v>12</v>
      </c>
      <c r="D8750" s="242">
        <v>43.9</v>
      </c>
      <c r="E8750" s="845">
        <f t="shared" si="274"/>
        <v>6.6111111111111098</v>
      </c>
    </row>
    <row r="8751" spans="2:5">
      <c r="B8751" s="1115">
        <v>45283</v>
      </c>
      <c r="C8751" s="242">
        <f t="shared" si="273"/>
        <v>12</v>
      </c>
      <c r="D8751" s="242" t="s">
        <v>1838</v>
      </c>
      <c r="E8751" s="845">
        <f t="shared" si="274"/>
        <v>6.1111111111111107</v>
      </c>
    </row>
    <row r="8752" spans="2:5">
      <c r="B8752" s="1115">
        <v>45283</v>
      </c>
      <c r="C8752" s="242">
        <f t="shared" si="273"/>
        <v>12</v>
      </c>
      <c r="D8752" s="242">
        <v>42.1</v>
      </c>
      <c r="E8752" s="845">
        <f t="shared" si="274"/>
        <v>5.6111111111111116</v>
      </c>
    </row>
    <row r="8753" spans="2:5">
      <c r="B8753" s="1115">
        <v>45283</v>
      </c>
      <c r="C8753" s="242">
        <f t="shared" si="273"/>
        <v>12</v>
      </c>
      <c r="D8753" s="242">
        <v>41.5</v>
      </c>
      <c r="E8753" s="845">
        <f t="shared" si="274"/>
        <v>5.2777777777777777</v>
      </c>
    </row>
    <row r="8754" spans="2:5">
      <c r="B8754" s="1115">
        <v>45283</v>
      </c>
      <c r="C8754" s="242">
        <f t="shared" si="273"/>
        <v>12</v>
      </c>
      <c r="D8754" s="242">
        <v>41.4</v>
      </c>
      <c r="E8754" s="845">
        <f t="shared" si="274"/>
        <v>5.2222222222222214</v>
      </c>
    </row>
    <row r="8755" spans="2:5">
      <c r="B8755" s="1115">
        <v>45283</v>
      </c>
      <c r="C8755" s="242">
        <f t="shared" si="273"/>
        <v>12</v>
      </c>
      <c r="D8755" s="242">
        <v>42.6</v>
      </c>
      <c r="E8755" s="845">
        <f t="shared" si="274"/>
        <v>5.8888888888888893</v>
      </c>
    </row>
    <row r="8756" spans="2:5">
      <c r="B8756" s="1115">
        <v>45283</v>
      </c>
      <c r="C8756" s="242">
        <f t="shared" si="273"/>
        <v>12</v>
      </c>
      <c r="D8756" s="242">
        <v>43.7</v>
      </c>
      <c r="E8756" s="845">
        <f t="shared" si="274"/>
        <v>6.5000000000000018</v>
      </c>
    </row>
    <row r="8757" spans="2:5">
      <c r="B8757" s="1115">
        <v>45283</v>
      </c>
      <c r="C8757" s="242">
        <f t="shared" si="273"/>
        <v>12</v>
      </c>
      <c r="D8757" s="242">
        <v>44.1</v>
      </c>
      <c r="E8757" s="845">
        <f t="shared" si="274"/>
        <v>6.7222222222222232</v>
      </c>
    </row>
    <row r="8758" spans="2:5">
      <c r="B8758" s="1115">
        <v>45283</v>
      </c>
      <c r="C8758" s="242">
        <f t="shared" si="273"/>
        <v>12</v>
      </c>
      <c r="D8758" s="242">
        <v>44.1</v>
      </c>
      <c r="E8758" s="845">
        <f t="shared" si="274"/>
        <v>6.7222222222222232</v>
      </c>
    </row>
    <row r="8759" spans="2:5">
      <c r="B8759" s="1115">
        <v>45283</v>
      </c>
      <c r="C8759" s="242">
        <f t="shared" si="273"/>
        <v>12</v>
      </c>
      <c r="D8759" s="242">
        <v>43.9</v>
      </c>
      <c r="E8759" s="845">
        <f t="shared" si="274"/>
        <v>6.6111111111111098</v>
      </c>
    </row>
    <row r="8760" spans="2:5">
      <c r="B8760" s="1115">
        <v>45283</v>
      </c>
      <c r="C8760" s="242">
        <f t="shared" si="273"/>
        <v>12</v>
      </c>
      <c r="D8760" s="242">
        <v>43.9</v>
      </c>
      <c r="E8760" s="845">
        <f t="shared" si="274"/>
        <v>6.6111111111111098</v>
      </c>
    </row>
    <row r="8761" spans="2:5">
      <c r="B8761" s="1115">
        <v>45283</v>
      </c>
      <c r="C8761" s="242">
        <f t="shared" si="273"/>
        <v>12</v>
      </c>
      <c r="D8761" s="242">
        <v>43.9</v>
      </c>
      <c r="E8761" s="845">
        <f t="shared" si="274"/>
        <v>6.6111111111111098</v>
      </c>
    </row>
    <row r="8762" spans="2:5">
      <c r="B8762" s="1115">
        <v>45283</v>
      </c>
      <c r="C8762" s="242">
        <f t="shared" si="273"/>
        <v>12</v>
      </c>
      <c r="D8762" s="242">
        <v>43.7</v>
      </c>
      <c r="E8762" s="845">
        <f t="shared" si="274"/>
        <v>6.5000000000000018</v>
      </c>
    </row>
    <row r="8763" spans="2:5">
      <c r="B8763" s="1115">
        <v>45283</v>
      </c>
      <c r="C8763" s="242">
        <f t="shared" si="273"/>
        <v>12</v>
      </c>
      <c r="D8763" s="242" t="s">
        <v>1838</v>
      </c>
      <c r="E8763" s="845">
        <f t="shared" si="274"/>
        <v>6.1111111111111107</v>
      </c>
    </row>
    <row r="8764" spans="2:5">
      <c r="B8764" s="1115">
        <v>45283</v>
      </c>
      <c r="C8764" s="242">
        <f t="shared" si="273"/>
        <v>12</v>
      </c>
      <c r="D8764" s="242">
        <v>42.1</v>
      </c>
      <c r="E8764" s="845">
        <f t="shared" si="274"/>
        <v>5.6111111111111116</v>
      </c>
    </row>
    <row r="8765" spans="2:5">
      <c r="B8765" s="1115">
        <v>45283</v>
      </c>
      <c r="C8765" s="242">
        <f t="shared" si="273"/>
        <v>12</v>
      </c>
      <c r="D8765" s="242">
        <v>41.5</v>
      </c>
      <c r="E8765" s="845">
        <f t="shared" si="274"/>
        <v>5.2777777777777777</v>
      </c>
    </row>
    <row r="8766" spans="2:5">
      <c r="B8766" s="1115">
        <v>45283</v>
      </c>
      <c r="C8766" s="242">
        <f t="shared" si="273"/>
        <v>12</v>
      </c>
      <c r="D8766" s="242" t="s">
        <v>1837</v>
      </c>
      <c r="E8766" s="845">
        <f t="shared" si="274"/>
        <v>5</v>
      </c>
    </row>
    <row r="8767" spans="2:5">
      <c r="B8767" s="1115">
        <v>45283</v>
      </c>
      <c r="C8767" s="242">
        <f t="shared" si="273"/>
        <v>12</v>
      </c>
      <c r="D8767" s="242" t="s">
        <v>1837</v>
      </c>
      <c r="E8767" s="845">
        <f t="shared" si="274"/>
        <v>5</v>
      </c>
    </row>
    <row r="8768" spans="2:5">
      <c r="B8768" s="1115">
        <v>45283</v>
      </c>
      <c r="C8768" s="242">
        <f t="shared" si="273"/>
        <v>12</v>
      </c>
      <c r="D8768" s="242">
        <v>42.4</v>
      </c>
      <c r="E8768" s="845">
        <f t="shared" si="274"/>
        <v>5.7777777777777768</v>
      </c>
    </row>
    <row r="8769" spans="2:5">
      <c r="B8769" s="1115">
        <v>45284</v>
      </c>
      <c r="C8769" s="242">
        <f t="shared" si="273"/>
        <v>12</v>
      </c>
      <c r="D8769" s="242">
        <v>43.2</v>
      </c>
      <c r="E8769" s="845">
        <f t="shared" si="274"/>
        <v>6.2222222222222232</v>
      </c>
    </row>
    <row r="8770" spans="2:5">
      <c r="B8770" s="1115">
        <v>45284</v>
      </c>
      <c r="C8770" s="242">
        <f t="shared" si="273"/>
        <v>12</v>
      </c>
      <c r="D8770" s="242">
        <v>43.5</v>
      </c>
      <c r="E8770" s="845">
        <f t="shared" si="274"/>
        <v>6.3888888888888884</v>
      </c>
    </row>
    <row r="8771" spans="2:5">
      <c r="B8771" s="1115">
        <v>45284</v>
      </c>
      <c r="C8771" s="242">
        <f t="shared" si="273"/>
        <v>12</v>
      </c>
      <c r="D8771" s="242">
        <v>43.5</v>
      </c>
      <c r="E8771" s="845">
        <f t="shared" si="274"/>
        <v>6.3888888888888884</v>
      </c>
    </row>
    <row r="8772" spans="2:5">
      <c r="B8772" s="1115">
        <v>45284</v>
      </c>
      <c r="C8772" s="242">
        <f t="shared" si="273"/>
        <v>12</v>
      </c>
      <c r="D8772" s="242">
        <v>43.7</v>
      </c>
      <c r="E8772" s="845">
        <f t="shared" si="274"/>
        <v>6.5000000000000018</v>
      </c>
    </row>
    <row r="8773" spans="2:5">
      <c r="B8773" s="1115">
        <v>45284</v>
      </c>
      <c r="C8773" s="242">
        <f t="shared" si="273"/>
        <v>12</v>
      </c>
      <c r="D8773" s="242">
        <v>43.7</v>
      </c>
      <c r="E8773" s="845">
        <f t="shared" si="274"/>
        <v>6.5000000000000018</v>
      </c>
    </row>
    <row r="8774" spans="2:5">
      <c r="B8774" s="1115">
        <v>45284</v>
      </c>
      <c r="C8774" s="242">
        <f t="shared" si="273"/>
        <v>12</v>
      </c>
      <c r="D8774" s="242">
        <v>43.5</v>
      </c>
      <c r="E8774" s="845">
        <f t="shared" si="274"/>
        <v>6.3888888888888884</v>
      </c>
    </row>
    <row r="8775" spans="2:5">
      <c r="B8775" s="1115">
        <v>45284</v>
      </c>
      <c r="C8775" s="242">
        <f t="shared" si="273"/>
        <v>12</v>
      </c>
      <c r="D8775" s="242" t="s">
        <v>1838</v>
      </c>
      <c r="E8775" s="845">
        <f t="shared" si="274"/>
        <v>6.1111111111111107</v>
      </c>
    </row>
    <row r="8776" spans="2:5">
      <c r="B8776" s="1115">
        <v>45284</v>
      </c>
      <c r="C8776" s="242">
        <f t="shared" si="273"/>
        <v>12</v>
      </c>
      <c r="D8776" s="242">
        <v>42.1</v>
      </c>
      <c r="E8776" s="845">
        <f t="shared" si="274"/>
        <v>5.6111111111111116</v>
      </c>
    </row>
    <row r="8777" spans="2:5">
      <c r="B8777" s="1115">
        <v>45284</v>
      </c>
      <c r="C8777" s="242">
        <f t="shared" si="273"/>
        <v>12</v>
      </c>
      <c r="D8777" s="242">
        <v>41.4</v>
      </c>
      <c r="E8777" s="845">
        <f t="shared" si="274"/>
        <v>5.2222222222222214</v>
      </c>
    </row>
    <row r="8778" spans="2:5">
      <c r="B8778" s="1115">
        <v>45284</v>
      </c>
      <c r="C8778" s="242">
        <f t="shared" ref="C8778:C8841" si="275">MONTH(B8778)</f>
        <v>12</v>
      </c>
      <c r="D8778" s="242" t="s">
        <v>1837</v>
      </c>
      <c r="E8778" s="845">
        <f t="shared" ref="E8778:E8841" si="276">CONVERT(D8778,"F","C")</f>
        <v>5</v>
      </c>
    </row>
    <row r="8779" spans="2:5">
      <c r="B8779" s="1115">
        <v>45284</v>
      </c>
      <c r="C8779" s="242">
        <f t="shared" si="275"/>
        <v>12</v>
      </c>
      <c r="D8779" s="242" t="s">
        <v>1837</v>
      </c>
      <c r="E8779" s="845">
        <f t="shared" si="276"/>
        <v>5</v>
      </c>
    </row>
    <row r="8780" spans="2:5">
      <c r="B8780" s="1115">
        <v>45284</v>
      </c>
      <c r="C8780" s="242">
        <f t="shared" si="275"/>
        <v>12</v>
      </c>
      <c r="D8780" s="242">
        <v>41.9</v>
      </c>
      <c r="E8780" s="845">
        <f t="shared" si="276"/>
        <v>5.4999999999999991</v>
      </c>
    </row>
    <row r="8781" spans="2:5">
      <c r="B8781" s="1115">
        <v>45284</v>
      </c>
      <c r="C8781" s="242">
        <f t="shared" si="275"/>
        <v>12</v>
      </c>
      <c r="D8781" s="242">
        <v>42.8</v>
      </c>
      <c r="E8781" s="845">
        <f t="shared" si="276"/>
        <v>5.9999999999999982</v>
      </c>
    </row>
    <row r="8782" spans="2:5">
      <c r="B8782" s="1115">
        <v>45284</v>
      </c>
      <c r="C8782" s="242">
        <f t="shared" si="275"/>
        <v>12</v>
      </c>
      <c r="D8782" s="242">
        <v>43.5</v>
      </c>
      <c r="E8782" s="845">
        <f t="shared" si="276"/>
        <v>6.3888888888888884</v>
      </c>
    </row>
    <row r="8783" spans="2:5">
      <c r="B8783" s="1115">
        <v>45284</v>
      </c>
      <c r="C8783" s="242">
        <f t="shared" si="275"/>
        <v>12</v>
      </c>
      <c r="D8783" s="242">
        <v>44.1</v>
      </c>
      <c r="E8783" s="845">
        <f t="shared" si="276"/>
        <v>6.7222222222222232</v>
      </c>
    </row>
    <row r="8784" spans="2:5">
      <c r="B8784" s="1115">
        <v>45284</v>
      </c>
      <c r="C8784" s="242">
        <f t="shared" si="275"/>
        <v>12</v>
      </c>
      <c r="D8784" s="242">
        <v>44.2</v>
      </c>
      <c r="E8784" s="845">
        <f t="shared" si="276"/>
        <v>6.7777777777777795</v>
      </c>
    </row>
    <row r="8785" spans="2:5">
      <c r="B8785" s="1115">
        <v>45284</v>
      </c>
      <c r="C8785" s="242">
        <f t="shared" si="275"/>
        <v>12</v>
      </c>
      <c r="D8785" s="242">
        <v>44.1</v>
      </c>
      <c r="E8785" s="845">
        <f t="shared" si="276"/>
        <v>6.7222222222222232</v>
      </c>
    </row>
    <row r="8786" spans="2:5">
      <c r="B8786" s="1115">
        <v>45284</v>
      </c>
      <c r="C8786" s="242">
        <f t="shared" si="275"/>
        <v>12</v>
      </c>
      <c r="D8786" s="242">
        <v>44.2</v>
      </c>
      <c r="E8786" s="845">
        <f t="shared" si="276"/>
        <v>6.7777777777777795</v>
      </c>
    </row>
    <row r="8787" spans="2:5">
      <c r="B8787" s="1115">
        <v>45284</v>
      </c>
      <c r="C8787" s="242">
        <f t="shared" si="275"/>
        <v>12</v>
      </c>
      <c r="D8787" s="242">
        <v>43.7</v>
      </c>
      <c r="E8787" s="845">
        <f t="shared" si="276"/>
        <v>6.5000000000000018</v>
      </c>
    </row>
    <row r="8788" spans="2:5">
      <c r="B8788" s="1115">
        <v>45284</v>
      </c>
      <c r="C8788" s="242">
        <f t="shared" si="275"/>
        <v>12</v>
      </c>
      <c r="D8788" s="242">
        <v>42.6</v>
      </c>
      <c r="E8788" s="845">
        <f t="shared" si="276"/>
        <v>5.8888888888888893</v>
      </c>
    </row>
    <row r="8789" spans="2:5">
      <c r="B8789" s="1115">
        <v>45284</v>
      </c>
      <c r="C8789" s="242">
        <f t="shared" si="275"/>
        <v>12</v>
      </c>
      <c r="D8789" s="242">
        <v>41.9</v>
      </c>
      <c r="E8789" s="845">
        <f t="shared" si="276"/>
        <v>5.4999999999999991</v>
      </c>
    </row>
    <row r="8790" spans="2:5">
      <c r="B8790" s="1115">
        <v>45284</v>
      </c>
      <c r="C8790" s="242">
        <f t="shared" si="275"/>
        <v>12</v>
      </c>
      <c r="D8790" s="242">
        <v>41.2</v>
      </c>
      <c r="E8790" s="845">
        <f t="shared" si="276"/>
        <v>5.1111111111111125</v>
      </c>
    </row>
    <row r="8791" spans="2:5">
      <c r="B8791" s="1115">
        <v>45284</v>
      </c>
      <c r="C8791" s="242">
        <f t="shared" si="275"/>
        <v>12</v>
      </c>
      <c r="D8791" s="242">
        <v>40.799999999999997</v>
      </c>
      <c r="E8791" s="845">
        <f t="shared" si="276"/>
        <v>4.8888888888888875</v>
      </c>
    </row>
    <row r="8792" spans="2:5">
      <c r="B8792" s="1115">
        <v>45284</v>
      </c>
      <c r="C8792" s="242">
        <f t="shared" si="275"/>
        <v>12</v>
      </c>
      <c r="D8792" s="242" t="s">
        <v>1837</v>
      </c>
      <c r="E8792" s="845">
        <f t="shared" si="276"/>
        <v>5</v>
      </c>
    </row>
    <row r="8793" spans="2:5">
      <c r="B8793" s="1115">
        <v>45285</v>
      </c>
      <c r="C8793" s="242">
        <f t="shared" si="275"/>
        <v>12</v>
      </c>
      <c r="D8793" s="242">
        <v>42.8</v>
      </c>
      <c r="E8793" s="845">
        <f t="shared" si="276"/>
        <v>5.9999999999999982</v>
      </c>
    </row>
    <row r="8794" spans="2:5">
      <c r="B8794" s="1115">
        <v>45285</v>
      </c>
      <c r="C8794" s="242">
        <f t="shared" si="275"/>
        <v>12</v>
      </c>
      <c r="D8794" s="242">
        <v>43.5</v>
      </c>
      <c r="E8794" s="845">
        <f t="shared" si="276"/>
        <v>6.3888888888888884</v>
      </c>
    </row>
    <row r="8795" spans="2:5">
      <c r="B8795" s="1115">
        <v>45285</v>
      </c>
      <c r="C8795" s="242">
        <f t="shared" si="275"/>
        <v>12</v>
      </c>
      <c r="D8795" s="242">
        <v>44.2</v>
      </c>
      <c r="E8795" s="845">
        <f t="shared" si="276"/>
        <v>6.7777777777777795</v>
      </c>
    </row>
    <row r="8796" spans="2:5">
      <c r="B8796" s="1115">
        <v>45285</v>
      </c>
      <c r="C8796" s="242">
        <f t="shared" si="275"/>
        <v>12</v>
      </c>
      <c r="D8796" s="242">
        <v>44.4</v>
      </c>
      <c r="E8796" s="845">
        <f t="shared" si="276"/>
        <v>6.8888888888888875</v>
      </c>
    </row>
    <row r="8797" spans="2:5">
      <c r="B8797" s="1115">
        <v>45285</v>
      </c>
      <c r="C8797" s="242">
        <f t="shared" si="275"/>
        <v>12</v>
      </c>
      <c r="D8797" s="242">
        <v>45.1</v>
      </c>
      <c r="E8797" s="845">
        <f t="shared" si="276"/>
        <v>7.2777777777777786</v>
      </c>
    </row>
    <row r="8798" spans="2:5">
      <c r="B8798" s="1115">
        <v>45285</v>
      </c>
      <c r="C8798" s="242">
        <f t="shared" si="275"/>
        <v>12</v>
      </c>
      <c r="D8798" s="242">
        <v>44.4</v>
      </c>
      <c r="E8798" s="845">
        <f t="shared" si="276"/>
        <v>6.8888888888888875</v>
      </c>
    </row>
    <row r="8799" spans="2:5">
      <c r="B8799" s="1115">
        <v>45285</v>
      </c>
      <c r="C8799" s="242">
        <f t="shared" si="275"/>
        <v>12</v>
      </c>
      <c r="D8799" s="242">
        <v>44.6</v>
      </c>
      <c r="E8799" s="845">
        <f t="shared" si="276"/>
        <v>7.0000000000000009</v>
      </c>
    </row>
    <row r="8800" spans="2:5">
      <c r="B8800" s="1115">
        <v>45285</v>
      </c>
      <c r="C8800" s="242">
        <f t="shared" si="275"/>
        <v>12</v>
      </c>
      <c r="D8800" s="242">
        <v>43.5</v>
      </c>
      <c r="E8800" s="845">
        <f t="shared" si="276"/>
        <v>6.3888888888888884</v>
      </c>
    </row>
    <row r="8801" spans="2:5">
      <c r="B8801" s="1115">
        <v>45285</v>
      </c>
      <c r="C8801" s="242">
        <f t="shared" si="275"/>
        <v>12</v>
      </c>
      <c r="D8801" s="242">
        <v>42.4</v>
      </c>
      <c r="E8801" s="845">
        <f t="shared" si="276"/>
        <v>5.7777777777777768</v>
      </c>
    </row>
    <row r="8802" spans="2:5">
      <c r="B8802" s="1115">
        <v>45285</v>
      </c>
      <c r="C8802" s="242">
        <f t="shared" si="275"/>
        <v>12</v>
      </c>
      <c r="D8802" s="242">
        <v>41.7</v>
      </c>
      <c r="E8802" s="845">
        <f t="shared" si="276"/>
        <v>5.3888888888888902</v>
      </c>
    </row>
    <row r="8803" spans="2:5">
      <c r="B8803" s="1115">
        <v>45285</v>
      </c>
      <c r="C8803" s="242">
        <f t="shared" si="275"/>
        <v>12</v>
      </c>
      <c r="D8803" s="242">
        <v>41.2</v>
      </c>
      <c r="E8803" s="845">
        <f t="shared" si="276"/>
        <v>5.1111111111111125</v>
      </c>
    </row>
    <row r="8804" spans="2:5">
      <c r="B8804" s="1115">
        <v>45285</v>
      </c>
      <c r="C8804" s="242">
        <f t="shared" si="275"/>
        <v>12</v>
      </c>
      <c r="D8804" s="242">
        <v>41.5</v>
      </c>
      <c r="E8804" s="845">
        <f t="shared" si="276"/>
        <v>5.2777777777777777</v>
      </c>
    </row>
    <row r="8805" spans="2:5">
      <c r="B8805" s="1115">
        <v>45285</v>
      </c>
      <c r="C8805" s="242">
        <f t="shared" si="275"/>
        <v>12</v>
      </c>
      <c r="D8805" s="242">
        <v>42.8</v>
      </c>
      <c r="E8805" s="845">
        <f t="shared" si="276"/>
        <v>5.9999999999999982</v>
      </c>
    </row>
    <row r="8806" spans="2:5">
      <c r="B8806" s="1115">
        <v>45285</v>
      </c>
      <c r="C8806" s="242">
        <f t="shared" si="275"/>
        <v>12</v>
      </c>
      <c r="D8806" s="242">
        <v>43.7</v>
      </c>
      <c r="E8806" s="845">
        <f t="shared" si="276"/>
        <v>6.5000000000000018</v>
      </c>
    </row>
    <row r="8807" spans="2:5">
      <c r="B8807" s="1115">
        <v>45285</v>
      </c>
      <c r="C8807" s="242">
        <f t="shared" si="275"/>
        <v>12</v>
      </c>
      <c r="D8807" s="242">
        <v>44.4</v>
      </c>
      <c r="E8807" s="845">
        <f t="shared" si="276"/>
        <v>6.8888888888888875</v>
      </c>
    </row>
    <row r="8808" spans="2:5">
      <c r="B8808" s="1115">
        <v>45285</v>
      </c>
      <c r="C8808" s="242">
        <f t="shared" si="275"/>
        <v>12</v>
      </c>
      <c r="D8808" s="242" t="s">
        <v>1836</v>
      </c>
      <c r="E8808" s="845">
        <f t="shared" si="276"/>
        <v>7.2222222222222223</v>
      </c>
    </row>
    <row r="8809" spans="2:5">
      <c r="B8809" s="1115">
        <v>45285</v>
      </c>
      <c r="C8809" s="242">
        <f t="shared" si="275"/>
        <v>12</v>
      </c>
      <c r="D8809" s="242" t="s">
        <v>1836</v>
      </c>
      <c r="E8809" s="845">
        <f t="shared" si="276"/>
        <v>7.2222222222222223</v>
      </c>
    </row>
    <row r="8810" spans="2:5">
      <c r="B8810" s="1115">
        <v>45285</v>
      </c>
      <c r="C8810" s="242">
        <f t="shared" si="275"/>
        <v>12</v>
      </c>
      <c r="D8810" s="242">
        <v>44.8</v>
      </c>
      <c r="E8810" s="845">
        <f t="shared" si="276"/>
        <v>7.1111111111111089</v>
      </c>
    </row>
    <row r="8811" spans="2:5">
      <c r="B8811" s="1115">
        <v>45285</v>
      </c>
      <c r="C8811" s="242">
        <f t="shared" si="275"/>
        <v>12</v>
      </c>
      <c r="D8811" s="242" t="s">
        <v>1836</v>
      </c>
      <c r="E8811" s="845">
        <f t="shared" si="276"/>
        <v>7.2222222222222223</v>
      </c>
    </row>
    <row r="8812" spans="2:5">
      <c r="B8812" s="1115">
        <v>45285</v>
      </c>
      <c r="C8812" s="242">
        <f t="shared" si="275"/>
        <v>12</v>
      </c>
      <c r="D8812" s="242">
        <v>44.4</v>
      </c>
      <c r="E8812" s="845">
        <f t="shared" si="276"/>
        <v>6.8888888888888875</v>
      </c>
    </row>
    <row r="8813" spans="2:5">
      <c r="B8813" s="1115">
        <v>45285</v>
      </c>
      <c r="C8813" s="242">
        <f t="shared" si="275"/>
        <v>12</v>
      </c>
      <c r="D8813" s="242">
        <v>43.3</v>
      </c>
      <c r="E8813" s="845">
        <f t="shared" si="276"/>
        <v>6.2777777777777759</v>
      </c>
    </row>
    <row r="8814" spans="2:5">
      <c r="B8814" s="1115">
        <v>45285</v>
      </c>
      <c r="C8814" s="242">
        <f t="shared" si="275"/>
        <v>12</v>
      </c>
      <c r="D8814" s="242">
        <v>42.4</v>
      </c>
      <c r="E8814" s="845">
        <f t="shared" si="276"/>
        <v>5.7777777777777768</v>
      </c>
    </row>
    <row r="8815" spans="2:5">
      <c r="B8815" s="1115">
        <v>45285</v>
      </c>
      <c r="C8815" s="242">
        <f t="shared" si="275"/>
        <v>12</v>
      </c>
      <c r="D8815" s="242">
        <v>41.9</v>
      </c>
      <c r="E8815" s="845">
        <f t="shared" si="276"/>
        <v>5.4999999999999991</v>
      </c>
    </row>
    <row r="8816" spans="2:5">
      <c r="B8816" s="1115">
        <v>45285</v>
      </c>
      <c r="C8816" s="242">
        <f t="shared" si="275"/>
        <v>12</v>
      </c>
      <c r="D8816" s="242">
        <v>41.5</v>
      </c>
      <c r="E8816" s="845">
        <f t="shared" si="276"/>
        <v>5.2777777777777777</v>
      </c>
    </row>
    <row r="8817" spans="2:5">
      <c r="B8817" s="1115">
        <v>45286</v>
      </c>
      <c r="C8817" s="242">
        <f t="shared" si="275"/>
        <v>12</v>
      </c>
      <c r="D8817" s="242">
        <v>41.5</v>
      </c>
      <c r="E8817" s="845">
        <f t="shared" si="276"/>
        <v>5.2777777777777777</v>
      </c>
    </row>
    <row r="8818" spans="2:5">
      <c r="B8818" s="1115">
        <v>45286</v>
      </c>
      <c r="C8818" s="242">
        <f t="shared" si="275"/>
        <v>12</v>
      </c>
      <c r="D8818" s="242">
        <v>42.6</v>
      </c>
      <c r="E8818" s="845">
        <f t="shared" si="276"/>
        <v>5.8888888888888893</v>
      </c>
    </row>
    <row r="8819" spans="2:5">
      <c r="B8819" s="1115">
        <v>45286</v>
      </c>
      <c r="C8819" s="242">
        <f t="shared" si="275"/>
        <v>12</v>
      </c>
      <c r="D8819" s="242">
        <v>43.5</v>
      </c>
      <c r="E8819" s="845">
        <f t="shared" si="276"/>
        <v>6.3888888888888884</v>
      </c>
    </row>
    <row r="8820" spans="2:5">
      <c r="B8820" s="1115">
        <v>45286</v>
      </c>
      <c r="C8820" s="242">
        <f t="shared" si="275"/>
        <v>12</v>
      </c>
      <c r="D8820" s="242">
        <v>44.1</v>
      </c>
      <c r="E8820" s="845">
        <f t="shared" si="276"/>
        <v>6.7222222222222232</v>
      </c>
    </row>
    <row r="8821" spans="2:5">
      <c r="B8821" s="1115">
        <v>45286</v>
      </c>
      <c r="C8821" s="242">
        <f t="shared" si="275"/>
        <v>12</v>
      </c>
      <c r="D8821" s="242">
        <v>44.2</v>
      </c>
      <c r="E8821" s="845">
        <f t="shared" si="276"/>
        <v>6.7777777777777795</v>
      </c>
    </row>
    <row r="8822" spans="2:5">
      <c r="B8822" s="1115">
        <v>45286</v>
      </c>
      <c r="C8822" s="242">
        <f t="shared" si="275"/>
        <v>12</v>
      </c>
      <c r="D8822" s="242">
        <v>44.8</v>
      </c>
      <c r="E8822" s="845">
        <f t="shared" si="276"/>
        <v>7.1111111111111089</v>
      </c>
    </row>
    <row r="8823" spans="2:5">
      <c r="B8823" s="1115">
        <v>45286</v>
      </c>
      <c r="C8823" s="242">
        <f t="shared" si="275"/>
        <v>12</v>
      </c>
      <c r="D8823" s="242">
        <v>44.2</v>
      </c>
      <c r="E8823" s="845">
        <f t="shared" si="276"/>
        <v>6.7777777777777795</v>
      </c>
    </row>
    <row r="8824" spans="2:5">
      <c r="B8824" s="1115">
        <v>45286</v>
      </c>
      <c r="C8824" s="242">
        <f t="shared" si="275"/>
        <v>12</v>
      </c>
      <c r="D8824" s="242">
        <v>44.1</v>
      </c>
      <c r="E8824" s="845">
        <f t="shared" si="276"/>
        <v>6.7222222222222232</v>
      </c>
    </row>
    <row r="8825" spans="2:5">
      <c r="B8825" s="1115">
        <v>45286</v>
      </c>
      <c r="C8825" s="242">
        <f t="shared" si="275"/>
        <v>12</v>
      </c>
      <c r="D8825" s="242">
        <v>43.5</v>
      </c>
      <c r="E8825" s="845">
        <f t="shared" si="276"/>
        <v>6.3888888888888884</v>
      </c>
    </row>
    <row r="8826" spans="2:5">
      <c r="B8826" s="1115">
        <v>45286</v>
      </c>
      <c r="C8826" s="242">
        <f t="shared" si="275"/>
        <v>12</v>
      </c>
      <c r="D8826" s="242">
        <v>42.6</v>
      </c>
      <c r="E8826" s="845">
        <f t="shared" si="276"/>
        <v>5.8888888888888893</v>
      </c>
    </row>
    <row r="8827" spans="2:5">
      <c r="B8827" s="1115">
        <v>45286</v>
      </c>
      <c r="C8827" s="242">
        <f t="shared" si="275"/>
        <v>12</v>
      </c>
      <c r="D8827" s="242">
        <v>41.9</v>
      </c>
      <c r="E8827" s="845">
        <f t="shared" si="276"/>
        <v>5.4999999999999991</v>
      </c>
    </row>
    <row r="8828" spans="2:5">
      <c r="B8828" s="1115">
        <v>45286</v>
      </c>
      <c r="C8828" s="242">
        <f t="shared" si="275"/>
        <v>12</v>
      </c>
      <c r="D8828" s="242">
        <v>41.7</v>
      </c>
      <c r="E8828" s="845">
        <f t="shared" si="276"/>
        <v>5.3888888888888902</v>
      </c>
    </row>
    <row r="8829" spans="2:5">
      <c r="B8829" s="1115">
        <v>45286</v>
      </c>
      <c r="C8829" s="242">
        <f t="shared" si="275"/>
        <v>12</v>
      </c>
      <c r="D8829" s="242">
        <v>42.1</v>
      </c>
      <c r="E8829" s="845">
        <f t="shared" si="276"/>
        <v>5.6111111111111116</v>
      </c>
    </row>
    <row r="8830" spans="2:5">
      <c r="B8830" s="1115">
        <v>45286</v>
      </c>
      <c r="C8830" s="242">
        <f t="shared" si="275"/>
        <v>12</v>
      </c>
      <c r="D8830" s="242">
        <v>43.2</v>
      </c>
      <c r="E8830" s="845">
        <f t="shared" si="276"/>
        <v>6.2222222222222232</v>
      </c>
    </row>
    <row r="8831" spans="2:5">
      <c r="B8831" s="1115">
        <v>45286</v>
      </c>
      <c r="C8831" s="242">
        <f t="shared" si="275"/>
        <v>12</v>
      </c>
      <c r="D8831" s="242">
        <v>43.5</v>
      </c>
      <c r="E8831" s="845">
        <f t="shared" si="276"/>
        <v>6.3888888888888884</v>
      </c>
    </row>
    <row r="8832" spans="2:5">
      <c r="B8832" s="1115">
        <v>45286</v>
      </c>
      <c r="C8832" s="242">
        <f t="shared" si="275"/>
        <v>12</v>
      </c>
      <c r="D8832" s="242">
        <v>44.2</v>
      </c>
      <c r="E8832" s="845">
        <f t="shared" si="276"/>
        <v>6.7777777777777795</v>
      </c>
    </row>
    <row r="8833" spans="2:5">
      <c r="B8833" s="1115">
        <v>45286</v>
      </c>
      <c r="C8833" s="242">
        <f t="shared" si="275"/>
        <v>12</v>
      </c>
      <c r="D8833" s="242">
        <v>44.4</v>
      </c>
      <c r="E8833" s="845">
        <f t="shared" si="276"/>
        <v>6.8888888888888875</v>
      </c>
    </row>
    <row r="8834" spans="2:5">
      <c r="B8834" s="1115">
        <v>45286</v>
      </c>
      <c r="C8834" s="242">
        <f t="shared" si="275"/>
        <v>12</v>
      </c>
      <c r="D8834" s="242">
        <v>44.6</v>
      </c>
      <c r="E8834" s="845">
        <f t="shared" si="276"/>
        <v>7.0000000000000009</v>
      </c>
    </row>
    <row r="8835" spans="2:5">
      <c r="B8835" s="1115">
        <v>45286</v>
      </c>
      <c r="C8835" s="242">
        <f t="shared" si="275"/>
        <v>12</v>
      </c>
      <c r="D8835" s="242">
        <v>44.8</v>
      </c>
      <c r="E8835" s="845">
        <f t="shared" si="276"/>
        <v>7.1111111111111089</v>
      </c>
    </row>
    <row r="8836" spans="2:5">
      <c r="B8836" s="1115">
        <v>45286</v>
      </c>
      <c r="C8836" s="242">
        <f t="shared" si="275"/>
        <v>12</v>
      </c>
      <c r="D8836" s="242">
        <v>44.6</v>
      </c>
      <c r="E8836" s="845">
        <f t="shared" si="276"/>
        <v>7.0000000000000009</v>
      </c>
    </row>
    <row r="8837" spans="2:5">
      <c r="B8837" s="1115">
        <v>45286</v>
      </c>
      <c r="C8837" s="242">
        <f t="shared" si="275"/>
        <v>12</v>
      </c>
      <c r="D8837" s="242">
        <v>44.1</v>
      </c>
      <c r="E8837" s="845">
        <f t="shared" si="276"/>
        <v>6.7222222222222232</v>
      </c>
    </row>
    <row r="8838" spans="2:5">
      <c r="B8838" s="1115">
        <v>45286</v>
      </c>
      <c r="C8838" s="242">
        <f t="shared" si="275"/>
        <v>12</v>
      </c>
      <c r="D8838" s="242">
        <v>43.2</v>
      </c>
      <c r="E8838" s="845">
        <f t="shared" si="276"/>
        <v>6.2222222222222232</v>
      </c>
    </row>
    <row r="8839" spans="2:5">
      <c r="B8839" s="1115">
        <v>45286</v>
      </c>
      <c r="C8839" s="242">
        <f t="shared" si="275"/>
        <v>12</v>
      </c>
      <c r="D8839" s="242">
        <v>42.4</v>
      </c>
      <c r="E8839" s="845">
        <f t="shared" si="276"/>
        <v>5.7777777777777768</v>
      </c>
    </row>
    <row r="8840" spans="2:5">
      <c r="B8840" s="1115">
        <v>45286</v>
      </c>
      <c r="C8840" s="242">
        <f t="shared" si="275"/>
        <v>12</v>
      </c>
      <c r="D8840" s="242">
        <v>42.1</v>
      </c>
      <c r="E8840" s="845">
        <f t="shared" si="276"/>
        <v>5.6111111111111116</v>
      </c>
    </row>
    <row r="8841" spans="2:5">
      <c r="B8841" s="1115">
        <v>45287</v>
      </c>
      <c r="C8841" s="242">
        <f t="shared" si="275"/>
        <v>12</v>
      </c>
      <c r="D8841" s="242">
        <v>41.7</v>
      </c>
      <c r="E8841" s="845">
        <f t="shared" si="276"/>
        <v>5.3888888888888902</v>
      </c>
    </row>
    <row r="8842" spans="2:5">
      <c r="B8842" s="1115">
        <v>45287</v>
      </c>
      <c r="C8842" s="242">
        <f t="shared" ref="C8842:C8905" si="277">MONTH(B8842)</f>
        <v>12</v>
      </c>
      <c r="D8842" s="242">
        <v>42.1</v>
      </c>
      <c r="E8842" s="845">
        <f t="shared" ref="E8842:E8905" si="278">CONVERT(D8842,"F","C")</f>
        <v>5.6111111111111116</v>
      </c>
    </row>
    <row r="8843" spans="2:5">
      <c r="B8843" s="1115">
        <v>45287</v>
      </c>
      <c r="C8843" s="242">
        <f t="shared" si="277"/>
        <v>12</v>
      </c>
      <c r="D8843" s="242">
        <v>43.7</v>
      </c>
      <c r="E8843" s="845">
        <f t="shared" si="278"/>
        <v>6.5000000000000018</v>
      </c>
    </row>
    <row r="8844" spans="2:5">
      <c r="B8844" s="1115">
        <v>45287</v>
      </c>
      <c r="C8844" s="242">
        <f t="shared" si="277"/>
        <v>12</v>
      </c>
      <c r="D8844" s="242">
        <v>44.2</v>
      </c>
      <c r="E8844" s="845">
        <f t="shared" si="278"/>
        <v>6.7777777777777795</v>
      </c>
    </row>
    <row r="8845" spans="2:5">
      <c r="B8845" s="1115">
        <v>45287</v>
      </c>
      <c r="C8845" s="242">
        <f t="shared" si="277"/>
        <v>12</v>
      </c>
      <c r="D8845" s="242">
        <v>44.4</v>
      </c>
      <c r="E8845" s="845">
        <f t="shared" si="278"/>
        <v>6.8888888888888875</v>
      </c>
    </row>
    <row r="8846" spans="2:5">
      <c r="B8846" s="1115">
        <v>45287</v>
      </c>
      <c r="C8846" s="242">
        <f t="shared" si="277"/>
        <v>12</v>
      </c>
      <c r="D8846" s="242">
        <v>44.8</v>
      </c>
      <c r="E8846" s="845">
        <f t="shared" si="278"/>
        <v>7.1111111111111089</v>
      </c>
    </row>
    <row r="8847" spans="2:5">
      <c r="B8847" s="1115">
        <v>45287</v>
      </c>
      <c r="C8847" s="242">
        <f t="shared" si="277"/>
        <v>12</v>
      </c>
      <c r="D8847" s="242">
        <v>44.8</v>
      </c>
      <c r="E8847" s="845">
        <f t="shared" si="278"/>
        <v>7.1111111111111089</v>
      </c>
    </row>
    <row r="8848" spans="2:5">
      <c r="B8848" s="1115">
        <v>45287</v>
      </c>
      <c r="C8848" s="242">
        <f t="shared" si="277"/>
        <v>12</v>
      </c>
      <c r="D8848" s="242">
        <v>44.8</v>
      </c>
      <c r="E8848" s="845">
        <f t="shared" si="278"/>
        <v>7.1111111111111089</v>
      </c>
    </row>
    <row r="8849" spans="2:5">
      <c r="B8849" s="1115">
        <v>45287</v>
      </c>
      <c r="C8849" s="242">
        <f t="shared" si="277"/>
        <v>12</v>
      </c>
      <c r="D8849" s="242">
        <v>44.6</v>
      </c>
      <c r="E8849" s="845">
        <f t="shared" si="278"/>
        <v>7.0000000000000009</v>
      </c>
    </row>
    <row r="8850" spans="2:5">
      <c r="B8850" s="1115">
        <v>45287</v>
      </c>
      <c r="C8850" s="242">
        <f t="shared" si="277"/>
        <v>12</v>
      </c>
      <c r="D8850" s="242">
        <v>43.7</v>
      </c>
      <c r="E8850" s="845">
        <f t="shared" si="278"/>
        <v>6.5000000000000018</v>
      </c>
    </row>
    <row r="8851" spans="2:5">
      <c r="B8851" s="1115">
        <v>45287</v>
      </c>
      <c r="C8851" s="242">
        <f t="shared" si="277"/>
        <v>12</v>
      </c>
      <c r="D8851" s="242" t="s">
        <v>1838</v>
      </c>
      <c r="E8851" s="845">
        <f t="shared" si="278"/>
        <v>6.1111111111111107</v>
      </c>
    </row>
    <row r="8852" spans="2:5">
      <c r="B8852" s="1115">
        <v>45287</v>
      </c>
      <c r="C8852" s="242">
        <f t="shared" si="277"/>
        <v>12</v>
      </c>
      <c r="D8852" s="242">
        <v>42.4</v>
      </c>
      <c r="E8852" s="845">
        <f t="shared" si="278"/>
        <v>5.7777777777777768</v>
      </c>
    </row>
    <row r="8853" spans="2:5">
      <c r="B8853" s="1115">
        <v>45287</v>
      </c>
      <c r="C8853" s="242">
        <f t="shared" si="277"/>
        <v>12</v>
      </c>
      <c r="D8853" s="242">
        <v>42.3</v>
      </c>
      <c r="E8853" s="845">
        <f t="shared" si="278"/>
        <v>5.7222222222222205</v>
      </c>
    </row>
    <row r="8854" spans="2:5">
      <c r="B8854" s="1115">
        <v>45287</v>
      </c>
      <c r="C8854" s="242">
        <f t="shared" si="277"/>
        <v>12</v>
      </c>
      <c r="D8854" s="242">
        <v>42.8</v>
      </c>
      <c r="E8854" s="845">
        <f t="shared" si="278"/>
        <v>5.9999999999999982</v>
      </c>
    </row>
    <row r="8855" spans="2:5">
      <c r="B8855" s="1115">
        <v>45287</v>
      </c>
      <c r="C8855" s="242">
        <f t="shared" si="277"/>
        <v>12</v>
      </c>
      <c r="D8855" s="242">
        <v>44.1</v>
      </c>
      <c r="E8855" s="845">
        <f t="shared" si="278"/>
        <v>6.7222222222222232</v>
      </c>
    </row>
    <row r="8856" spans="2:5">
      <c r="B8856" s="1115">
        <v>45287</v>
      </c>
      <c r="C8856" s="242">
        <f t="shared" si="277"/>
        <v>12</v>
      </c>
      <c r="D8856" s="242">
        <v>44.6</v>
      </c>
      <c r="E8856" s="845">
        <f t="shared" si="278"/>
        <v>7.0000000000000009</v>
      </c>
    </row>
    <row r="8857" spans="2:5">
      <c r="B8857" s="1115">
        <v>45287</v>
      </c>
      <c r="C8857" s="242">
        <f t="shared" si="277"/>
        <v>12</v>
      </c>
      <c r="D8857" s="242">
        <v>45.3</v>
      </c>
      <c r="E8857" s="845">
        <f t="shared" si="278"/>
        <v>7.3888888888888875</v>
      </c>
    </row>
    <row r="8858" spans="2:5">
      <c r="B8858" s="1115">
        <v>45287</v>
      </c>
      <c r="C8858" s="242">
        <f t="shared" si="277"/>
        <v>12</v>
      </c>
      <c r="D8858" s="242">
        <v>45.5</v>
      </c>
      <c r="E8858" s="845">
        <f t="shared" si="278"/>
        <v>7.5</v>
      </c>
    </row>
    <row r="8859" spans="2:5">
      <c r="B8859" s="1115">
        <v>45287</v>
      </c>
      <c r="C8859" s="242">
        <f t="shared" si="277"/>
        <v>12</v>
      </c>
      <c r="D8859" s="242">
        <v>45.7</v>
      </c>
      <c r="E8859" s="845">
        <f t="shared" si="278"/>
        <v>7.6111111111111125</v>
      </c>
    </row>
    <row r="8860" spans="2:5">
      <c r="B8860" s="1115">
        <v>45287</v>
      </c>
      <c r="C8860" s="242">
        <f t="shared" si="277"/>
        <v>12</v>
      </c>
      <c r="D8860" s="242">
        <v>45.7</v>
      </c>
      <c r="E8860" s="845">
        <f t="shared" si="278"/>
        <v>7.6111111111111125</v>
      </c>
    </row>
    <row r="8861" spans="2:5">
      <c r="B8861" s="1115">
        <v>45287</v>
      </c>
      <c r="C8861" s="242">
        <f t="shared" si="277"/>
        <v>12</v>
      </c>
      <c r="D8861" s="242">
        <v>45.3</v>
      </c>
      <c r="E8861" s="845">
        <f t="shared" si="278"/>
        <v>7.3888888888888875</v>
      </c>
    </row>
    <row r="8862" spans="2:5">
      <c r="B8862" s="1115">
        <v>45287</v>
      </c>
      <c r="C8862" s="242">
        <f t="shared" si="277"/>
        <v>12</v>
      </c>
      <c r="D8862" s="242">
        <v>44.6</v>
      </c>
      <c r="E8862" s="845">
        <f t="shared" si="278"/>
        <v>7.0000000000000009</v>
      </c>
    </row>
    <row r="8863" spans="2:5">
      <c r="B8863" s="1115">
        <v>45287</v>
      </c>
      <c r="C8863" s="242">
        <f t="shared" si="277"/>
        <v>12</v>
      </c>
      <c r="D8863" s="242">
        <v>43.7</v>
      </c>
      <c r="E8863" s="845">
        <f t="shared" si="278"/>
        <v>6.5000000000000018</v>
      </c>
    </row>
    <row r="8864" spans="2:5">
      <c r="B8864" s="1115">
        <v>45287</v>
      </c>
      <c r="C8864" s="242">
        <f t="shared" si="277"/>
        <v>12</v>
      </c>
      <c r="D8864" s="242">
        <v>43.2</v>
      </c>
      <c r="E8864" s="845">
        <f t="shared" si="278"/>
        <v>6.2222222222222232</v>
      </c>
    </row>
    <row r="8865" spans="2:5">
      <c r="B8865" s="1115">
        <v>45288</v>
      </c>
      <c r="C8865" s="242">
        <f t="shared" si="277"/>
        <v>12</v>
      </c>
      <c r="D8865" s="242">
        <v>42.6</v>
      </c>
      <c r="E8865" s="845">
        <f t="shared" si="278"/>
        <v>5.8888888888888893</v>
      </c>
    </row>
    <row r="8866" spans="2:5">
      <c r="B8866" s="1115">
        <v>45288</v>
      </c>
      <c r="C8866" s="242">
        <f t="shared" si="277"/>
        <v>12</v>
      </c>
      <c r="D8866" s="242">
        <v>42.4</v>
      </c>
      <c r="E8866" s="845">
        <f t="shared" si="278"/>
        <v>5.7777777777777768</v>
      </c>
    </row>
    <row r="8867" spans="2:5">
      <c r="B8867" s="1115">
        <v>45288</v>
      </c>
      <c r="C8867" s="242">
        <f t="shared" si="277"/>
        <v>12</v>
      </c>
      <c r="D8867" s="242" t="s">
        <v>1838</v>
      </c>
      <c r="E8867" s="845">
        <f t="shared" si="278"/>
        <v>6.1111111111111107</v>
      </c>
    </row>
    <row r="8868" spans="2:5">
      <c r="B8868" s="1115">
        <v>45288</v>
      </c>
      <c r="C8868" s="242">
        <f t="shared" si="277"/>
        <v>12</v>
      </c>
      <c r="D8868" s="242">
        <v>44.4</v>
      </c>
      <c r="E8868" s="845">
        <f t="shared" si="278"/>
        <v>6.8888888888888875</v>
      </c>
    </row>
    <row r="8869" spans="2:5">
      <c r="B8869" s="1115">
        <v>45288</v>
      </c>
      <c r="C8869" s="242">
        <f t="shared" si="277"/>
        <v>12</v>
      </c>
      <c r="D8869" s="242">
        <v>44.8</v>
      </c>
      <c r="E8869" s="845">
        <f t="shared" si="278"/>
        <v>7.1111111111111089</v>
      </c>
    </row>
    <row r="8870" spans="2:5">
      <c r="B8870" s="1115">
        <v>45288</v>
      </c>
      <c r="C8870" s="242">
        <f t="shared" si="277"/>
        <v>12</v>
      </c>
      <c r="D8870" s="242">
        <v>45.1</v>
      </c>
      <c r="E8870" s="845">
        <f t="shared" si="278"/>
        <v>7.2777777777777786</v>
      </c>
    </row>
    <row r="8871" spans="2:5">
      <c r="B8871" s="1115">
        <v>45288</v>
      </c>
      <c r="C8871" s="242">
        <f t="shared" si="277"/>
        <v>12</v>
      </c>
      <c r="D8871" s="242">
        <v>45.3</v>
      </c>
      <c r="E8871" s="845">
        <f t="shared" si="278"/>
        <v>7.3888888888888875</v>
      </c>
    </row>
    <row r="8872" spans="2:5">
      <c r="B8872" s="1115">
        <v>45288</v>
      </c>
      <c r="C8872" s="242">
        <f t="shared" si="277"/>
        <v>12</v>
      </c>
      <c r="D8872" s="242">
        <v>45.3</v>
      </c>
      <c r="E8872" s="845">
        <f t="shared" si="278"/>
        <v>7.3888888888888875</v>
      </c>
    </row>
    <row r="8873" spans="2:5">
      <c r="B8873" s="1115">
        <v>45288</v>
      </c>
      <c r="C8873" s="242">
        <f t="shared" si="277"/>
        <v>12</v>
      </c>
      <c r="D8873" s="242">
        <v>45.1</v>
      </c>
      <c r="E8873" s="845">
        <f t="shared" si="278"/>
        <v>7.2777777777777786</v>
      </c>
    </row>
    <row r="8874" spans="2:5">
      <c r="B8874" s="1115">
        <v>45288</v>
      </c>
      <c r="C8874" s="242">
        <f t="shared" si="277"/>
        <v>12</v>
      </c>
      <c r="D8874" s="242">
        <v>44.8</v>
      </c>
      <c r="E8874" s="845">
        <f t="shared" si="278"/>
        <v>7.1111111111111089</v>
      </c>
    </row>
    <row r="8875" spans="2:5">
      <c r="B8875" s="1115">
        <v>45288</v>
      </c>
      <c r="C8875" s="242">
        <f t="shared" si="277"/>
        <v>12</v>
      </c>
      <c r="D8875" s="242">
        <v>44.1</v>
      </c>
      <c r="E8875" s="845">
        <f t="shared" si="278"/>
        <v>6.7222222222222232</v>
      </c>
    </row>
    <row r="8876" spans="2:5">
      <c r="B8876" s="1115">
        <v>45288</v>
      </c>
      <c r="C8876" s="242">
        <f t="shared" si="277"/>
        <v>12</v>
      </c>
      <c r="D8876" s="242">
        <v>43.3</v>
      </c>
      <c r="E8876" s="845">
        <f t="shared" si="278"/>
        <v>6.2777777777777759</v>
      </c>
    </row>
    <row r="8877" spans="2:5">
      <c r="B8877" s="1115">
        <v>45288</v>
      </c>
      <c r="C8877" s="242">
        <f t="shared" si="277"/>
        <v>12</v>
      </c>
      <c r="D8877" s="242" t="s">
        <v>1838</v>
      </c>
      <c r="E8877" s="845">
        <f t="shared" si="278"/>
        <v>6.1111111111111107</v>
      </c>
    </row>
    <row r="8878" spans="2:5">
      <c r="B8878" s="1115">
        <v>45288</v>
      </c>
      <c r="C8878" s="242">
        <f t="shared" si="277"/>
        <v>12</v>
      </c>
      <c r="D8878" s="242" t="s">
        <v>1838</v>
      </c>
      <c r="E8878" s="845">
        <f t="shared" si="278"/>
        <v>6.1111111111111107</v>
      </c>
    </row>
    <row r="8879" spans="2:5">
      <c r="B8879" s="1115">
        <v>45288</v>
      </c>
      <c r="C8879" s="242">
        <f t="shared" si="277"/>
        <v>12</v>
      </c>
      <c r="D8879" s="242">
        <v>43.7</v>
      </c>
      <c r="E8879" s="845">
        <f t="shared" si="278"/>
        <v>6.5000000000000018</v>
      </c>
    </row>
    <row r="8880" spans="2:5">
      <c r="B8880" s="1115">
        <v>45288</v>
      </c>
      <c r="C8880" s="242">
        <f t="shared" si="277"/>
        <v>12</v>
      </c>
      <c r="D8880" s="242">
        <v>44.2</v>
      </c>
      <c r="E8880" s="845">
        <f t="shared" si="278"/>
        <v>6.7777777777777795</v>
      </c>
    </row>
    <row r="8881" spans="2:5">
      <c r="B8881" s="1115">
        <v>45288</v>
      </c>
      <c r="C8881" s="242">
        <f t="shared" si="277"/>
        <v>12</v>
      </c>
      <c r="D8881" s="242">
        <v>44.4</v>
      </c>
      <c r="E8881" s="845">
        <f t="shared" si="278"/>
        <v>6.8888888888888875</v>
      </c>
    </row>
    <row r="8882" spans="2:5">
      <c r="B8882" s="1115">
        <v>45288</v>
      </c>
      <c r="C8882" s="242">
        <f t="shared" si="277"/>
        <v>12</v>
      </c>
      <c r="D8882" s="242">
        <v>44.4</v>
      </c>
      <c r="E8882" s="845">
        <f t="shared" si="278"/>
        <v>6.8888888888888875</v>
      </c>
    </row>
    <row r="8883" spans="2:5">
      <c r="B8883" s="1115">
        <v>45288</v>
      </c>
      <c r="C8883" s="242">
        <f t="shared" si="277"/>
        <v>12</v>
      </c>
      <c r="D8883" s="242">
        <v>44.4</v>
      </c>
      <c r="E8883" s="845">
        <f t="shared" si="278"/>
        <v>6.8888888888888875</v>
      </c>
    </row>
    <row r="8884" spans="2:5">
      <c r="B8884" s="1115">
        <v>45288</v>
      </c>
      <c r="C8884" s="242">
        <f t="shared" si="277"/>
        <v>12</v>
      </c>
      <c r="D8884" s="242">
        <v>44.2</v>
      </c>
      <c r="E8884" s="845">
        <f t="shared" si="278"/>
        <v>6.7777777777777795</v>
      </c>
    </row>
    <row r="8885" spans="2:5">
      <c r="B8885" s="1115">
        <v>45288</v>
      </c>
      <c r="C8885" s="242">
        <f t="shared" si="277"/>
        <v>12</v>
      </c>
      <c r="D8885" s="242">
        <v>44.4</v>
      </c>
      <c r="E8885" s="845">
        <f t="shared" si="278"/>
        <v>6.8888888888888875</v>
      </c>
    </row>
    <row r="8886" spans="2:5">
      <c r="B8886" s="1115">
        <v>45288</v>
      </c>
      <c r="C8886" s="242">
        <f t="shared" si="277"/>
        <v>12</v>
      </c>
      <c r="D8886" s="242">
        <v>44.2</v>
      </c>
      <c r="E8886" s="845">
        <f t="shared" si="278"/>
        <v>6.7777777777777795</v>
      </c>
    </row>
    <row r="8887" spans="2:5">
      <c r="B8887" s="1115">
        <v>45288</v>
      </c>
      <c r="C8887" s="242">
        <f t="shared" si="277"/>
        <v>12</v>
      </c>
      <c r="D8887" s="242">
        <v>43.9</v>
      </c>
      <c r="E8887" s="845">
        <f t="shared" si="278"/>
        <v>6.6111111111111098</v>
      </c>
    </row>
    <row r="8888" spans="2:5">
      <c r="B8888" s="1115">
        <v>45288</v>
      </c>
      <c r="C8888" s="242">
        <f t="shared" si="277"/>
        <v>12</v>
      </c>
      <c r="D8888" s="242">
        <v>43.5</v>
      </c>
      <c r="E8888" s="845">
        <f t="shared" si="278"/>
        <v>6.3888888888888884</v>
      </c>
    </row>
    <row r="8889" spans="2:5">
      <c r="B8889" s="1115">
        <v>45289</v>
      </c>
      <c r="C8889" s="242">
        <f t="shared" si="277"/>
        <v>12</v>
      </c>
      <c r="D8889" s="242">
        <v>43.2</v>
      </c>
      <c r="E8889" s="845">
        <f t="shared" si="278"/>
        <v>6.2222222222222232</v>
      </c>
    </row>
    <row r="8890" spans="2:5">
      <c r="B8890" s="1115">
        <v>45289</v>
      </c>
      <c r="C8890" s="242">
        <f t="shared" si="277"/>
        <v>12</v>
      </c>
      <c r="D8890" s="242">
        <v>42.8</v>
      </c>
      <c r="E8890" s="845">
        <f t="shared" si="278"/>
        <v>5.9999999999999982</v>
      </c>
    </row>
    <row r="8891" spans="2:5">
      <c r="B8891" s="1115">
        <v>45289</v>
      </c>
      <c r="C8891" s="242">
        <f t="shared" si="277"/>
        <v>12</v>
      </c>
      <c r="D8891" s="242">
        <v>42.8</v>
      </c>
      <c r="E8891" s="845">
        <f t="shared" si="278"/>
        <v>5.9999999999999982</v>
      </c>
    </row>
    <row r="8892" spans="2:5">
      <c r="B8892" s="1115">
        <v>45289</v>
      </c>
      <c r="C8892" s="242">
        <f t="shared" si="277"/>
        <v>12</v>
      </c>
      <c r="D8892" s="242">
        <v>43.3</v>
      </c>
      <c r="E8892" s="845">
        <f t="shared" si="278"/>
        <v>6.2777777777777759</v>
      </c>
    </row>
    <row r="8893" spans="2:5">
      <c r="B8893" s="1115">
        <v>45289</v>
      </c>
      <c r="C8893" s="242">
        <f t="shared" si="277"/>
        <v>12</v>
      </c>
      <c r="D8893" s="242">
        <v>43.7</v>
      </c>
      <c r="E8893" s="845">
        <f t="shared" si="278"/>
        <v>6.5000000000000018</v>
      </c>
    </row>
    <row r="8894" spans="2:5">
      <c r="B8894" s="1115">
        <v>45289</v>
      </c>
      <c r="C8894" s="242">
        <f t="shared" si="277"/>
        <v>12</v>
      </c>
      <c r="D8894" s="242">
        <v>43.7</v>
      </c>
      <c r="E8894" s="845">
        <f t="shared" si="278"/>
        <v>6.5000000000000018</v>
      </c>
    </row>
    <row r="8895" spans="2:5">
      <c r="B8895" s="1115">
        <v>45289</v>
      </c>
      <c r="C8895" s="242">
        <f t="shared" si="277"/>
        <v>12</v>
      </c>
      <c r="D8895" s="242">
        <v>43.7</v>
      </c>
      <c r="E8895" s="845">
        <f t="shared" si="278"/>
        <v>6.5000000000000018</v>
      </c>
    </row>
    <row r="8896" spans="2:5">
      <c r="B8896" s="1115">
        <v>45289</v>
      </c>
      <c r="C8896" s="242">
        <f t="shared" si="277"/>
        <v>12</v>
      </c>
      <c r="D8896" s="242">
        <v>43.7</v>
      </c>
      <c r="E8896" s="845">
        <f t="shared" si="278"/>
        <v>6.5000000000000018</v>
      </c>
    </row>
    <row r="8897" spans="2:5">
      <c r="B8897" s="1115">
        <v>45289</v>
      </c>
      <c r="C8897" s="242">
        <f t="shared" si="277"/>
        <v>12</v>
      </c>
      <c r="D8897" s="242">
        <v>43.7</v>
      </c>
      <c r="E8897" s="845">
        <f t="shared" si="278"/>
        <v>6.5000000000000018</v>
      </c>
    </row>
    <row r="8898" spans="2:5">
      <c r="B8898" s="1115">
        <v>45289</v>
      </c>
      <c r="C8898" s="242">
        <f t="shared" si="277"/>
        <v>12</v>
      </c>
      <c r="D8898" s="242">
        <v>43.7</v>
      </c>
      <c r="E8898" s="845">
        <f t="shared" si="278"/>
        <v>6.5000000000000018</v>
      </c>
    </row>
    <row r="8899" spans="2:5">
      <c r="B8899" s="1115">
        <v>45289</v>
      </c>
      <c r="C8899" s="242">
        <f t="shared" si="277"/>
        <v>12</v>
      </c>
      <c r="D8899" s="242">
        <v>43.7</v>
      </c>
      <c r="E8899" s="845">
        <f t="shared" si="278"/>
        <v>6.5000000000000018</v>
      </c>
    </row>
    <row r="8900" spans="2:5">
      <c r="B8900" s="1115">
        <v>45289</v>
      </c>
      <c r="C8900" s="242">
        <f t="shared" si="277"/>
        <v>12</v>
      </c>
      <c r="D8900" s="242">
        <v>43.3</v>
      </c>
      <c r="E8900" s="845">
        <f t="shared" si="278"/>
        <v>6.2777777777777759</v>
      </c>
    </row>
    <row r="8901" spans="2:5">
      <c r="B8901" s="1115">
        <v>45289</v>
      </c>
      <c r="C8901" s="242">
        <f t="shared" si="277"/>
        <v>12</v>
      </c>
      <c r="D8901" s="242" t="s">
        <v>1838</v>
      </c>
      <c r="E8901" s="845">
        <f t="shared" si="278"/>
        <v>6.1111111111111107</v>
      </c>
    </row>
    <row r="8902" spans="2:5">
      <c r="B8902" s="1115">
        <v>45289</v>
      </c>
      <c r="C8902" s="242">
        <f t="shared" si="277"/>
        <v>12</v>
      </c>
      <c r="D8902" s="242">
        <v>42.8</v>
      </c>
      <c r="E8902" s="845">
        <f t="shared" si="278"/>
        <v>5.9999999999999982</v>
      </c>
    </row>
    <row r="8903" spans="2:5">
      <c r="B8903" s="1115">
        <v>45289</v>
      </c>
      <c r="C8903" s="242">
        <f t="shared" si="277"/>
        <v>12</v>
      </c>
      <c r="D8903" s="242" t="s">
        <v>1838</v>
      </c>
      <c r="E8903" s="845">
        <f t="shared" si="278"/>
        <v>6.1111111111111107</v>
      </c>
    </row>
    <row r="8904" spans="2:5">
      <c r="B8904" s="1115">
        <v>45289</v>
      </c>
      <c r="C8904" s="242">
        <f t="shared" si="277"/>
        <v>12</v>
      </c>
      <c r="D8904" s="242">
        <v>43.2</v>
      </c>
      <c r="E8904" s="845">
        <f t="shared" si="278"/>
        <v>6.2222222222222232</v>
      </c>
    </row>
    <row r="8905" spans="2:5">
      <c r="B8905" s="1115">
        <v>45289</v>
      </c>
      <c r="C8905" s="242">
        <f t="shared" si="277"/>
        <v>12</v>
      </c>
      <c r="D8905" s="242">
        <v>43.5</v>
      </c>
      <c r="E8905" s="845">
        <f t="shared" si="278"/>
        <v>6.3888888888888884</v>
      </c>
    </row>
    <row r="8906" spans="2:5">
      <c r="B8906" s="1115">
        <v>45289</v>
      </c>
      <c r="C8906" s="242">
        <f t="shared" ref="C8906:C8960" si="279">MONTH(B8906)</f>
        <v>12</v>
      </c>
      <c r="D8906" s="242">
        <v>43.5</v>
      </c>
      <c r="E8906" s="845">
        <f t="shared" ref="E8906:E8960" si="280">CONVERT(D8906,"F","C")</f>
        <v>6.3888888888888884</v>
      </c>
    </row>
    <row r="8907" spans="2:5">
      <c r="B8907" s="1115">
        <v>45289</v>
      </c>
      <c r="C8907" s="242">
        <f t="shared" si="279"/>
        <v>12</v>
      </c>
      <c r="D8907" s="242">
        <v>43.5</v>
      </c>
      <c r="E8907" s="845">
        <f t="shared" si="280"/>
        <v>6.3888888888888884</v>
      </c>
    </row>
    <row r="8908" spans="2:5">
      <c r="B8908" s="1115">
        <v>45289</v>
      </c>
      <c r="C8908" s="242">
        <f t="shared" si="279"/>
        <v>12</v>
      </c>
      <c r="D8908" s="242">
        <v>43.5</v>
      </c>
      <c r="E8908" s="845">
        <f t="shared" si="280"/>
        <v>6.3888888888888884</v>
      </c>
    </row>
    <row r="8909" spans="2:5">
      <c r="B8909" s="1115">
        <v>45289</v>
      </c>
      <c r="C8909" s="242">
        <f t="shared" si="279"/>
        <v>12</v>
      </c>
      <c r="D8909" s="242">
        <v>43.5</v>
      </c>
      <c r="E8909" s="845">
        <f t="shared" si="280"/>
        <v>6.3888888888888884</v>
      </c>
    </row>
    <row r="8910" spans="2:5">
      <c r="B8910" s="1115">
        <v>45289</v>
      </c>
      <c r="C8910" s="242">
        <f t="shared" si="279"/>
        <v>12</v>
      </c>
      <c r="D8910" s="242">
        <v>43.5</v>
      </c>
      <c r="E8910" s="845">
        <f t="shared" si="280"/>
        <v>6.3888888888888884</v>
      </c>
    </row>
    <row r="8911" spans="2:5">
      <c r="B8911" s="1115">
        <v>45289</v>
      </c>
      <c r="C8911" s="242">
        <f t="shared" si="279"/>
        <v>12</v>
      </c>
      <c r="D8911" s="242">
        <v>43.5</v>
      </c>
      <c r="E8911" s="845">
        <f t="shared" si="280"/>
        <v>6.3888888888888884</v>
      </c>
    </row>
    <row r="8912" spans="2:5">
      <c r="B8912" s="1115">
        <v>45289</v>
      </c>
      <c r="C8912" s="242">
        <f t="shared" si="279"/>
        <v>12</v>
      </c>
      <c r="D8912" s="242">
        <v>43.2</v>
      </c>
      <c r="E8912" s="845">
        <f t="shared" si="280"/>
        <v>6.2222222222222232</v>
      </c>
    </row>
    <row r="8913" spans="2:5">
      <c r="B8913" s="1115">
        <v>45290</v>
      </c>
      <c r="C8913" s="242">
        <f t="shared" si="279"/>
        <v>12</v>
      </c>
      <c r="D8913" s="242" t="s">
        <v>1838</v>
      </c>
      <c r="E8913" s="845">
        <f t="shared" si="280"/>
        <v>6.1111111111111107</v>
      </c>
    </row>
    <row r="8914" spans="2:5">
      <c r="B8914" s="1115">
        <v>45290</v>
      </c>
      <c r="C8914" s="242">
        <f t="shared" si="279"/>
        <v>12</v>
      </c>
      <c r="D8914" s="242">
        <v>42.8</v>
      </c>
      <c r="E8914" s="845">
        <f t="shared" si="280"/>
        <v>5.9999999999999982</v>
      </c>
    </row>
    <row r="8915" spans="2:5">
      <c r="B8915" s="1115">
        <v>45290</v>
      </c>
      <c r="C8915" s="242">
        <f t="shared" si="279"/>
        <v>12</v>
      </c>
      <c r="D8915" s="242">
        <v>42.6</v>
      </c>
      <c r="E8915" s="845">
        <f t="shared" si="280"/>
        <v>5.8888888888888893</v>
      </c>
    </row>
    <row r="8916" spans="2:5">
      <c r="B8916" s="1115">
        <v>45290</v>
      </c>
      <c r="C8916" s="242">
        <f t="shared" si="279"/>
        <v>12</v>
      </c>
      <c r="D8916" s="242">
        <v>42.6</v>
      </c>
      <c r="E8916" s="845">
        <f t="shared" si="280"/>
        <v>5.8888888888888893</v>
      </c>
    </row>
    <row r="8917" spans="2:5">
      <c r="B8917" s="1115">
        <v>45290</v>
      </c>
      <c r="C8917" s="242">
        <f t="shared" si="279"/>
        <v>12</v>
      </c>
      <c r="D8917" s="242" t="s">
        <v>1838</v>
      </c>
      <c r="E8917" s="845">
        <f t="shared" si="280"/>
        <v>6.1111111111111107</v>
      </c>
    </row>
    <row r="8918" spans="2:5">
      <c r="B8918" s="1115">
        <v>45290</v>
      </c>
      <c r="C8918" s="242">
        <f t="shared" si="279"/>
        <v>12</v>
      </c>
      <c r="D8918" s="242">
        <v>43.3</v>
      </c>
      <c r="E8918" s="845">
        <f t="shared" si="280"/>
        <v>6.2777777777777759</v>
      </c>
    </row>
    <row r="8919" spans="2:5">
      <c r="B8919" s="1115">
        <v>45290</v>
      </c>
      <c r="C8919" s="242">
        <f t="shared" si="279"/>
        <v>12</v>
      </c>
      <c r="D8919" s="242">
        <v>43.3</v>
      </c>
      <c r="E8919" s="845">
        <f t="shared" si="280"/>
        <v>6.2777777777777759</v>
      </c>
    </row>
    <row r="8920" spans="2:5">
      <c r="B8920" s="1115">
        <v>45290</v>
      </c>
      <c r="C8920" s="242">
        <f t="shared" si="279"/>
        <v>12</v>
      </c>
      <c r="D8920" s="242">
        <v>43.3</v>
      </c>
      <c r="E8920" s="845">
        <f t="shared" si="280"/>
        <v>6.2777777777777759</v>
      </c>
    </row>
    <row r="8921" spans="2:5">
      <c r="B8921" s="1115">
        <v>45290</v>
      </c>
      <c r="C8921" s="242">
        <f t="shared" si="279"/>
        <v>12</v>
      </c>
      <c r="D8921" s="242">
        <v>43.3</v>
      </c>
      <c r="E8921" s="845">
        <f t="shared" si="280"/>
        <v>6.2777777777777759</v>
      </c>
    </row>
    <row r="8922" spans="2:5">
      <c r="B8922" s="1115">
        <v>45290</v>
      </c>
      <c r="C8922" s="242">
        <f t="shared" si="279"/>
        <v>12</v>
      </c>
      <c r="D8922" s="242">
        <v>43.3</v>
      </c>
      <c r="E8922" s="845">
        <f t="shared" si="280"/>
        <v>6.2777777777777759</v>
      </c>
    </row>
    <row r="8923" spans="2:5">
      <c r="B8923" s="1115">
        <v>45290</v>
      </c>
      <c r="C8923" s="242">
        <f t="shared" si="279"/>
        <v>12</v>
      </c>
      <c r="D8923" s="242">
        <v>43.3</v>
      </c>
      <c r="E8923" s="845">
        <f t="shared" si="280"/>
        <v>6.2777777777777759</v>
      </c>
    </row>
    <row r="8924" spans="2:5">
      <c r="B8924" s="1115">
        <v>45290</v>
      </c>
      <c r="C8924" s="242">
        <f t="shared" si="279"/>
        <v>12</v>
      </c>
      <c r="D8924" s="242">
        <v>43.2</v>
      </c>
      <c r="E8924" s="845">
        <f t="shared" si="280"/>
        <v>6.2222222222222232</v>
      </c>
    </row>
    <row r="8925" spans="2:5">
      <c r="B8925" s="1115">
        <v>45290</v>
      </c>
      <c r="C8925" s="242">
        <f t="shared" si="279"/>
        <v>12</v>
      </c>
      <c r="D8925" s="242">
        <v>42.8</v>
      </c>
      <c r="E8925" s="845">
        <f t="shared" si="280"/>
        <v>5.9999999999999982</v>
      </c>
    </row>
    <row r="8926" spans="2:5">
      <c r="B8926" s="1115">
        <v>45290</v>
      </c>
      <c r="C8926" s="242">
        <f t="shared" si="279"/>
        <v>12</v>
      </c>
      <c r="D8926" s="242">
        <v>42.6</v>
      </c>
      <c r="E8926" s="845">
        <f t="shared" si="280"/>
        <v>5.8888888888888893</v>
      </c>
    </row>
    <row r="8927" spans="2:5">
      <c r="B8927" s="1115">
        <v>45290</v>
      </c>
      <c r="C8927" s="242">
        <f t="shared" si="279"/>
        <v>12</v>
      </c>
      <c r="D8927" s="242">
        <v>42.4</v>
      </c>
      <c r="E8927" s="845">
        <f t="shared" si="280"/>
        <v>5.7777777777777768</v>
      </c>
    </row>
    <row r="8928" spans="2:5">
      <c r="B8928" s="1115">
        <v>45290</v>
      </c>
      <c r="C8928" s="242">
        <f t="shared" si="279"/>
        <v>12</v>
      </c>
      <c r="D8928" s="242">
        <v>42.6</v>
      </c>
      <c r="E8928" s="845">
        <f t="shared" si="280"/>
        <v>5.8888888888888893</v>
      </c>
    </row>
    <row r="8929" spans="2:5">
      <c r="B8929" s="1115">
        <v>45290</v>
      </c>
      <c r="C8929" s="242">
        <f t="shared" si="279"/>
        <v>12</v>
      </c>
      <c r="D8929" s="242" t="s">
        <v>1838</v>
      </c>
      <c r="E8929" s="845">
        <f t="shared" si="280"/>
        <v>6.1111111111111107</v>
      </c>
    </row>
    <row r="8930" spans="2:5">
      <c r="B8930" s="1115">
        <v>45290</v>
      </c>
      <c r="C8930" s="242">
        <f t="shared" si="279"/>
        <v>12</v>
      </c>
      <c r="D8930" s="242">
        <v>43.3</v>
      </c>
      <c r="E8930" s="845">
        <f t="shared" si="280"/>
        <v>6.2777777777777759</v>
      </c>
    </row>
    <row r="8931" spans="2:5">
      <c r="B8931" s="1115">
        <v>45290</v>
      </c>
      <c r="C8931" s="242">
        <f t="shared" si="279"/>
        <v>12</v>
      </c>
      <c r="D8931" s="242">
        <v>43.5</v>
      </c>
      <c r="E8931" s="845">
        <f t="shared" si="280"/>
        <v>6.3888888888888884</v>
      </c>
    </row>
    <row r="8932" spans="2:5">
      <c r="B8932" s="1115">
        <v>45290</v>
      </c>
      <c r="C8932" s="242">
        <f t="shared" si="279"/>
        <v>12</v>
      </c>
      <c r="D8932" s="242">
        <v>43.7</v>
      </c>
      <c r="E8932" s="845">
        <f t="shared" si="280"/>
        <v>6.5000000000000018</v>
      </c>
    </row>
    <row r="8933" spans="2:5">
      <c r="B8933" s="1115">
        <v>45290</v>
      </c>
      <c r="C8933" s="242">
        <f t="shared" si="279"/>
        <v>12</v>
      </c>
      <c r="D8933" s="242">
        <v>43.7</v>
      </c>
      <c r="E8933" s="845">
        <f t="shared" si="280"/>
        <v>6.5000000000000018</v>
      </c>
    </row>
    <row r="8934" spans="2:5">
      <c r="B8934" s="1115">
        <v>45290</v>
      </c>
      <c r="C8934" s="242">
        <f t="shared" si="279"/>
        <v>12</v>
      </c>
      <c r="D8934" s="242">
        <v>43.7</v>
      </c>
      <c r="E8934" s="845">
        <f t="shared" si="280"/>
        <v>6.5000000000000018</v>
      </c>
    </row>
    <row r="8935" spans="2:5">
      <c r="B8935" s="1115">
        <v>45290</v>
      </c>
      <c r="C8935" s="242">
        <f t="shared" si="279"/>
        <v>12</v>
      </c>
      <c r="D8935" s="242">
        <v>43.5</v>
      </c>
      <c r="E8935" s="845">
        <f t="shared" si="280"/>
        <v>6.3888888888888884</v>
      </c>
    </row>
    <row r="8936" spans="2:5">
      <c r="B8936" s="1115">
        <v>45290</v>
      </c>
      <c r="C8936" s="242">
        <f t="shared" si="279"/>
        <v>12</v>
      </c>
      <c r="D8936" s="242">
        <v>43.2</v>
      </c>
      <c r="E8936" s="845">
        <f t="shared" si="280"/>
        <v>6.2222222222222232</v>
      </c>
    </row>
    <row r="8937" spans="2:5">
      <c r="B8937" s="1115">
        <v>45291</v>
      </c>
      <c r="C8937" s="242">
        <f t="shared" si="279"/>
        <v>12</v>
      </c>
      <c r="D8937" s="242">
        <v>42.8</v>
      </c>
      <c r="E8937" s="845">
        <f t="shared" si="280"/>
        <v>5.9999999999999982</v>
      </c>
    </row>
    <row r="8938" spans="2:5">
      <c r="B8938" s="1115">
        <v>45291</v>
      </c>
      <c r="C8938" s="242">
        <f t="shared" si="279"/>
        <v>12</v>
      </c>
      <c r="D8938" s="242">
        <v>42.6</v>
      </c>
      <c r="E8938" s="845">
        <f t="shared" si="280"/>
        <v>5.8888888888888893</v>
      </c>
    </row>
    <row r="8939" spans="2:5">
      <c r="B8939" s="1115">
        <v>45291</v>
      </c>
      <c r="C8939" s="242">
        <f t="shared" si="279"/>
        <v>12</v>
      </c>
      <c r="D8939" s="242">
        <v>42.4</v>
      </c>
      <c r="E8939" s="845">
        <f t="shared" si="280"/>
        <v>5.7777777777777768</v>
      </c>
    </row>
    <row r="8940" spans="2:5">
      <c r="B8940" s="1115">
        <v>45291</v>
      </c>
      <c r="C8940" s="242">
        <f t="shared" si="279"/>
        <v>12</v>
      </c>
      <c r="D8940" s="242">
        <v>42.3</v>
      </c>
      <c r="E8940" s="845">
        <f t="shared" si="280"/>
        <v>5.7222222222222205</v>
      </c>
    </row>
    <row r="8941" spans="2:5">
      <c r="B8941" s="1115">
        <v>45291</v>
      </c>
      <c r="C8941" s="242">
        <f t="shared" si="279"/>
        <v>12</v>
      </c>
      <c r="D8941" s="242">
        <v>42.4</v>
      </c>
      <c r="E8941" s="845">
        <f t="shared" si="280"/>
        <v>5.7777777777777768</v>
      </c>
    </row>
    <row r="8942" spans="2:5">
      <c r="B8942" s="1115">
        <v>45291</v>
      </c>
      <c r="C8942" s="242">
        <f t="shared" si="279"/>
        <v>12</v>
      </c>
      <c r="D8942" s="242">
        <v>43.3</v>
      </c>
      <c r="E8942" s="845">
        <f t="shared" si="280"/>
        <v>6.2777777777777759</v>
      </c>
    </row>
    <row r="8943" spans="2:5">
      <c r="B8943" s="1115">
        <v>45291</v>
      </c>
      <c r="C8943" s="242">
        <f t="shared" si="279"/>
        <v>12</v>
      </c>
      <c r="D8943" s="242">
        <v>43.7</v>
      </c>
      <c r="E8943" s="845">
        <f t="shared" si="280"/>
        <v>6.5000000000000018</v>
      </c>
    </row>
    <row r="8944" spans="2:5">
      <c r="B8944" s="1115">
        <v>45291</v>
      </c>
      <c r="C8944" s="242">
        <f t="shared" si="279"/>
        <v>12</v>
      </c>
      <c r="D8944" s="242">
        <v>43.9</v>
      </c>
      <c r="E8944" s="845">
        <f t="shared" si="280"/>
        <v>6.6111111111111098</v>
      </c>
    </row>
    <row r="8945" spans="2:5">
      <c r="B8945" s="1115">
        <v>45291</v>
      </c>
      <c r="C8945" s="242">
        <f t="shared" si="279"/>
        <v>12</v>
      </c>
      <c r="D8945" s="242">
        <v>44.1</v>
      </c>
      <c r="E8945" s="845">
        <f t="shared" si="280"/>
        <v>6.7222222222222232</v>
      </c>
    </row>
    <row r="8946" spans="2:5">
      <c r="B8946" s="1115">
        <v>45291</v>
      </c>
      <c r="C8946" s="242">
        <f t="shared" si="279"/>
        <v>12</v>
      </c>
      <c r="D8946" s="242">
        <v>43.2</v>
      </c>
      <c r="E8946" s="845">
        <f t="shared" si="280"/>
        <v>6.2222222222222232</v>
      </c>
    </row>
    <row r="8947" spans="2:5">
      <c r="B8947" s="1115">
        <v>45291</v>
      </c>
      <c r="C8947" s="242">
        <f t="shared" si="279"/>
        <v>12</v>
      </c>
      <c r="D8947" s="242">
        <v>43.7</v>
      </c>
      <c r="E8947" s="845">
        <f t="shared" si="280"/>
        <v>6.5000000000000018</v>
      </c>
    </row>
    <row r="8948" spans="2:5">
      <c r="B8948" s="1115">
        <v>45291</v>
      </c>
      <c r="C8948" s="242">
        <f t="shared" si="279"/>
        <v>12</v>
      </c>
      <c r="D8948" s="242">
        <v>43.3</v>
      </c>
      <c r="E8948" s="845">
        <f t="shared" si="280"/>
        <v>6.2777777777777759</v>
      </c>
    </row>
    <row r="8949" spans="2:5">
      <c r="B8949" s="1115">
        <v>45291</v>
      </c>
      <c r="C8949" s="242">
        <f t="shared" si="279"/>
        <v>12</v>
      </c>
      <c r="D8949" s="242">
        <v>42.8</v>
      </c>
      <c r="E8949" s="845">
        <f t="shared" si="280"/>
        <v>5.9999999999999982</v>
      </c>
    </row>
    <row r="8950" spans="2:5">
      <c r="B8950" s="1115">
        <v>45291</v>
      </c>
      <c r="C8950" s="242">
        <f t="shared" si="279"/>
        <v>12</v>
      </c>
      <c r="D8950" s="242">
        <v>42.3</v>
      </c>
      <c r="E8950" s="845">
        <f t="shared" si="280"/>
        <v>5.7222222222222205</v>
      </c>
    </row>
    <row r="8951" spans="2:5">
      <c r="B8951" s="1115">
        <v>45291</v>
      </c>
      <c r="C8951" s="242">
        <f t="shared" si="279"/>
        <v>12</v>
      </c>
      <c r="D8951" s="242">
        <v>42.1</v>
      </c>
      <c r="E8951" s="845">
        <f t="shared" si="280"/>
        <v>5.6111111111111116</v>
      </c>
    </row>
    <row r="8952" spans="2:5">
      <c r="B8952" s="1115">
        <v>45291</v>
      </c>
      <c r="C8952" s="242">
        <f t="shared" si="279"/>
        <v>12</v>
      </c>
      <c r="D8952" s="242">
        <v>42.1</v>
      </c>
      <c r="E8952" s="845">
        <f t="shared" si="280"/>
        <v>5.6111111111111116</v>
      </c>
    </row>
    <row r="8953" spans="2:5">
      <c r="B8953" s="1115">
        <v>45291</v>
      </c>
      <c r="C8953" s="242">
        <f t="shared" si="279"/>
        <v>12</v>
      </c>
      <c r="D8953" s="242">
        <v>42.4</v>
      </c>
      <c r="E8953" s="845">
        <f t="shared" si="280"/>
        <v>5.7777777777777768</v>
      </c>
    </row>
    <row r="8954" spans="2:5">
      <c r="B8954" s="1115">
        <v>45291</v>
      </c>
      <c r="C8954" s="242">
        <f t="shared" si="279"/>
        <v>12</v>
      </c>
      <c r="D8954" s="242">
        <v>43.3</v>
      </c>
      <c r="E8954" s="845">
        <f t="shared" si="280"/>
        <v>6.2777777777777759</v>
      </c>
    </row>
    <row r="8955" spans="2:5">
      <c r="B8955" s="1115">
        <v>45291</v>
      </c>
      <c r="C8955" s="242">
        <f t="shared" si="279"/>
        <v>12</v>
      </c>
      <c r="D8955" s="242">
        <v>43.5</v>
      </c>
      <c r="E8955" s="845">
        <f t="shared" si="280"/>
        <v>6.3888888888888884</v>
      </c>
    </row>
    <row r="8956" spans="2:5">
      <c r="B8956" s="1115">
        <v>45291</v>
      </c>
      <c r="C8956" s="242">
        <f t="shared" si="279"/>
        <v>12</v>
      </c>
      <c r="D8956" s="242">
        <v>43.7</v>
      </c>
      <c r="E8956" s="845">
        <f t="shared" si="280"/>
        <v>6.5000000000000018</v>
      </c>
    </row>
    <row r="8957" spans="2:5">
      <c r="B8957" s="1115">
        <v>45291</v>
      </c>
      <c r="C8957" s="242">
        <f t="shared" si="279"/>
        <v>12</v>
      </c>
      <c r="D8957" s="242">
        <v>43.9</v>
      </c>
      <c r="E8957" s="845">
        <f t="shared" si="280"/>
        <v>6.6111111111111098</v>
      </c>
    </row>
    <row r="8958" spans="2:5">
      <c r="B8958" s="1115">
        <v>45291</v>
      </c>
      <c r="C8958" s="242">
        <f t="shared" si="279"/>
        <v>12</v>
      </c>
      <c r="D8958" s="242">
        <v>43.9</v>
      </c>
      <c r="E8958" s="845">
        <f t="shared" si="280"/>
        <v>6.6111111111111098</v>
      </c>
    </row>
    <row r="8959" spans="2:5">
      <c r="B8959" s="1115">
        <v>45291</v>
      </c>
      <c r="C8959" s="242">
        <f t="shared" si="279"/>
        <v>12</v>
      </c>
      <c r="D8959" s="242">
        <v>43.7</v>
      </c>
      <c r="E8959" s="845">
        <f t="shared" si="280"/>
        <v>6.5000000000000018</v>
      </c>
    </row>
    <row r="8960" spans="2:5">
      <c r="B8960" s="1115">
        <v>45291</v>
      </c>
      <c r="C8960" s="242">
        <f t="shared" si="279"/>
        <v>12</v>
      </c>
      <c r="D8960" s="242">
        <v>43.5</v>
      </c>
      <c r="E8960" s="845">
        <f t="shared" si="280"/>
        <v>6.3888888888888884</v>
      </c>
    </row>
    <row r="8961" spans="2:5">
      <c r="B8961" s="1115"/>
      <c r="C8961" s="242"/>
      <c r="E8961" s="845"/>
    </row>
    <row r="8962" spans="2:5">
      <c r="B8962" s="1115"/>
      <c r="C8962" s="242"/>
      <c r="E8962" s="845"/>
    </row>
    <row r="8963" spans="2:5">
      <c r="B8963" s="1115"/>
      <c r="C8963" s="242"/>
      <c r="E8963" s="845"/>
    </row>
    <row r="8964" spans="2:5">
      <c r="B8964" s="1115"/>
      <c r="C8964" s="242"/>
      <c r="E8964" s="845"/>
    </row>
    <row r="8965" spans="2:5">
      <c r="B8965" s="1115"/>
      <c r="C8965" s="242"/>
      <c r="E8965" s="845"/>
    </row>
    <row r="8966" spans="2:5">
      <c r="B8966" s="1115"/>
      <c r="C8966" s="242"/>
      <c r="E8966" s="845"/>
    </row>
    <row r="8967" spans="2:5">
      <c r="B8967" s="1115"/>
      <c r="C8967" s="242"/>
      <c r="E8967" s="845"/>
    </row>
    <row r="8968" spans="2:5">
      <c r="B8968" s="1115"/>
      <c r="C8968" s="242"/>
      <c r="E8968" s="845"/>
    </row>
    <row r="8969" spans="2:5">
      <c r="B8969" s="1115"/>
      <c r="C8969" s="242"/>
      <c r="E8969" s="845"/>
    </row>
    <row r="8970" spans="2:5">
      <c r="B8970" s="1115"/>
      <c r="C8970" s="242"/>
      <c r="E8970" s="845"/>
    </row>
    <row r="8971" spans="2:5">
      <c r="B8971" s="1115"/>
      <c r="C8971" s="242"/>
      <c r="E8971" s="845"/>
    </row>
    <row r="8972" spans="2:5">
      <c r="B8972" s="1115"/>
      <c r="C8972" s="242"/>
      <c r="E8972" s="845"/>
    </row>
    <row r="8973" spans="2:5">
      <c r="B8973" s="1115"/>
      <c r="C8973" s="242"/>
      <c r="E8973" s="845"/>
    </row>
    <row r="8974" spans="2:5">
      <c r="B8974" s="1115"/>
      <c r="C8974" s="242"/>
      <c r="E8974" s="845"/>
    </row>
    <row r="8975" spans="2:5">
      <c r="B8975" s="1115"/>
      <c r="C8975" s="242"/>
      <c r="E8975" s="845"/>
    </row>
    <row r="8976" spans="2:5">
      <c r="B8976" s="1115"/>
      <c r="C8976" s="242"/>
      <c r="E8976" s="845"/>
    </row>
    <row r="8977" spans="2:5">
      <c r="B8977" s="1115"/>
      <c r="C8977" s="242"/>
      <c r="E8977" s="845"/>
    </row>
    <row r="8978" spans="2:5">
      <c r="B8978" s="1115"/>
      <c r="C8978" s="242"/>
      <c r="E8978" s="845"/>
    </row>
    <row r="8979" spans="2:5">
      <c r="B8979" s="1115"/>
      <c r="C8979" s="242"/>
      <c r="E8979" s="845"/>
    </row>
    <row r="8980" spans="2:5">
      <c r="B8980" s="1115"/>
      <c r="C8980" s="242"/>
      <c r="E8980" s="845"/>
    </row>
    <row r="8981" spans="2:5">
      <c r="B8981" s="1115"/>
      <c r="C8981" s="242"/>
      <c r="E8981" s="845"/>
    </row>
    <row r="8982" spans="2:5">
      <c r="B8982" s="1115"/>
      <c r="C8982" s="242"/>
      <c r="E8982" s="845"/>
    </row>
    <row r="8983" spans="2:5">
      <c r="B8983" s="1115"/>
      <c r="C8983" s="242"/>
      <c r="E8983" s="845"/>
    </row>
    <row r="8984" spans="2:5">
      <c r="B8984" s="1115"/>
      <c r="C8984" s="242"/>
      <c r="E8984" s="845"/>
    </row>
    <row r="8985" spans="2:5">
      <c r="B8985" s="1115"/>
      <c r="C8985" s="242"/>
      <c r="E8985" s="845"/>
    </row>
    <row r="8986" spans="2:5">
      <c r="B8986" s="1115"/>
      <c r="C8986" s="242"/>
      <c r="E8986" s="845"/>
    </row>
    <row r="8987" spans="2:5">
      <c r="B8987" s="1115"/>
      <c r="C8987" s="242"/>
      <c r="E8987" s="845"/>
    </row>
    <row r="8988" spans="2:5">
      <c r="B8988" s="1115"/>
      <c r="C8988" s="242"/>
      <c r="E8988" s="845"/>
    </row>
    <row r="8989" spans="2:5">
      <c r="B8989" s="1115"/>
      <c r="C8989" s="242"/>
      <c r="E8989" s="845"/>
    </row>
    <row r="8990" spans="2:5">
      <c r="B8990" s="1115"/>
      <c r="C8990" s="242"/>
      <c r="E8990" s="845"/>
    </row>
    <row r="8991" spans="2:5">
      <c r="B8991" s="1115"/>
      <c r="C8991" s="242"/>
      <c r="E8991" s="845"/>
    </row>
    <row r="8992" spans="2:5">
      <c r="B8992" s="1115"/>
      <c r="C8992" s="242"/>
      <c r="E8992" s="845"/>
    </row>
    <row r="8993" spans="2:5">
      <c r="B8993" s="1115"/>
      <c r="C8993" s="242"/>
      <c r="E8993" s="845"/>
    </row>
    <row r="8994" spans="2:5">
      <c r="B8994" s="1115"/>
      <c r="C8994" s="242"/>
      <c r="E8994" s="845"/>
    </row>
    <row r="8995" spans="2:5">
      <c r="B8995" s="1115"/>
      <c r="C8995" s="242"/>
      <c r="E8995" s="845"/>
    </row>
    <row r="8996" spans="2:5">
      <c r="B8996" s="1115"/>
      <c r="C8996" s="242"/>
      <c r="E8996" s="845"/>
    </row>
    <row r="8997" spans="2:5">
      <c r="B8997" s="1115"/>
      <c r="C8997" s="242"/>
      <c r="E8997" s="845"/>
    </row>
    <row r="8998" spans="2:5">
      <c r="B8998" s="1115"/>
      <c r="C8998" s="242"/>
      <c r="E8998" s="845"/>
    </row>
    <row r="8999" spans="2:5">
      <c r="B8999" s="1115"/>
      <c r="C8999" s="242"/>
      <c r="E8999" s="845"/>
    </row>
    <row r="9000" spans="2:5">
      <c r="B9000" s="1115"/>
      <c r="C9000" s="242"/>
      <c r="E9000" s="845"/>
    </row>
    <row r="9001" spans="2:5">
      <c r="B9001" s="1115"/>
      <c r="C9001" s="242"/>
      <c r="E9001" s="845"/>
    </row>
    <row r="9002" spans="2:5">
      <c r="B9002" s="1115"/>
      <c r="C9002" s="242"/>
      <c r="E9002" s="845"/>
    </row>
    <row r="9003" spans="2:5">
      <c r="B9003" s="1115"/>
      <c r="C9003" s="242"/>
      <c r="E9003" s="845"/>
    </row>
    <row r="9004" spans="2:5">
      <c r="B9004" s="1115"/>
      <c r="C9004" s="242"/>
      <c r="E9004" s="845"/>
    </row>
    <row r="9005" spans="2:5">
      <c r="B9005" s="1115"/>
      <c r="C9005" s="242"/>
      <c r="E9005" s="845"/>
    </row>
    <row r="9006" spans="2:5">
      <c r="B9006" s="1115"/>
      <c r="C9006" s="242"/>
      <c r="E9006" s="845"/>
    </row>
    <row r="9007" spans="2:5">
      <c r="B9007" s="1115"/>
      <c r="C9007" s="242"/>
      <c r="E9007" s="845"/>
    </row>
    <row r="9008" spans="2:5">
      <c r="B9008" s="1115"/>
      <c r="C9008" s="242"/>
      <c r="E9008" s="845"/>
    </row>
    <row r="9009" spans="2:5">
      <c r="B9009" s="1115"/>
      <c r="C9009" s="242"/>
      <c r="E9009" s="845"/>
    </row>
    <row r="9010" spans="2:5">
      <c r="B9010" s="1115"/>
      <c r="C9010" s="242"/>
      <c r="E9010" s="845"/>
    </row>
    <row r="9011" spans="2:5">
      <c r="B9011" s="1115"/>
      <c r="C9011" s="242"/>
      <c r="E9011" s="845"/>
    </row>
    <row r="9012" spans="2:5">
      <c r="B9012" s="1115"/>
      <c r="C9012" s="242"/>
      <c r="E9012" s="845"/>
    </row>
    <row r="9013" spans="2:5">
      <c r="B9013" s="1115"/>
      <c r="C9013" s="242"/>
      <c r="E9013" s="845"/>
    </row>
    <row r="9014" spans="2:5">
      <c r="B9014" s="1115"/>
      <c r="C9014" s="242"/>
      <c r="E9014" s="845"/>
    </row>
    <row r="9015" spans="2:5">
      <c r="B9015" s="1115"/>
      <c r="C9015" s="242"/>
      <c r="E9015" s="845"/>
    </row>
    <row r="9016" spans="2:5">
      <c r="B9016" s="1115"/>
      <c r="C9016" s="242"/>
      <c r="E9016" s="845"/>
    </row>
    <row r="9017" spans="2:5">
      <c r="B9017" s="1115"/>
      <c r="C9017" s="242"/>
      <c r="E9017" s="845"/>
    </row>
    <row r="9018" spans="2:5">
      <c r="B9018" s="1115"/>
      <c r="C9018" s="242"/>
      <c r="E9018" s="845"/>
    </row>
    <row r="9019" spans="2:5">
      <c r="B9019" s="1115"/>
      <c r="C9019" s="242"/>
      <c r="E9019" s="845"/>
    </row>
    <row r="9020" spans="2:5">
      <c r="B9020" s="1115"/>
      <c r="C9020" s="242"/>
      <c r="E9020" s="845"/>
    </row>
    <row r="9021" spans="2:5">
      <c r="B9021" s="1115"/>
      <c r="C9021" s="242"/>
      <c r="E9021" s="845"/>
    </row>
    <row r="9022" spans="2:5">
      <c r="B9022" s="1115"/>
      <c r="C9022" s="242"/>
      <c r="E9022" s="845"/>
    </row>
    <row r="9023" spans="2:5">
      <c r="B9023" s="1115"/>
      <c r="C9023" s="242"/>
      <c r="E9023" s="845"/>
    </row>
    <row r="9024" spans="2:5">
      <c r="B9024" s="1115"/>
      <c r="C9024" s="242"/>
      <c r="E9024" s="845"/>
    </row>
    <row r="9025" spans="2:5">
      <c r="B9025" s="1115"/>
      <c r="C9025" s="242"/>
      <c r="E9025" s="845"/>
    </row>
    <row r="9026" spans="2:5">
      <c r="B9026" s="1115"/>
      <c r="C9026" s="242"/>
      <c r="E9026" s="845"/>
    </row>
    <row r="9027" spans="2:5">
      <c r="B9027" s="1115"/>
      <c r="C9027" s="242"/>
      <c r="E9027" s="845"/>
    </row>
    <row r="9028" spans="2:5">
      <c r="B9028" s="1115"/>
      <c r="C9028" s="242"/>
      <c r="E9028" s="845"/>
    </row>
    <row r="9029" spans="2:5">
      <c r="B9029" s="1115"/>
      <c r="C9029" s="242"/>
      <c r="E9029" s="845"/>
    </row>
    <row r="9030" spans="2:5">
      <c r="B9030" s="1115"/>
      <c r="C9030" s="242"/>
      <c r="E9030" s="845"/>
    </row>
    <row r="9031" spans="2:5">
      <c r="B9031" s="1115"/>
      <c r="C9031" s="242"/>
      <c r="E9031" s="845"/>
    </row>
    <row r="9032" spans="2:5">
      <c r="B9032" s="1115"/>
      <c r="C9032" s="242"/>
      <c r="E9032" s="845"/>
    </row>
    <row r="9033" spans="2:5">
      <c r="B9033" s="1115"/>
      <c r="C9033" s="242"/>
      <c r="E9033" s="845"/>
    </row>
    <row r="9034" spans="2:5">
      <c r="B9034" s="1115"/>
      <c r="C9034" s="242"/>
      <c r="E9034" s="845"/>
    </row>
    <row r="9035" spans="2:5">
      <c r="B9035" s="1115"/>
      <c r="C9035" s="242"/>
      <c r="E9035" s="845"/>
    </row>
    <row r="9036" spans="2:5">
      <c r="B9036" s="1115"/>
      <c r="C9036" s="242"/>
      <c r="E9036" s="845"/>
    </row>
    <row r="9037" spans="2:5">
      <c r="B9037" s="1115"/>
      <c r="C9037" s="242"/>
      <c r="E9037" s="845"/>
    </row>
    <row r="9038" spans="2:5">
      <c r="B9038" s="1115"/>
      <c r="C9038" s="242"/>
      <c r="E9038" s="845"/>
    </row>
    <row r="9039" spans="2:5">
      <c r="B9039" s="1115"/>
      <c r="C9039" s="242"/>
      <c r="E9039" s="845"/>
    </row>
    <row r="9040" spans="2:5">
      <c r="B9040" s="1115"/>
      <c r="C9040" s="242"/>
      <c r="E9040" s="845"/>
    </row>
    <row r="9041" spans="2:5">
      <c r="B9041" s="1115"/>
      <c r="C9041" s="242"/>
      <c r="E9041" s="845"/>
    </row>
    <row r="9042" spans="2:5">
      <c r="B9042" s="1115"/>
      <c r="C9042" s="242"/>
      <c r="E9042" s="845"/>
    </row>
    <row r="9043" spans="2:5">
      <c r="B9043" s="1115"/>
      <c r="C9043" s="242"/>
      <c r="E9043" s="845"/>
    </row>
    <row r="9044" spans="2:5">
      <c r="B9044" s="1115"/>
      <c r="C9044" s="242"/>
      <c r="E9044" s="845"/>
    </row>
    <row r="9045" spans="2:5">
      <c r="B9045" s="1115"/>
      <c r="C9045" s="242"/>
      <c r="E9045" s="845"/>
    </row>
    <row r="9046" spans="2:5">
      <c r="B9046" s="1115"/>
      <c r="C9046" s="242"/>
      <c r="E9046" s="845"/>
    </row>
    <row r="9047" spans="2:5">
      <c r="B9047" s="1115"/>
      <c r="C9047" s="242"/>
      <c r="E9047" s="845"/>
    </row>
    <row r="9048" spans="2:5">
      <c r="B9048" s="1115"/>
      <c r="C9048" s="242"/>
      <c r="E9048" s="845"/>
    </row>
    <row r="9049" spans="2:5">
      <c r="B9049" s="1115"/>
      <c r="C9049" s="242"/>
      <c r="E9049" s="845"/>
    </row>
    <row r="9050" spans="2:5">
      <c r="B9050" s="1115"/>
      <c r="C9050" s="242"/>
      <c r="E9050" s="845"/>
    </row>
    <row r="9051" spans="2:5">
      <c r="B9051" s="1115"/>
      <c r="C9051" s="242"/>
      <c r="E9051" s="845"/>
    </row>
    <row r="9052" spans="2:5">
      <c r="B9052" s="1115"/>
      <c r="C9052" s="242"/>
      <c r="E9052" s="845"/>
    </row>
    <row r="9053" spans="2:5">
      <c r="B9053" s="1115"/>
      <c r="C9053" s="242"/>
      <c r="E9053" s="845"/>
    </row>
    <row r="9054" spans="2:5">
      <c r="B9054" s="1115"/>
      <c r="C9054" s="242"/>
      <c r="E9054" s="845"/>
    </row>
    <row r="9055" spans="2:5">
      <c r="B9055" s="1115"/>
      <c r="C9055" s="242"/>
      <c r="E9055" s="845"/>
    </row>
    <row r="9056" spans="2:5">
      <c r="B9056" s="1115"/>
      <c r="C9056" s="242"/>
      <c r="E9056" s="845"/>
    </row>
  </sheetData>
  <mergeCells count="2">
    <mergeCell ref="B5:J6"/>
    <mergeCell ref="N8:O8"/>
  </mergeCells>
  <phoneticPr fontId="71" type="noConversion"/>
  <hyperlinks>
    <hyperlink ref="D3" r:id="rId1" display="https://tidesandcurrents.noaa.gov/physocean.html?id=8510560" xr:uid="{1D687FDA-81DC-4477-8571-6340EC235231}"/>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heetViews>
  <sheetFormatPr baseColWidth="10" defaultColWidth="11.42578125" defaultRowHeight="15"/>
  <cols>
    <col min="1" max="1" width="5.42578125" style="7" customWidth="1"/>
    <col min="2" max="2" width="21.42578125" style="7" customWidth="1"/>
    <col min="3" max="16384" width="11.42578125" style="7"/>
  </cols>
  <sheetData>
    <row r="2" spans="2:3" ht="36">
      <c r="B2" s="499" t="s">
        <v>429</v>
      </c>
    </row>
    <row r="3" spans="2:3">
      <c r="C3" s="575"/>
    </row>
    <row r="4" spans="2:3">
      <c r="B4" s="906" t="s">
        <v>15</v>
      </c>
      <c r="C4" s="907">
        <v>0</v>
      </c>
    </row>
    <row r="5" spans="2:3">
      <c r="B5" s="908" t="s">
        <v>516</v>
      </c>
      <c r="C5" s="909" t="s">
        <v>183</v>
      </c>
    </row>
    <row r="6" spans="2:3">
      <c r="B6" s="908" t="s">
        <v>517</v>
      </c>
      <c r="C6" s="909" t="s">
        <v>183</v>
      </c>
    </row>
    <row r="7" spans="2:3">
      <c r="B7" s="908" t="s">
        <v>518</v>
      </c>
      <c r="C7" s="909" t="s">
        <v>183</v>
      </c>
    </row>
    <row r="8" spans="2:3">
      <c r="B8" s="908" t="s">
        <v>519</v>
      </c>
      <c r="C8" s="909" t="s">
        <v>183</v>
      </c>
    </row>
    <row r="9" spans="2:3">
      <c r="B9" s="908" t="s">
        <v>512</v>
      </c>
      <c r="C9" s="909" t="s">
        <v>426</v>
      </c>
    </row>
    <row r="10" spans="2:3">
      <c r="B10" s="908" t="s">
        <v>513</v>
      </c>
      <c r="C10" s="909" t="s">
        <v>426</v>
      </c>
    </row>
    <row r="11" spans="2:3">
      <c r="B11" s="908" t="s">
        <v>514</v>
      </c>
      <c r="C11" s="909" t="s">
        <v>426</v>
      </c>
    </row>
    <row r="12" spans="2:3">
      <c r="B12" s="908" t="s">
        <v>515</v>
      </c>
      <c r="C12" s="909" t="s">
        <v>426</v>
      </c>
    </row>
    <row r="13" spans="2:3">
      <c r="B13" s="910" t="s">
        <v>337</v>
      </c>
      <c r="C13" s="911">
        <v>0</v>
      </c>
    </row>
  </sheetData>
  <sortState xmlns:xlrd2="http://schemas.microsoft.com/office/spreadsheetml/2017/richdata2" ref="B5:C13">
    <sortCondition ref="B4:B13"/>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heetViews>
  <sheetFormatPr baseColWidth="10" defaultRowHeight="15"/>
  <sheetData>
    <row r="2" spans="2:2">
      <c r="B2" s="691" t="s">
        <v>1481</v>
      </c>
    </row>
    <row r="104" spans="14:14" ht="21.75">
      <c r="N104" s="960" t="s">
        <v>1494</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9E6-D547-41C5-BBD8-25F3FCBE1704}">
  <sheetPr codeName="Feuil4">
    <tabColor theme="6"/>
  </sheetPr>
  <dimension ref="A1:Z81"/>
  <sheetViews>
    <sheetView workbookViewId="0">
      <selection activeCell="H16" sqref="H16"/>
    </sheetView>
  </sheetViews>
  <sheetFormatPr baseColWidth="10" defaultColWidth="11.42578125" defaultRowHeight="15"/>
  <cols>
    <col min="1" max="2" width="4.42578125" style="1071" customWidth="1"/>
    <col min="3" max="3" width="3.5703125" style="1071" customWidth="1"/>
    <col min="4" max="4" width="26.5703125" style="1071" customWidth="1"/>
    <col min="5" max="10" width="29" style="1071" customWidth="1"/>
    <col min="11" max="24" width="11.42578125" style="1071"/>
    <col min="25" max="25" width="5.5703125" style="1071" customWidth="1"/>
    <col min="26" max="26" width="6.42578125" style="1071" customWidth="1"/>
    <col min="27" max="16384" width="11.42578125" style="1071"/>
  </cols>
  <sheetData>
    <row r="1" spans="1:26">
      <c r="A1" s="7"/>
      <c r="B1" s="7"/>
      <c r="C1" s="7"/>
      <c r="D1" s="7"/>
      <c r="E1" s="7"/>
      <c r="F1" s="7"/>
      <c r="G1" s="7"/>
      <c r="H1" s="7"/>
      <c r="I1" s="7"/>
      <c r="J1" s="7"/>
      <c r="K1" s="7"/>
      <c r="L1" s="7"/>
      <c r="M1" s="7"/>
      <c r="N1" s="7"/>
      <c r="O1" s="7"/>
      <c r="P1" s="7"/>
      <c r="Q1" s="7"/>
      <c r="R1" s="7"/>
      <c r="S1" s="7"/>
      <c r="T1" s="7"/>
      <c r="U1" s="7"/>
      <c r="V1" s="7"/>
      <c r="W1" s="7"/>
      <c r="X1" s="7"/>
      <c r="Y1" s="7"/>
      <c r="Z1" s="7"/>
    </row>
    <row r="2" spans="1:26" ht="20.25">
      <c r="A2" s="7"/>
      <c r="B2" s="570" t="s">
        <v>1691</v>
      </c>
      <c r="C2" s="7"/>
      <c r="D2" s="571"/>
      <c r="E2" s="7"/>
      <c r="F2" s="7"/>
      <c r="G2" s="7"/>
      <c r="H2" s="7"/>
      <c r="I2" s="7"/>
      <c r="J2" s="7"/>
      <c r="K2" s="7"/>
      <c r="L2" s="7"/>
      <c r="M2" s="7"/>
      <c r="N2" s="7"/>
      <c r="O2" s="7"/>
      <c r="P2" s="7"/>
      <c r="Q2" s="7"/>
      <c r="R2" s="7"/>
      <c r="S2" s="7"/>
      <c r="T2" s="7"/>
      <c r="U2" s="7"/>
      <c r="V2" s="7"/>
      <c r="W2" s="7"/>
      <c r="X2" s="7"/>
      <c r="Y2" s="7"/>
      <c r="Z2" s="7"/>
    </row>
    <row r="3" spans="1:26" ht="18.75">
      <c r="A3" s="7"/>
      <c r="B3" s="572" t="s">
        <v>0</v>
      </c>
      <c r="C3" s="7"/>
      <c r="D3" s="572"/>
      <c r="E3" s="7"/>
      <c r="F3" s="7"/>
      <c r="G3" s="7"/>
      <c r="H3" s="7"/>
      <c r="I3" s="7"/>
      <c r="J3" s="7"/>
      <c r="K3" s="7"/>
      <c r="L3" s="7"/>
      <c r="M3" s="7"/>
      <c r="N3" s="7"/>
      <c r="O3" s="7"/>
      <c r="P3" s="7"/>
      <c r="Q3" s="7"/>
      <c r="R3" s="7"/>
      <c r="S3" s="7"/>
      <c r="T3" s="7"/>
      <c r="U3" s="7"/>
      <c r="V3" s="7"/>
      <c r="W3" s="7"/>
      <c r="X3" s="7"/>
      <c r="Y3" s="7"/>
      <c r="Z3" s="7"/>
    </row>
    <row r="4" spans="1:26" ht="14.25" customHeight="1">
      <c r="A4" s="7"/>
      <c r="B4" s="572"/>
      <c r="C4" s="7"/>
      <c r="D4" s="572"/>
      <c r="E4" s="7"/>
      <c r="F4" s="7"/>
      <c r="G4" s="7"/>
      <c r="H4" s="7"/>
      <c r="I4" s="7"/>
      <c r="J4" s="7"/>
      <c r="K4" s="7"/>
      <c r="L4" s="7"/>
      <c r="M4" s="7"/>
      <c r="N4" s="7"/>
      <c r="O4" s="7"/>
      <c r="P4" s="7"/>
      <c r="Q4" s="7"/>
      <c r="R4" s="7"/>
      <c r="S4" s="7"/>
      <c r="T4" s="7"/>
      <c r="U4" s="7"/>
      <c r="V4" s="7"/>
      <c r="W4" s="7"/>
      <c r="X4" s="7"/>
      <c r="Y4" s="7"/>
      <c r="Z4" s="7"/>
    </row>
    <row r="5" spans="1:26" ht="20.25">
      <c r="A5" s="7"/>
      <c r="B5" s="1001" t="s">
        <v>1592</v>
      </c>
      <c r="C5" s="7"/>
      <c r="D5" s="572"/>
      <c r="E5" s="7"/>
      <c r="F5" s="7"/>
      <c r="G5" s="7"/>
      <c r="H5" s="7"/>
      <c r="I5" s="7"/>
      <c r="J5" s="7"/>
      <c r="K5" s="7"/>
      <c r="L5" s="7"/>
      <c r="M5" s="7"/>
      <c r="N5" s="7"/>
      <c r="O5" s="7"/>
      <c r="P5" s="7"/>
      <c r="Q5" s="7"/>
      <c r="R5" s="7"/>
      <c r="S5" s="7"/>
      <c r="T5" s="7"/>
      <c r="U5" s="7"/>
      <c r="V5" s="7"/>
      <c r="W5" s="7"/>
      <c r="X5" s="7"/>
      <c r="Y5" s="7"/>
      <c r="Z5" s="7"/>
    </row>
    <row r="6" spans="1:26" ht="18.75" thickBot="1">
      <c r="A6" s="7"/>
      <c r="B6" s="572"/>
      <c r="C6" s="7"/>
      <c r="D6" s="572"/>
      <c r="E6" s="7"/>
      <c r="F6" s="7"/>
      <c r="G6" s="7"/>
      <c r="H6" s="7"/>
      <c r="I6" s="7"/>
      <c r="J6" s="7"/>
      <c r="K6" s="7"/>
      <c r="L6" s="7"/>
      <c r="M6" s="7"/>
      <c r="N6" s="7"/>
      <c r="O6" s="7"/>
      <c r="P6" s="7"/>
      <c r="Q6" s="7"/>
      <c r="R6" s="7"/>
      <c r="S6" s="7"/>
      <c r="T6" s="7"/>
      <c r="U6" s="7"/>
      <c r="V6" s="7"/>
      <c r="W6" s="7"/>
      <c r="X6" s="7"/>
      <c r="Y6" s="7"/>
      <c r="Z6" s="7"/>
    </row>
    <row r="7" spans="1:26" ht="9" customHeight="1">
      <c r="A7" s="7"/>
      <c r="B7" s="1029"/>
      <c r="C7" s="1010"/>
      <c r="D7" s="1030"/>
      <c r="E7" s="1010"/>
      <c r="F7" s="1010"/>
      <c r="G7" s="1010"/>
      <c r="H7" s="1010"/>
      <c r="I7" s="1010"/>
      <c r="J7" s="1010"/>
      <c r="K7" s="1010"/>
      <c r="L7" s="1010"/>
      <c r="M7" s="1010"/>
      <c r="N7" s="1010"/>
      <c r="O7" s="1010"/>
      <c r="P7" s="1010"/>
      <c r="Q7" s="1010"/>
      <c r="R7" s="1010"/>
      <c r="S7" s="1010"/>
      <c r="T7" s="1010"/>
      <c r="U7" s="1010"/>
      <c r="V7" s="1010"/>
      <c r="W7" s="1010"/>
      <c r="X7" s="1010"/>
      <c r="Y7" s="1011"/>
      <c r="Z7" s="7"/>
    </row>
    <row r="8" spans="1:26">
      <c r="A8" s="7"/>
      <c r="B8" s="1005"/>
      <c r="C8" s="1934" t="s">
        <v>1915</v>
      </c>
      <c r="D8" s="1934"/>
      <c r="E8" s="1934"/>
      <c r="F8" s="1934"/>
      <c r="G8" s="1934"/>
      <c r="H8" s="1934"/>
      <c r="I8" s="1934"/>
      <c r="J8" s="1934"/>
      <c r="K8" s="1934"/>
      <c r="L8" s="1934"/>
      <c r="M8" s="1934"/>
      <c r="N8" s="7"/>
      <c r="O8" s="7"/>
      <c r="P8" s="7"/>
      <c r="Q8" s="7"/>
      <c r="R8" s="7"/>
      <c r="S8" s="7"/>
      <c r="T8" s="7"/>
      <c r="U8" s="7"/>
      <c r="V8" s="7"/>
      <c r="W8" s="7"/>
      <c r="X8" s="7"/>
      <c r="Y8" s="999"/>
      <c r="Z8" s="7"/>
    </row>
    <row r="9" spans="1:26" ht="18">
      <c r="A9" s="7"/>
      <c r="B9" s="1003"/>
      <c r="C9" s="7"/>
      <c r="D9" s="1066" t="s">
        <v>1984</v>
      </c>
      <c r="E9" s="7"/>
      <c r="F9" s="7"/>
      <c r="G9" s="7"/>
      <c r="H9" s="7"/>
      <c r="I9" s="7"/>
      <c r="J9" s="7"/>
      <c r="K9" s="7"/>
      <c r="L9" s="7"/>
      <c r="M9" s="7"/>
      <c r="N9" s="7"/>
      <c r="O9" s="7"/>
      <c r="P9" s="7"/>
      <c r="Q9" s="7"/>
      <c r="R9" s="7"/>
      <c r="S9" s="7"/>
      <c r="T9" s="7"/>
      <c r="U9" s="7"/>
      <c r="V9" s="7"/>
      <c r="W9" s="7"/>
      <c r="X9" s="7"/>
      <c r="Y9" s="999"/>
      <c r="Z9" s="7"/>
    </row>
    <row r="10" spans="1:26" ht="18">
      <c r="A10" s="7"/>
      <c r="B10" s="1003"/>
      <c r="C10" s="7"/>
      <c r="D10" s="1066" t="s">
        <v>1754</v>
      </c>
      <c r="E10" s="7"/>
      <c r="F10" s="7"/>
      <c r="G10" s="7"/>
      <c r="H10" s="7"/>
      <c r="I10" s="7"/>
      <c r="J10" s="7"/>
      <c r="K10" s="7"/>
      <c r="L10" s="7"/>
      <c r="M10" s="7"/>
      <c r="N10" s="7"/>
      <c r="O10" s="7"/>
      <c r="P10" s="7"/>
      <c r="Q10" s="7"/>
      <c r="R10" s="7"/>
      <c r="S10" s="7"/>
      <c r="T10" s="7"/>
      <c r="U10" s="7"/>
      <c r="V10" s="7"/>
      <c r="W10" s="7"/>
      <c r="X10" s="7"/>
      <c r="Y10" s="999"/>
      <c r="Z10" s="7"/>
    </row>
    <row r="11" spans="1:26" ht="19.5">
      <c r="A11" s="7"/>
      <c r="B11" s="1003"/>
      <c r="C11" s="7"/>
      <c r="D11" s="1066" t="s">
        <v>1755</v>
      </c>
      <c r="E11" s="7"/>
      <c r="F11" s="7"/>
      <c r="G11" s="7"/>
      <c r="H11" s="7"/>
      <c r="I11" s="7"/>
      <c r="J11" s="7"/>
      <c r="K11" s="7"/>
      <c r="L11" s="7"/>
      <c r="M11" s="7"/>
      <c r="N11" s="7"/>
      <c r="O11" s="7"/>
      <c r="P11" s="7"/>
      <c r="Q11" s="7"/>
      <c r="R11" s="7"/>
      <c r="S11" s="7"/>
      <c r="T11" s="7"/>
      <c r="U11" s="7"/>
      <c r="V11" s="7"/>
      <c r="W11" s="7"/>
      <c r="X11" s="7"/>
      <c r="Y11" s="999"/>
      <c r="Z11" s="7"/>
    </row>
    <row r="12" spans="1:26" ht="18">
      <c r="A12" s="7"/>
      <c r="B12" s="1003"/>
      <c r="C12" s="7"/>
      <c r="D12" s="1066" t="s">
        <v>1756</v>
      </c>
      <c r="E12" s="7"/>
      <c r="F12" s="7"/>
      <c r="G12" s="7"/>
      <c r="H12" s="7"/>
      <c r="I12" s="7"/>
      <c r="J12" s="7"/>
      <c r="K12" s="7"/>
      <c r="L12" s="7"/>
      <c r="M12" s="7"/>
      <c r="N12" s="7"/>
      <c r="O12" s="7"/>
      <c r="P12" s="7"/>
      <c r="Q12" s="7"/>
      <c r="R12" s="7"/>
      <c r="S12" s="7"/>
      <c r="T12" s="7"/>
      <c r="U12" s="7"/>
      <c r="V12" s="7"/>
      <c r="W12" s="7"/>
      <c r="X12" s="7"/>
      <c r="Y12" s="999"/>
      <c r="Z12" s="7"/>
    </row>
    <row r="13" spans="1:26" ht="18">
      <c r="A13" s="7"/>
      <c r="B13" s="1003"/>
      <c r="C13" s="7"/>
      <c r="D13" s="1066"/>
      <c r="E13" s="7"/>
      <c r="F13" s="7"/>
      <c r="G13" s="7"/>
      <c r="H13" s="7"/>
      <c r="I13" s="7"/>
      <c r="J13" s="7"/>
      <c r="K13" s="7"/>
      <c r="L13" s="7"/>
      <c r="M13" s="7"/>
      <c r="N13" s="7"/>
      <c r="O13" s="7"/>
      <c r="P13" s="7"/>
      <c r="Q13" s="7"/>
      <c r="R13" s="7"/>
      <c r="S13" s="7"/>
      <c r="T13" s="7"/>
      <c r="U13" s="7"/>
      <c r="V13" s="7"/>
      <c r="W13" s="7"/>
      <c r="X13" s="7"/>
      <c r="Y13" s="999"/>
      <c r="Z13" s="7"/>
    </row>
    <row r="14" spans="1:26" ht="32.25" customHeight="1">
      <c r="A14" s="7"/>
      <c r="B14" s="1003"/>
      <c r="C14" s="1935" t="s">
        <v>1775</v>
      </c>
      <c r="D14" s="1935"/>
      <c r="E14" s="1935"/>
      <c r="F14" s="1935"/>
      <c r="G14" s="1935"/>
      <c r="H14" s="1935"/>
      <c r="I14" s="1935"/>
      <c r="J14" s="1935"/>
      <c r="K14" s="1935"/>
      <c r="L14" s="1935"/>
      <c r="M14" s="1935"/>
      <c r="N14" s="1935"/>
      <c r="O14" s="1935"/>
      <c r="P14" s="1935"/>
      <c r="Q14" s="1935"/>
      <c r="R14" s="7"/>
      <c r="S14" s="7"/>
      <c r="T14" s="7"/>
      <c r="U14" s="7"/>
      <c r="V14" s="7"/>
      <c r="W14" s="7"/>
      <c r="X14" s="7"/>
      <c r="Y14" s="999"/>
      <c r="Z14" s="7"/>
    </row>
    <row r="15" spans="1:26">
      <c r="A15" s="7"/>
      <c r="B15" s="1004"/>
      <c r="C15" s="7"/>
      <c r="D15" s="1066"/>
      <c r="E15" s="7"/>
      <c r="F15" s="7"/>
      <c r="G15" s="7"/>
      <c r="H15" s="7"/>
      <c r="I15" s="7"/>
      <c r="J15" s="7"/>
      <c r="K15" s="7"/>
      <c r="L15" s="7"/>
      <c r="M15" s="7"/>
      <c r="N15" s="7"/>
      <c r="O15" s="7"/>
      <c r="P15" s="7"/>
      <c r="Q15" s="7"/>
      <c r="R15" s="7"/>
      <c r="S15" s="7"/>
      <c r="T15" s="7"/>
      <c r="U15" s="7"/>
      <c r="V15" s="7"/>
      <c r="W15" s="7"/>
      <c r="X15" s="7"/>
      <c r="Y15" s="999"/>
      <c r="Z15" s="7"/>
    </row>
    <row r="16" spans="1:26">
      <c r="A16" s="7"/>
      <c r="B16" s="1005"/>
      <c r="C16" s="1066" t="s">
        <v>1690</v>
      </c>
      <c r="D16" s="1066"/>
      <c r="E16" s="7"/>
      <c r="F16" s="7"/>
      <c r="G16" s="7"/>
      <c r="H16" s="7"/>
      <c r="I16" s="7"/>
      <c r="J16" s="7"/>
      <c r="K16" s="7"/>
      <c r="L16" s="7"/>
      <c r="M16" s="7"/>
      <c r="N16" s="7"/>
      <c r="O16" s="7"/>
      <c r="P16" s="7"/>
      <c r="Q16" s="7"/>
      <c r="R16" s="7"/>
      <c r="S16" s="7"/>
      <c r="T16" s="7"/>
      <c r="U16" s="7"/>
      <c r="V16" s="7"/>
      <c r="W16" s="7"/>
      <c r="X16" s="7"/>
      <c r="Y16" s="999"/>
      <c r="Z16" s="7"/>
    </row>
    <row r="17" spans="1:26">
      <c r="A17" s="7"/>
      <c r="B17" s="1004"/>
      <c r="C17" s="7"/>
      <c r="D17" s="1066"/>
      <c r="E17" s="7"/>
      <c r="F17" s="7"/>
      <c r="G17" s="7"/>
      <c r="H17" s="7"/>
      <c r="I17" s="7"/>
      <c r="J17" s="7"/>
      <c r="K17" s="7"/>
      <c r="L17" s="7"/>
      <c r="M17" s="7"/>
      <c r="N17" s="7"/>
      <c r="O17" s="7"/>
      <c r="P17" s="7"/>
      <c r="Q17" s="7"/>
      <c r="R17" s="7"/>
      <c r="S17" s="7"/>
      <c r="T17" s="7"/>
      <c r="U17" s="7"/>
      <c r="V17" s="7"/>
      <c r="W17" s="7"/>
      <c r="X17" s="7"/>
      <c r="Y17" s="999"/>
      <c r="Z17" s="7"/>
    </row>
    <row r="18" spans="1:26" ht="45">
      <c r="A18" s="7"/>
      <c r="B18" s="1005"/>
      <c r="C18" s="7"/>
      <c r="D18" s="1020" t="s">
        <v>1577</v>
      </c>
      <c r="E18" s="1021" t="s">
        <v>1806</v>
      </c>
      <c r="F18" s="7"/>
      <c r="G18" s="1067"/>
      <c r="H18" s="7"/>
      <c r="I18" s="7"/>
      <c r="J18" s="7"/>
      <c r="K18" s="7"/>
      <c r="L18" s="7"/>
      <c r="M18" s="7"/>
      <c r="N18" s="7"/>
      <c r="O18" s="7"/>
      <c r="P18" s="7"/>
      <c r="Q18" s="7"/>
      <c r="R18" s="7"/>
      <c r="S18" s="7"/>
      <c r="T18" s="7"/>
      <c r="U18" s="7"/>
      <c r="V18" s="7"/>
      <c r="W18" s="7"/>
      <c r="X18" s="7"/>
      <c r="Y18" s="999"/>
      <c r="Z18" s="7"/>
    </row>
    <row r="19" spans="1:26" ht="4.5" customHeight="1">
      <c r="A19" s="7"/>
      <c r="B19" s="1005"/>
      <c r="C19" s="7"/>
      <c r="D19" s="1022"/>
      <c r="E19" s="1023"/>
      <c r="F19" s="1000"/>
      <c r="G19" s="1000"/>
      <c r="H19" s="1000"/>
      <c r="I19" s="1000"/>
      <c r="J19" s="1000"/>
      <c r="K19" s="1000"/>
      <c r="L19" s="1000"/>
      <c r="M19" s="7"/>
      <c r="N19" s="7"/>
      <c r="O19" s="7"/>
      <c r="P19" s="7"/>
      <c r="Q19" s="7"/>
      <c r="R19" s="7"/>
      <c r="S19" s="7"/>
      <c r="T19" s="7"/>
      <c r="U19" s="7"/>
      <c r="V19" s="7"/>
      <c r="W19" s="7"/>
      <c r="X19" s="7"/>
      <c r="Y19" s="999"/>
      <c r="Z19" s="7"/>
    </row>
    <row r="20" spans="1:26" ht="20.25" customHeight="1">
      <c r="A20" s="7"/>
      <c r="B20" s="1005"/>
      <c r="C20" s="7"/>
      <c r="D20" s="1024" t="s">
        <v>1563</v>
      </c>
      <c r="E20" s="1025"/>
      <c r="F20" s="1066"/>
      <c r="G20" s="7"/>
      <c r="H20" s="7"/>
      <c r="I20" s="7"/>
      <c r="J20" s="7"/>
      <c r="K20" s="7"/>
      <c r="L20" s="7"/>
      <c r="M20" s="7"/>
      <c r="N20" s="7"/>
      <c r="O20" s="7"/>
      <c r="P20" s="7"/>
      <c r="Q20" s="7"/>
      <c r="R20" s="7"/>
      <c r="S20" s="7"/>
      <c r="T20" s="7"/>
      <c r="U20" s="7"/>
      <c r="V20" s="7"/>
      <c r="W20" s="7"/>
      <c r="X20" s="7"/>
      <c r="Y20" s="999"/>
      <c r="Z20" s="7"/>
    </row>
    <row r="21" spans="1:26" ht="4.5" customHeight="1">
      <c r="A21" s="7"/>
      <c r="B21" s="1005"/>
      <c r="C21" s="7"/>
      <c r="D21" s="1026"/>
      <c r="E21" s="1023"/>
      <c r="F21" s="1000"/>
      <c r="G21" s="1000"/>
      <c r="H21" s="1000"/>
      <c r="I21" s="1000"/>
      <c r="J21" s="1000"/>
      <c r="K21" s="1000"/>
      <c r="L21" s="1000"/>
      <c r="M21" s="7"/>
      <c r="N21" s="7"/>
      <c r="O21" s="7"/>
      <c r="P21" s="7"/>
      <c r="Q21" s="7"/>
      <c r="R21" s="7"/>
      <c r="S21" s="7"/>
      <c r="T21" s="7"/>
      <c r="U21" s="7"/>
      <c r="V21" s="7"/>
      <c r="W21" s="7"/>
      <c r="X21" s="7"/>
      <c r="Y21" s="999"/>
      <c r="Z21" s="7"/>
    </row>
    <row r="22" spans="1:26" ht="20.25" customHeight="1">
      <c r="A22" s="7"/>
      <c r="B22" s="1005"/>
      <c r="C22" s="7"/>
      <c r="D22" s="1024" t="s">
        <v>1564</v>
      </c>
      <c r="E22" s="1025"/>
      <c r="F22" s="1066"/>
      <c r="G22" s="7"/>
      <c r="H22" s="7"/>
      <c r="I22" s="7"/>
      <c r="J22" s="7"/>
      <c r="K22" s="7"/>
      <c r="L22" s="7"/>
      <c r="M22" s="7"/>
      <c r="N22" s="7"/>
      <c r="O22" s="7"/>
      <c r="P22" s="7"/>
      <c r="Q22" s="7"/>
      <c r="R22" s="7"/>
      <c r="S22" s="7"/>
      <c r="T22" s="7"/>
      <c r="U22" s="7"/>
      <c r="V22" s="7"/>
      <c r="W22" s="7"/>
      <c r="X22" s="7"/>
      <c r="Y22" s="999"/>
      <c r="Z22" s="7"/>
    </row>
    <row r="23" spans="1:26" ht="4.5" customHeight="1">
      <c r="A23" s="7"/>
      <c r="B23" s="1005"/>
      <c r="C23" s="7"/>
      <c r="D23" s="1026"/>
      <c r="E23" s="1023"/>
      <c r="F23" s="1000"/>
      <c r="G23" s="1000"/>
      <c r="H23" s="1000"/>
      <c r="I23" s="1000"/>
      <c r="J23" s="1000"/>
      <c r="K23" s="1000"/>
      <c r="L23" s="1000"/>
      <c r="M23" s="7"/>
      <c r="N23" s="7"/>
      <c r="O23" s="7"/>
      <c r="P23" s="7"/>
      <c r="Q23" s="7"/>
      <c r="R23" s="7"/>
      <c r="S23" s="7"/>
      <c r="T23" s="7"/>
      <c r="U23" s="7"/>
      <c r="V23" s="7"/>
      <c r="W23" s="7"/>
      <c r="X23" s="7"/>
      <c r="Y23" s="999"/>
      <c r="Z23" s="7"/>
    </row>
    <row r="24" spans="1:26" ht="20.25" customHeight="1">
      <c r="A24" s="7"/>
      <c r="B24" s="1005"/>
      <c r="C24" s="7"/>
      <c r="D24" s="1024" t="s">
        <v>1593</v>
      </c>
      <c r="E24" s="1025"/>
      <c r="F24" s="1066"/>
      <c r="G24" s="7"/>
      <c r="H24" s="7"/>
      <c r="I24" s="7"/>
      <c r="J24" s="7"/>
      <c r="K24" s="7"/>
      <c r="L24" s="7"/>
      <c r="M24" s="7"/>
      <c r="N24" s="7"/>
      <c r="O24" s="7"/>
      <c r="P24" s="7"/>
      <c r="Q24" s="7"/>
      <c r="R24" s="7"/>
      <c r="S24" s="7"/>
      <c r="T24" s="7"/>
      <c r="U24" s="7"/>
      <c r="V24" s="7"/>
      <c r="W24" s="7"/>
      <c r="X24" s="7"/>
      <c r="Y24" s="999"/>
      <c r="Z24" s="7"/>
    </row>
    <row r="25" spans="1:26" ht="4.5" customHeight="1">
      <c r="A25" s="7"/>
      <c r="B25" s="1005"/>
      <c r="C25" s="7"/>
      <c r="D25" s="1026"/>
      <c r="E25" s="1023"/>
      <c r="F25" s="1000"/>
      <c r="G25" s="1000"/>
      <c r="H25" s="1000"/>
      <c r="I25" s="1000"/>
      <c r="J25" s="1000"/>
      <c r="K25" s="1000"/>
      <c r="L25" s="1000"/>
      <c r="M25" s="7"/>
      <c r="N25" s="7"/>
      <c r="O25" s="7"/>
      <c r="P25" s="7"/>
      <c r="Q25" s="7"/>
      <c r="R25" s="7"/>
      <c r="S25" s="7"/>
      <c r="T25" s="7"/>
      <c r="U25" s="7"/>
      <c r="V25" s="7"/>
      <c r="W25" s="7"/>
      <c r="X25" s="7"/>
      <c r="Y25" s="999"/>
      <c r="Z25" s="7"/>
    </row>
    <row r="26" spans="1:26" ht="18.75" customHeight="1">
      <c r="A26" s="7"/>
      <c r="B26" s="1005"/>
      <c r="C26" s="7"/>
      <c r="D26" s="1024" t="s">
        <v>1571</v>
      </c>
      <c r="E26" s="1025"/>
      <c r="F26" s="1066"/>
      <c r="G26" s="7"/>
      <c r="H26" s="7"/>
      <c r="I26" s="7"/>
      <c r="J26" s="7"/>
      <c r="K26" s="7"/>
      <c r="L26" s="7"/>
      <c r="M26" s="7"/>
      <c r="N26" s="7"/>
      <c r="O26" s="7"/>
      <c r="P26" s="7"/>
      <c r="Q26" s="7"/>
      <c r="R26" s="7"/>
      <c r="S26" s="7"/>
      <c r="T26" s="7"/>
      <c r="U26" s="7"/>
      <c r="V26" s="7"/>
      <c r="W26" s="7"/>
      <c r="X26" s="7"/>
      <c r="Y26" s="999"/>
      <c r="Z26" s="7"/>
    </row>
    <row r="27" spans="1:26" ht="4.5" customHeight="1">
      <c r="A27" s="7"/>
      <c r="B27" s="1005"/>
      <c r="C27" s="7"/>
      <c r="D27" s="1027"/>
      <c r="E27" s="1028"/>
      <c r="F27" s="1000"/>
      <c r="G27" s="1000"/>
      <c r="H27" s="1000"/>
      <c r="I27" s="1000"/>
      <c r="J27" s="1000"/>
      <c r="K27" s="1000"/>
      <c r="L27" s="1000"/>
      <c r="M27" s="7"/>
      <c r="N27" s="7"/>
      <c r="O27" s="7"/>
      <c r="P27" s="7"/>
      <c r="Q27" s="7"/>
      <c r="R27" s="7"/>
      <c r="S27" s="7"/>
      <c r="T27" s="7"/>
      <c r="U27" s="7"/>
      <c r="V27" s="7"/>
      <c r="W27" s="7"/>
      <c r="X27" s="7"/>
      <c r="Y27" s="999"/>
      <c r="Z27" s="7"/>
    </row>
    <row r="28" spans="1:26" ht="8.25" customHeight="1">
      <c r="A28" s="7"/>
      <c r="B28" s="1005"/>
      <c r="C28" s="7"/>
      <c r="D28" s="1068"/>
      <c r="E28" s="1068"/>
      <c r="F28" s="1066"/>
      <c r="G28" s="7"/>
      <c r="H28" s="7"/>
      <c r="I28" s="7"/>
      <c r="J28" s="7"/>
      <c r="K28" s="7"/>
      <c r="L28" s="7"/>
      <c r="M28" s="7"/>
      <c r="N28" s="7"/>
      <c r="O28" s="7"/>
      <c r="P28" s="7"/>
      <c r="Q28" s="7"/>
      <c r="R28" s="7"/>
      <c r="S28" s="7"/>
      <c r="T28" s="7"/>
      <c r="U28" s="7"/>
      <c r="V28" s="7"/>
      <c r="W28" s="7"/>
      <c r="X28" s="7"/>
      <c r="Y28" s="999"/>
      <c r="Z28" s="7"/>
    </row>
    <row r="29" spans="1:26" ht="15.75" thickBot="1">
      <c r="A29" s="7"/>
      <c r="B29" s="1005"/>
      <c r="C29" s="1066"/>
      <c r="D29" s="1066" t="s">
        <v>1445</v>
      </c>
      <c r="E29" s="7"/>
      <c r="F29" s="7"/>
      <c r="G29" s="7"/>
      <c r="H29" s="7"/>
      <c r="I29" s="7"/>
      <c r="J29" s="7"/>
      <c r="K29" s="7"/>
      <c r="L29" s="7"/>
      <c r="M29" s="7"/>
      <c r="N29" s="7"/>
      <c r="O29" s="7"/>
      <c r="P29" s="7"/>
      <c r="Q29" s="7"/>
      <c r="R29" s="7"/>
      <c r="S29" s="7"/>
      <c r="T29" s="7"/>
      <c r="U29" s="7"/>
      <c r="V29" s="7"/>
      <c r="W29" s="7"/>
      <c r="X29" s="7"/>
      <c r="Y29" s="999"/>
      <c r="Z29" s="7"/>
    </row>
    <row r="30" spans="1:26" ht="14.25" customHeight="1" thickBot="1">
      <c r="A30" s="7"/>
      <c r="B30" s="1005"/>
      <c r="C30" s="1069" t="s">
        <v>1582</v>
      </c>
      <c r="D30" s="1066"/>
      <c r="E30" s="7"/>
      <c r="F30" s="1019"/>
      <c r="G30" s="7"/>
      <c r="H30" s="7"/>
      <c r="I30" s="7"/>
      <c r="J30" s="7"/>
      <c r="K30" s="7"/>
      <c r="L30" s="7"/>
      <c r="M30" s="7"/>
      <c r="N30" s="7"/>
      <c r="O30" s="7"/>
      <c r="P30" s="7"/>
      <c r="Q30" s="7"/>
      <c r="R30" s="7"/>
      <c r="S30" s="7"/>
      <c r="T30" s="7"/>
      <c r="U30" s="7"/>
      <c r="V30" s="7"/>
      <c r="W30" s="7"/>
      <c r="X30" s="7"/>
      <c r="Y30" s="999"/>
      <c r="Z30" s="7"/>
    </row>
    <row r="31" spans="1:26">
      <c r="A31" s="7"/>
      <c r="B31" s="1005"/>
      <c r="C31" s="1069" t="s">
        <v>1975</v>
      </c>
      <c r="D31" s="1066"/>
      <c r="E31" s="7"/>
      <c r="F31" s="7"/>
      <c r="G31" s="7"/>
      <c r="H31" s="7"/>
      <c r="I31" s="7"/>
      <c r="J31" s="7"/>
      <c r="K31" s="7"/>
      <c r="L31" s="7"/>
      <c r="M31" s="7"/>
      <c r="N31" s="7"/>
      <c r="O31" s="7"/>
      <c r="P31" s="7"/>
      <c r="Q31" s="7"/>
      <c r="R31" s="7"/>
      <c r="S31" s="7"/>
      <c r="T31" s="7"/>
      <c r="U31" s="7"/>
      <c r="V31" s="7"/>
      <c r="W31" s="7"/>
      <c r="X31" s="7"/>
      <c r="Y31" s="999"/>
      <c r="Z31" s="7"/>
    </row>
    <row r="32" spans="1:26">
      <c r="A32" s="7"/>
      <c r="B32" s="1005"/>
      <c r="C32" s="1069" t="s">
        <v>1944</v>
      </c>
      <c r="D32" s="1070"/>
      <c r="E32" s="1070"/>
      <c r="F32" s="1070"/>
      <c r="G32" s="1070"/>
      <c r="H32" s="1070"/>
      <c r="I32" s="1070"/>
      <c r="J32" s="1070"/>
      <c r="K32" s="1070"/>
      <c r="L32" s="1070"/>
      <c r="M32" s="1070"/>
      <c r="N32" s="1070"/>
      <c r="O32" s="1070"/>
      <c r="P32" s="1070"/>
      <c r="Q32" s="7"/>
      <c r="R32" s="7"/>
      <c r="S32" s="7"/>
      <c r="T32" s="7"/>
      <c r="U32" s="7"/>
      <c r="V32" s="7"/>
      <c r="W32" s="7"/>
      <c r="X32" s="7"/>
      <c r="Y32" s="999"/>
      <c r="Z32" s="7"/>
    </row>
    <row r="33" spans="1:26" ht="4.5" customHeight="1">
      <c r="A33" s="7"/>
      <c r="B33" s="1005"/>
      <c r="C33" s="1069"/>
      <c r="D33" s="1066"/>
      <c r="E33" s="7"/>
      <c r="F33" s="7"/>
      <c r="G33" s="7"/>
      <c r="H33" s="7"/>
      <c r="I33" s="7"/>
      <c r="J33" s="7"/>
      <c r="K33" s="7"/>
      <c r="L33" s="7"/>
      <c r="M33" s="7"/>
      <c r="N33" s="7"/>
      <c r="O33" s="7"/>
      <c r="P33" s="7"/>
      <c r="Q33" s="7"/>
      <c r="R33" s="7"/>
      <c r="S33" s="7"/>
      <c r="T33" s="7"/>
      <c r="U33" s="7"/>
      <c r="V33" s="7"/>
      <c r="W33" s="7"/>
      <c r="X33" s="7"/>
      <c r="Y33" s="999"/>
      <c r="Z33" s="7"/>
    </row>
    <row r="34" spans="1:26">
      <c r="A34" s="7"/>
      <c r="B34" s="1005"/>
      <c r="C34" s="1935" t="s">
        <v>1776</v>
      </c>
      <c r="D34" s="1935"/>
      <c r="E34" s="1935"/>
      <c r="F34" s="1935"/>
      <c r="G34" s="1935"/>
      <c r="H34" s="1935"/>
      <c r="I34" s="1935"/>
      <c r="J34" s="1935"/>
      <c r="K34" s="1935"/>
      <c r="L34" s="1935"/>
      <c r="M34" s="7"/>
      <c r="N34" s="7"/>
      <c r="O34" s="7"/>
      <c r="P34" s="7"/>
      <c r="Q34" s="7"/>
      <c r="R34" s="7"/>
      <c r="S34" s="7"/>
      <c r="T34" s="7"/>
      <c r="U34" s="7"/>
      <c r="V34" s="7"/>
      <c r="W34" s="7"/>
      <c r="X34" s="7"/>
      <c r="Y34" s="999"/>
      <c r="Z34" s="7"/>
    </row>
    <row r="35" spans="1:26">
      <c r="A35" s="7"/>
      <c r="B35" s="1004"/>
      <c r="C35" s="1935"/>
      <c r="D35" s="1935"/>
      <c r="E35" s="1935"/>
      <c r="F35" s="1935"/>
      <c r="G35" s="1935"/>
      <c r="H35" s="1935"/>
      <c r="I35" s="1935"/>
      <c r="J35" s="1935"/>
      <c r="K35" s="1935"/>
      <c r="L35" s="1935"/>
      <c r="M35" s="7"/>
      <c r="N35" s="7"/>
      <c r="O35" s="7"/>
      <c r="P35" s="7"/>
      <c r="Q35" s="7"/>
      <c r="R35" s="7"/>
      <c r="S35" s="7"/>
      <c r="T35" s="7"/>
      <c r="U35" s="7"/>
      <c r="V35" s="7"/>
      <c r="W35" s="7"/>
      <c r="X35" s="7"/>
      <c r="Y35" s="999"/>
      <c r="Z35" s="7"/>
    </row>
    <row r="36" spans="1:26">
      <c r="A36" s="7"/>
      <c r="B36" s="1004"/>
      <c r="C36" s="7"/>
      <c r="D36" s="1066"/>
      <c r="E36" s="7"/>
      <c r="F36" s="7"/>
      <c r="G36" s="7"/>
      <c r="H36" s="7"/>
      <c r="I36" s="7"/>
      <c r="J36" s="7"/>
      <c r="K36" s="7"/>
      <c r="L36" s="7"/>
      <c r="M36" s="7"/>
      <c r="N36" s="7"/>
      <c r="O36" s="7"/>
      <c r="P36" s="7"/>
      <c r="Q36" s="7"/>
      <c r="R36" s="7"/>
      <c r="S36" s="7"/>
      <c r="T36" s="7"/>
      <c r="U36" s="7"/>
      <c r="V36" s="7"/>
      <c r="W36" s="7"/>
      <c r="X36" s="7"/>
      <c r="Y36" s="999"/>
      <c r="Z36" s="7"/>
    </row>
    <row r="37" spans="1:26">
      <c r="A37" s="7"/>
      <c r="B37" s="1004"/>
      <c r="C37" s="7"/>
      <c r="D37" s="1066"/>
      <c r="E37" s="7"/>
      <c r="F37" s="7"/>
      <c r="G37" s="7"/>
      <c r="H37" s="7"/>
      <c r="I37" s="7"/>
      <c r="J37" s="7"/>
      <c r="K37" s="7"/>
      <c r="L37" s="7"/>
      <c r="M37" s="7"/>
      <c r="N37" s="7"/>
      <c r="O37" s="7"/>
      <c r="P37" s="7"/>
      <c r="Q37" s="7"/>
      <c r="R37" s="7"/>
      <c r="S37" s="7"/>
      <c r="T37" s="7"/>
      <c r="U37" s="7"/>
      <c r="V37" s="7"/>
      <c r="W37" s="7"/>
      <c r="X37" s="7"/>
      <c r="Y37" s="999"/>
      <c r="Z37" s="7"/>
    </row>
    <row r="38" spans="1:26">
      <c r="A38" s="7"/>
      <c r="B38" s="1004"/>
      <c r="C38" s="7"/>
      <c r="D38" s="1066"/>
      <c r="E38" s="7"/>
      <c r="F38" s="7"/>
      <c r="G38" s="7"/>
      <c r="H38" s="7"/>
      <c r="I38" s="7"/>
      <c r="J38" s="7"/>
      <c r="K38" s="7"/>
      <c r="L38" s="7"/>
      <c r="M38" s="7"/>
      <c r="N38" s="7"/>
      <c r="O38" s="7"/>
      <c r="P38" s="7"/>
      <c r="Q38" s="7"/>
      <c r="R38" s="7"/>
      <c r="S38" s="7"/>
      <c r="T38" s="7"/>
      <c r="U38" s="7"/>
      <c r="V38" s="7"/>
      <c r="W38" s="7"/>
      <c r="X38" s="7"/>
      <c r="Y38" s="999"/>
      <c r="Z38" s="7"/>
    </row>
    <row r="39" spans="1:26" ht="15.75" thickBot="1">
      <c r="A39" s="7"/>
      <c r="B39" s="1006"/>
      <c r="C39" s="1007"/>
      <c r="D39" s="1008"/>
      <c r="E39" s="1007"/>
      <c r="F39" s="1007"/>
      <c r="G39" s="1007"/>
      <c r="H39" s="1007"/>
      <c r="I39" s="1007"/>
      <c r="J39" s="1007"/>
      <c r="K39" s="1007"/>
      <c r="L39" s="1007"/>
      <c r="M39" s="1007"/>
      <c r="N39" s="1007"/>
      <c r="O39" s="1007"/>
      <c r="P39" s="1007"/>
      <c r="Q39" s="1007"/>
      <c r="R39" s="1007"/>
      <c r="S39" s="1007"/>
      <c r="T39" s="1007"/>
      <c r="U39" s="1007"/>
      <c r="V39" s="1007"/>
      <c r="W39" s="1007"/>
      <c r="X39" s="1007"/>
      <c r="Y39" s="1009"/>
      <c r="Z39" s="7"/>
    </row>
    <row r="40" spans="1:26" ht="15.75" thickBot="1">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c r="A41" s="7"/>
      <c r="B41" s="1002"/>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1"/>
      <c r="Z41" s="7"/>
    </row>
    <row r="42" spans="1:26" s="1097" customFormat="1">
      <c r="A42" s="1000"/>
      <c r="B42" s="1012"/>
      <c r="C42" s="1933" t="s">
        <v>1643</v>
      </c>
      <c r="D42" s="1933"/>
      <c r="E42" s="1933"/>
      <c r="F42" s="1933"/>
      <c r="G42" s="985"/>
      <c r="H42" s="985"/>
      <c r="I42" s="985"/>
      <c r="J42" s="985"/>
      <c r="K42" s="985"/>
      <c r="L42" s="985"/>
      <c r="M42" s="985"/>
      <c r="N42" s="985"/>
      <c r="O42" s="985"/>
      <c r="P42" s="1000"/>
      <c r="Q42" s="1000"/>
      <c r="R42" s="1000"/>
      <c r="S42" s="1000"/>
      <c r="T42" s="1000"/>
      <c r="U42" s="1000"/>
      <c r="V42" s="1000"/>
      <c r="W42" s="1000"/>
      <c r="X42" s="1000"/>
      <c r="Y42" s="1062"/>
      <c r="Z42" s="1000"/>
    </row>
    <row r="43" spans="1:26">
      <c r="A43" s="7"/>
      <c r="B43" s="1005"/>
      <c r="C43" s="7"/>
      <c r="D43" s="7"/>
      <c r="E43" s="7"/>
      <c r="F43" s="7"/>
      <c r="G43" s="7"/>
      <c r="H43" s="7"/>
      <c r="I43" s="7"/>
      <c r="J43" s="7"/>
      <c r="K43" s="7"/>
      <c r="L43" s="7"/>
      <c r="M43" s="7"/>
      <c r="N43" s="7"/>
      <c r="O43" s="7"/>
      <c r="P43" s="7"/>
      <c r="Q43" s="7"/>
      <c r="R43" s="7"/>
      <c r="S43" s="7"/>
      <c r="T43" s="7"/>
      <c r="U43" s="7"/>
      <c r="V43" s="7"/>
      <c r="W43" s="7"/>
      <c r="X43" s="7"/>
      <c r="Y43" s="999"/>
      <c r="Z43" s="7"/>
    </row>
    <row r="44" spans="1:26">
      <c r="A44" s="7"/>
      <c r="B44" s="1005"/>
      <c r="C44" s="7"/>
      <c r="D44" s="7"/>
      <c r="E44" s="7"/>
      <c r="F44" s="7"/>
      <c r="G44" s="7"/>
      <c r="H44" s="7"/>
      <c r="I44" s="7"/>
      <c r="J44" s="7"/>
      <c r="K44" s="7"/>
      <c r="L44" s="7"/>
      <c r="M44" s="7"/>
      <c r="N44" s="7"/>
      <c r="O44" s="7"/>
      <c r="P44" s="7"/>
      <c r="Q44" s="7"/>
      <c r="R44" s="7"/>
      <c r="S44" s="7"/>
      <c r="T44" s="7"/>
      <c r="U44" s="7"/>
      <c r="V44" s="7"/>
      <c r="W44" s="7"/>
      <c r="X44" s="7"/>
      <c r="Y44" s="999"/>
      <c r="Z44" s="7"/>
    </row>
    <row r="45" spans="1:26">
      <c r="A45" s="7"/>
      <c r="B45" s="1005"/>
      <c r="C45" s="7"/>
      <c r="D45" s="7"/>
      <c r="E45" s="7"/>
      <c r="F45" s="7"/>
      <c r="G45" s="7"/>
      <c r="H45" s="7"/>
      <c r="I45" s="7"/>
      <c r="J45" s="7"/>
      <c r="K45" s="7"/>
      <c r="L45" s="7"/>
      <c r="M45" s="7"/>
      <c r="N45" s="7"/>
      <c r="O45" s="7"/>
      <c r="P45" s="7"/>
      <c r="Q45" s="7"/>
      <c r="R45" s="7"/>
      <c r="S45" s="7"/>
      <c r="T45" s="7"/>
      <c r="U45" s="7"/>
      <c r="V45" s="7"/>
      <c r="W45" s="7"/>
      <c r="X45" s="7"/>
      <c r="Y45" s="999"/>
      <c r="Z45" s="7"/>
    </row>
    <row r="46" spans="1:26">
      <c r="A46" s="7"/>
      <c r="B46" s="1005"/>
      <c r="C46" s="7"/>
      <c r="D46" s="7"/>
      <c r="E46" s="7"/>
      <c r="F46" s="7"/>
      <c r="G46" s="7"/>
      <c r="H46" s="509"/>
      <c r="I46" s="7"/>
      <c r="J46" s="7"/>
      <c r="K46" s="7"/>
      <c r="L46" s="7"/>
      <c r="M46" s="7"/>
      <c r="N46" s="7"/>
      <c r="O46" s="7"/>
      <c r="P46" s="7"/>
      <c r="Q46" s="7"/>
      <c r="R46" s="7"/>
      <c r="S46" s="7"/>
      <c r="T46" s="7"/>
      <c r="U46" s="7"/>
      <c r="V46" s="7"/>
      <c r="W46" s="7"/>
      <c r="X46" s="7"/>
      <c r="Y46" s="999"/>
      <c r="Z46" s="7"/>
    </row>
    <row r="47" spans="1:26">
      <c r="A47" s="7"/>
      <c r="B47" s="1005"/>
      <c r="C47" s="7"/>
      <c r="D47" s="7"/>
      <c r="E47" s="7"/>
      <c r="F47" s="7"/>
      <c r="G47" s="7"/>
      <c r="H47" s="509"/>
      <c r="I47" s="7"/>
      <c r="J47" s="7"/>
      <c r="K47" s="7"/>
      <c r="L47" s="7"/>
      <c r="M47" s="7"/>
      <c r="N47" s="7"/>
      <c r="O47" s="7"/>
      <c r="P47" s="7"/>
      <c r="Q47" s="7"/>
      <c r="R47" s="7"/>
      <c r="S47" s="7"/>
      <c r="T47" s="7"/>
      <c r="U47" s="7"/>
      <c r="V47" s="7"/>
      <c r="W47" s="7"/>
      <c r="X47" s="7"/>
      <c r="Y47" s="999"/>
      <c r="Z47" s="7"/>
    </row>
    <row r="48" spans="1:26">
      <c r="A48" s="7"/>
      <c r="B48" s="1005"/>
      <c r="C48" s="7"/>
      <c r="D48" s="7"/>
      <c r="E48" s="7"/>
      <c r="F48" s="7"/>
      <c r="G48" s="7"/>
      <c r="H48" s="7"/>
      <c r="I48" s="7"/>
      <c r="J48" s="7"/>
      <c r="K48" s="7"/>
      <c r="L48" s="7"/>
      <c r="M48" s="7"/>
      <c r="N48" s="7"/>
      <c r="O48" s="7"/>
      <c r="P48" s="7"/>
      <c r="Q48" s="7"/>
      <c r="R48" s="7"/>
      <c r="S48" s="7"/>
      <c r="T48" s="7"/>
      <c r="U48" s="7"/>
      <c r="V48" s="7"/>
      <c r="W48" s="7"/>
      <c r="X48" s="7"/>
      <c r="Y48" s="999"/>
      <c r="Z48" s="7"/>
    </row>
    <row r="49" spans="1:26">
      <c r="A49" s="7"/>
      <c r="B49" s="1005"/>
      <c r="C49" s="7"/>
      <c r="D49" s="7"/>
      <c r="E49" s="7"/>
      <c r="F49" s="7"/>
      <c r="G49" s="7"/>
      <c r="H49" s="7"/>
      <c r="I49" s="7"/>
      <c r="J49" s="7"/>
      <c r="K49" s="7"/>
      <c r="L49" s="7"/>
      <c r="M49" s="7"/>
      <c r="N49" s="7"/>
      <c r="O49" s="7"/>
      <c r="P49" s="7"/>
      <c r="Q49" s="7"/>
      <c r="R49" s="7"/>
      <c r="S49" s="7"/>
      <c r="T49" s="7"/>
      <c r="U49" s="7"/>
      <c r="V49" s="7"/>
      <c r="W49" s="7"/>
      <c r="X49" s="7"/>
      <c r="Y49" s="999"/>
      <c r="Z49" s="7"/>
    </row>
    <row r="50" spans="1:26">
      <c r="A50" s="7"/>
      <c r="B50" s="1005"/>
      <c r="C50" s="7"/>
      <c r="D50" s="7"/>
      <c r="E50" s="7"/>
      <c r="F50" s="7"/>
      <c r="G50" s="7"/>
      <c r="H50" s="7"/>
      <c r="I50" s="7"/>
      <c r="J50" s="7"/>
      <c r="K50" s="7"/>
      <c r="L50" s="7"/>
      <c r="M50" s="7"/>
      <c r="N50" s="7"/>
      <c r="O50" s="7"/>
      <c r="P50" s="7"/>
      <c r="Q50" s="7"/>
      <c r="R50" s="7"/>
      <c r="S50" s="7"/>
      <c r="T50" s="7"/>
      <c r="U50" s="7"/>
      <c r="V50" s="7"/>
      <c r="W50" s="7"/>
      <c r="X50" s="7"/>
      <c r="Y50" s="999"/>
      <c r="Z50" s="7"/>
    </row>
    <row r="51" spans="1:26">
      <c r="A51" s="7"/>
      <c r="B51" s="1005"/>
      <c r="C51" s="7"/>
      <c r="D51" s="7"/>
      <c r="E51" s="7"/>
      <c r="F51" s="7"/>
      <c r="G51" s="7"/>
      <c r="H51" s="7"/>
      <c r="I51" s="7"/>
      <c r="J51" s="7"/>
      <c r="K51" s="7"/>
      <c r="L51" s="7"/>
      <c r="M51" s="7"/>
      <c r="N51" s="7"/>
      <c r="O51" s="7"/>
      <c r="P51" s="7"/>
      <c r="Q51" s="7"/>
      <c r="R51" s="7"/>
      <c r="S51" s="7"/>
      <c r="T51" s="7"/>
      <c r="U51" s="7"/>
      <c r="V51" s="7"/>
      <c r="W51" s="7"/>
      <c r="X51" s="7"/>
      <c r="Y51" s="999"/>
      <c r="Z51" s="7"/>
    </row>
    <row r="52" spans="1:26">
      <c r="A52" s="7"/>
      <c r="B52" s="1005"/>
      <c r="C52" s="7"/>
      <c r="D52" s="7"/>
      <c r="E52" s="7"/>
      <c r="F52" s="7"/>
      <c r="G52" s="7"/>
      <c r="H52" s="7"/>
      <c r="I52" s="7"/>
      <c r="J52" s="7"/>
      <c r="K52" s="7"/>
      <c r="L52" s="7"/>
      <c r="M52" s="7"/>
      <c r="N52" s="7"/>
      <c r="O52" s="7"/>
      <c r="P52" s="7"/>
      <c r="Q52" s="7"/>
      <c r="R52" s="7"/>
      <c r="S52" s="7"/>
      <c r="T52" s="7"/>
      <c r="U52" s="7"/>
      <c r="V52" s="7"/>
      <c r="W52" s="7"/>
      <c r="X52" s="7"/>
      <c r="Y52" s="999"/>
      <c r="Z52" s="7"/>
    </row>
    <row r="53" spans="1:26">
      <c r="A53" s="7"/>
      <c r="B53" s="1005"/>
      <c r="C53" s="7"/>
      <c r="D53" s="7"/>
      <c r="E53" s="7"/>
      <c r="F53" s="7"/>
      <c r="G53" s="7"/>
      <c r="H53" s="7"/>
      <c r="I53" s="710"/>
      <c r="J53" s="7"/>
      <c r="K53" s="7"/>
      <c r="L53" s="7"/>
      <c r="M53" s="7"/>
      <c r="N53" s="7"/>
      <c r="O53" s="7"/>
      <c r="P53" s="7"/>
      <c r="Q53" s="7"/>
      <c r="R53" s="7"/>
      <c r="S53" s="7"/>
      <c r="T53" s="7"/>
      <c r="U53" s="7"/>
      <c r="V53" s="7"/>
      <c r="W53" s="7"/>
      <c r="X53" s="7"/>
      <c r="Y53" s="999"/>
      <c r="Z53" s="7"/>
    </row>
    <row r="54" spans="1:26">
      <c r="A54" s="7"/>
      <c r="B54" s="1005"/>
      <c r="C54" s="7"/>
      <c r="D54" s="7"/>
      <c r="E54" s="7"/>
      <c r="F54" s="7"/>
      <c r="G54" s="7"/>
      <c r="H54" s="7"/>
      <c r="I54" s="7"/>
      <c r="J54" s="7"/>
      <c r="K54" s="7"/>
      <c r="L54" s="7"/>
      <c r="M54" s="7"/>
      <c r="N54" s="7"/>
      <c r="O54" s="7"/>
      <c r="P54" s="7"/>
      <c r="Q54" s="7"/>
      <c r="R54" s="7"/>
      <c r="S54" s="7"/>
      <c r="T54" s="7"/>
      <c r="U54" s="7"/>
      <c r="V54" s="7"/>
      <c r="W54" s="7"/>
      <c r="X54" s="7"/>
      <c r="Y54" s="999"/>
      <c r="Z54" s="7"/>
    </row>
    <row r="55" spans="1:26">
      <c r="A55" s="7"/>
      <c r="B55" s="1005"/>
      <c r="C55" s="7"/>
      <c r="D55" s="7"/>
      <c r="E55" s="7"/>
      <c r="F55" s="7"/>
      <c r="G55" s="7"/>
      <c r="H55" s="7"/>
      <c r="I55" s="1063" t="s">
        <v>1458</v>
      </c>
      <c r="J55" s="7"/>
      <c r="K55" s="7"/>
      <c r="L55" s="7"/>
      <c r="M55" s="7"/>
      <c r="N55" s="7"/>
      <c r="O55" s="7"/>
      <c r="P55" s="7"/>
      <c r="Q55" s="7"/>
      <c r="R55" s="7"/>
      <c r="S55" s="7"/>
      <c r="T55" s="7"/>
      <c r="U55" s="7"/>
      <c r="V55" s="7"/>
      <c r="W55" s="1936" t="s">
        <v>1458</v>
      </c>
      <c r="X55" s="1936"/>
      <c r="Y55" s="999"/>
      <c r="Z55" s="7"/>
    </row>
    <row r="56" spans="1:26">
      <c r="A56" s="7"/>
      <c r="B56" s="1005"/>
      <c r="C56" s="7"/>
      <c r="D56" s="7"/>
      <c r="E56" s="7"/>
      <c r="F56" s="7"/>
      <c r="G56" s="7"/>
      <c r="H56" s="7"/>
      <c r="I56" s="7"/>
      <c r="J56" s="7"/>
      <c r="K56" s="7"/>
      <c r="L56" s="7"/>
      <c r="M56" s="7"/>
      <c r="N56" s="7"/>
      <c r="O56" s="7"/>
      <c r="P56" s="7"/>
      <c r="Q56" s="7"/>
      <c r="R56" s="7"/>
      <c r="S56" s="7"/>
      <c r="T56" s="7"/>
      <c r="U56" s="7"/>
      <c r="V56" s="7"/>
      <c r="W56" s="7"/>
      <c r="X56" s="7"/>
      <c r="Y56" s="999"/>
      <c r="Z56" s="7"/>
    </row>
    <row r="57" spans="1:26">
      <c r="A57" s="7"/>
      <c r="B57" s="1005"/>
      <c r="C57" s="7"/>
      <c r="D57" s="7"/>
      <c r="E57" s="7"/>
      <c r="F57" s="7"/>
      <c r="G57" s="7"/>
      <c r="H57" s="7"/>
      <c r="I57" s="7"/>
      <c r="J57" s="7"/>
      <c r="K57" s="7"/>
      <c r="L57" s="7"/>
      <c r="M57" s="7"/>
      <c r="N57" s="7"/>
      <c r="O57" s="7"/>
      <c r="P57" s="7"/>
      <c r="Q57" s="7"/>
      <c r="R57" s="7"/>
      <c r="S57" s="7"/>
      <c r="T57" s="7"/>
      <c r="U57" s="7"/>
      <c r="V57" s="7"/>
      <c r="W57" s="7"/>
      <c r="X57" s="7"/>
      <c r="Y57" s="999"/>
      <c r="Z57" s="7"/>
    </row>
    <row r="58" spans="1:26">
      <c r="A58" s="7"/>
      <c r="B58" s="1005"/>
      <c r="C58" s="7"/>
      <c r="D58" s="7"/>
      <c r="E58" s="7"/>
      <c r="F58" s="7"/>
      <c r="G58" s="7"/>
      <c r="H58" s="7"/>
      <c r="I58" s="7"/>
      <c r="J58" s="7"/>
      <c r="K58" s="7"/>
      <c r="L58" s="7"/>
      <c r="M58" s="7"/>
      <c r="N58" s="7"/>
      <c r="O58" s="7"/>
      <c r="P58" s="7"/>
      <c r="Q58" s="7"/>
      <c r="R58" s="7"/>
      <c r="S58" s="7"/>
      <c r="T58" s="7"/>
      <c r="U58" s="7"/>
      <c r="V58" s="7"/>
      <c r="W58" s="7"/>
      <c r="X58" s="7"/>
      <c r="Y58" s="999"/>
      <c r="Z58" s="7"/>
    </row>
    <row r="59" spans="1:26">
      <c r="A59" s="7"/>
      <c r="B59" s="1005"/>
      <c r="C59" s="7"/>
      <c r="D59" s="7"/>
      <c r="E59" s="7"/>
      <c r="F59" s="7"/>
      <c r="G59" s="7"/>
      <c r="H59" s="7"/>
      <c r="I59" s="7"/>
      <c r="J59" s="7"/>
      <c r="K59" s="7"/>
      <c r="L59" s="7"/>
      <c r="M59" s="7"/>
      <c r="N59" s="7"/>
      <c r="O59" s="7"/>
      <c r="P59" s="7"/>
      <c r="Q59" s="7"/>
      <c r="R59" s="7"/>
      <c r="S59" s="7"/>
      <c r="T59" s="7"/>
      <c r="U59" s="7"/>
      <c r="V59" s="7"/>
      <c r="W59" s="7"/>
      <c r="X59" s="7"/>
      <c r="Y59" s="999"/>
      <c r="Z59" s="7"/>
    </row>
    <row r="60" spans="1:26">
      <c r="A60" s="7"/>
      <c r="B60" s="1005"/>
      <c r="C60" s="7"/>
      <c r="D60" s="7"/>
      <c r="E60" s="7"/>
      <c r="F60" s="7"/>
      <c r="G60" s="7"/>
      <c r="H60" s="7"/>
      <c r="I60" s="7"/>
      <c r="J60" s="7"/>
      <c r="K60" s="7"/>
      <c r="L60" s="7"/>
      <c r="M60" s="7"/>
      <c r="N60" s="7"/>
      <c r="O60" s="7"/>
      <c r="P60" s="7"/>
      <c r="Q60" s="7"/>
      <c r="R60" s="7"/>
      <c r="S60" s="7"/>
      <c r="T60" s="7"/>
      <c r="U60" s="7"/>
      <c r="V60" s="7"/>
      <c r="W60" s="7"/>
      <c r="X60" s="7"/>
      <c r="Y60" s="999"/>
      <c r="Z60" s="7"/>
    </row>
    <row r="61" spans="1:26">
      <c r="A61" s="7"/>
      <c r="B61" s="1005"/>
      <c r="C61" s="7"/>
      <c r="D61" s="7"/>
      <c r="E61" s="7"/>
      <c r="F61" s="7"/>
      <c r="G61" s="7"/>
      <c r="H61" s="7"/>
      <c r="I61" s="7"/>
      <c r="J61" s="7"/>
      <c r="K61" s="7"/>
      <c r="L61" s="7"/>
      <c r="M61" s="7"/>
      <c r="N61" s="7"/>
      <c r="O61" s="7"/>
      <c r="P61" s="7"/>
      <c r="Q61" s="7"/>
      <c r="R61" s="7"/>
      <c r="S61" s="7"/>
      <c r="T61" s="7"/>
      <c r="U61" s="7"/>
      <c r="V61" s="7"/>
      <c r="W61" s="7"/>
      <c r="X61" s="7"/>
      <c r="Y61" s="999"/>
      <c r="Z61" s="7"/>
    </row>
    <row r="62" spans="1:26">
      <c r="A62" s="7"/>
      <c r="B62" s="1005"/>
      <c r="C62" s="7"/>
      <c r="D62" s="7"/>
      <c r="E62" s="7"/>
      <c r="F62" s="7"/>
      <c r="G62" s="7"/>
      <c r="H62" s="7"/>
      <c r="I62" s="7"/>
      <c r="J62" s="7"/>
      <c r="K62" s="7"/>
      <c r="L62" s="7"/>
      <c r="M62" s="7"/>
      <c r="N62" s="7"/>
      <c r="O62" s="7"/>
      <c r="P62" s="7"/>
      <c r="Q62" s="7"/>
      <c r="R62" s="7"/>
      <c r="S62" s="7"/>
      <c r="T62" s="7"/>
      <c r="U62" s="7"/>
      <c r="V62" s="7"/>
      <c r="W62" s="7"/>
      <c r="X62" s="7"/>
      <c r="Y62" s="999"/>
      <c r="Z62" s="7"/>
    </row>
    <row r="63" spans="1:26">
      <c r="A63" s="7"/>
      <c r="B63" s="1005"/>
      <c r="C63" s="7"/>
      <c r="D63" s="7"/>
      <c r="E63" s="7"/>
      <c r="F63" s="7"/>
      <c r="G63" s="7"/>
      <c r="H63" s="7"/>
      <c r="I63" s="7"/>
      <c r="J63" s="7"/>
      <c r="K63" s="7"/>
      <c r="L63" s="7"/>
      <c r="M63" s="7"/>
      <c r="N63" s="7"/>
      <c r="O63" s="7"/>
      <c r="P63" s="7"/>
      <c r="Q63" s="7"/>
      <c r="R63" s="7"/>
      <c r="S63" s="7"/>
      <c r="T63" s="7"/>
      <c r="U63" s="7"/>
      <c r="V63" s="7"/>
      <c r="W63" s="7"/>
      <c r="X63" s="7"/>
      <c r="Y63" s="999"/>
      <c r="Z63" s="7"/>
    </row>
    <row r="64" spans="1:26">
      <c r="A64" s="7"/>
      <c r="B64" s="1005"/>
      <c r="C64" s="7"/>
      <c r="D64" s="7"/>
      <c r="E64" s="7"/>
      <c r="F64" s="7"/>
      <c r="G64" s="7"/>
      <c r="H64" s="7"/>
      <c r="I64" s="7"/>
      <c r="J64" s="7"/>
      <c r="K64" s="7"/>
      <c r="L64" s="7"/>
      <c r="M64" s="7"/>
      <c r="N64" s="7"/>
      <c r="O64" s="7"/>
      <c r="P64" s="7"/>
      <c r="Q64" s="7"/>
      <c r="R64" s="7"/>
      <c r="S64" s="7"/>
      <c r="T64" s="7"/>
      <c r="U64" s="7"/>
      <c r="V64" s="7"/>
      <c r="W64" s="7"/>
      <c r="X64" s="7"/>
      <c r="Y64" s="999"/>
      <c r="Z64" s="7"/>
    </row>
    <row r="65" spans="1:26">
      <c r="A65" s="7"/>
      <c r="B65" s="1005"/>
      <c r="C65" s="7"/>
      <c r="D65" s="7"/>
      <c r="E65" s="7"/>
      <c r="F65" s="7"/>
      <c r="G65" s="7"/>
      <c r="H65" s="7"/>
      <c r="I65" s="7"/>
      <c r="J65" s="7"/>
      <c r="K65" s="7"/>
      <c r="L65" s="7"/>
      <c r="M65" s="7"/>
      <c r="N65" s="7"/>
      <c r="O65" s="7"/>
      <c r="P65" s="7"/>
      <c r="Q65" s="7"/>
      <c r="R65" s="7"/>
      <c r="S65" s="7"/>
      <c r="T65" s="7"/>
      <c r="U65" s="7"/>
      <c r="V65" s="7"/>
      <c r="W65" s="7"/>
      <c r="X65" s="7"/>
      <c r="Y65" s="999"/>
      <c r="Z65" s="7"/>
    </row>
    <row r="66" spans="1:26">
      <c r="A66" s="7"/>
      <c r="B66" s="1005"/>
      <c r="C66" s="7"/>
      <c r="D66" s="7"/>
      <c r="E66" s="7"/>
      <c r="F66" s="7"/>
      <c r="G66" s="7"/>
      <c r="H66" s="7"/>
      <c r="I66" s="7"/>
      <c r="J66" s="7"/>
      <c r="K66" s="7"/>
      <c r="L66" s="7"/>
      <c r="M66" s="7"/>
      <c r="N66" s="7"/>
      <c r="O66" s="7"/>
      <c r="P66" s="7"/>
      <c r="Q66" s="7"/>
      <c r="R66" s="7"/>
      <c r="S66" s="7"/>
      <c r="T66" s="7"/>
      <c r="U66" s="7"/>
      <c r="V66" s="7"/>
      <c r="W66" s="7"/>
      <c r="X66" s="7"/>
      <c r="Y66" s="999"/>
      <c r="Z66" s="7"/>
    </row>
    <row r="67" spans="1:26">
      <c r="A67" s="7"/>
      <c r="B67" s="1005"/>
      <c r="C67" s="7"/>
      <c r="D67" s="7"/>
      <c r="E67" s="7"/>
      <c r="F67" s="7"/>
      <c r="G67" s="7"/>
      <c r="H67" s="7"/>
      <c r="I67" s="7"/>
      <c r="J67" s="7"/>
      <c r="K67" s="7"/>
      <c r="L67" s="7"/>
      <c r="M67" s="7"/>
      <c r="N67" s="7"/>
      <c r="O67" s="7"/>
      <c r="P67" s="7"/>
      <c r="Q67" s="7"/>
      <c r="R67" s="7"/>
      <c r="S67" s="7"/>
      <c r="T67" s="7"/>
      <c r="U67" s="7"/>
      <c r="V67" s="7"/>
      <c r="W67" s="7"/>
      <c r="X67" s="7"/>
      <c r="Y67" s="999"/>
      <c r="Z67" s="7"/>
    </row>
    <row r="68" spans="1:26">
      <c r="A68" s="7"/>
      <c r="B68" s="1005"/>
      <c r="C68" s="7"/>
      <c r="D68" s="7"/>
      <c r="E68" s="7"/>
      <c r="F68" s="7"/>
      <c r="G68" s="7"/>
      <c r="H68" s="1931" t="s">
        <v>1578</v>
      </c>
      <c r="I68" s="1931"/>
      <c r="J68" s="7"/>
      <c r="K68" s="7"/>
      <c r="L68" s="7"/>
      <c r="M68" s="7"/>
      <c r="N68" s="7"/>
      <c r="O68" s="7"/>
      <c r="P68" s="7"/>
      <c r="Q68" s="7"/>
      <c r="R68" s="7"/>
      <c r="S68" s="7"/>
      <c r="T68" s="7"/>
      <c r="U68" s="7"/>
      <c r="V68" s="7"/>
      <c r="W68" s="7"/>
      <c r="X68" s="7"/>
      <c r="Y68" s="999"/>
      <c r="Z68" s="7"/>
    </row>
    <row r="69" spans="1:26">
      <c r="A69" s="7"/>
      <c r="B69" s="1005"/>
      <c r="C69" s="7"/>
      <c r="D69" s="7"/>
      <c r="E69" s="7"/>
      <c r="F69" s="7"/>
      <c r="G69" s="7"/>
      <c r="H69" s="7"/>
      <c r="I69" s="7"/>
      <c r="J69" s="7"/>
      <c r="K69" s="7"/>
      <c r="L69" s="7"/>
      <c r="M69" s="7"/>
      <c r="N69" s="7"/>
      <c r="O69" s="7"/>
      <c r="P69" s="7"/>
      <c r="Q69" s="7"/>
      <c r="R69" s="7"/>
      <c r="S69" s="7"/>
      <c r="T69" s="1932" t="s">
        <v>1644</v>
      </c>
      <c r="U69" s="1932"/>
      <c r="V69" s="1932"/>
      <c r="W69" s="1932"/>
      <c r="X69" s="7"/>
      <c r="Y69" s="999"/>
      <c r="Z69" s="7"/>
    </row>
    <row r="70" spans="1:26">
      <c r="A70" s="7"/>
      <c r="B70" s="1005"/>
      <c r="C70" s="7"/>
      <c r="D70" s="7"/>
      <c r="E70" s="7"/>
      <c r="F70" s="7"/>
      <c r="G70" s="7"/>
      <c r="H70" s="7"/>
      <c r="I70" s="7"/>
      <c r="J70" s="7"/>
      <c r="K70" s="7"/>
      <c r="L70" s="7"/>
      <c r="M70" s="7"/>
      <c r="N70" s="7"/>
      <c r="O70" s="7"/>
      <c r="P70" s="7"/>
      <c r="Q70" s="7"/>
      <c r="R70" s="7"/>
      <c r="S70" s="7"/>
      <c r="T70" s="7"/>
      <c r="U70" s="7"/>
      <c r="V70" s="7"/>
      <c r="W70" s="7"/>
      <c r="X70" s="7"/>
      <c r="Y70" s="999"/>
      <c r="Z70" s="7"/>
    </row>
    <row r="71" spans="1:26">
      <c r="A71" s="7"/>
      <c r="B71" s="1005"/>
      <c r="C71" s="7"/>
      <c r="D71" s="7"/>
      <c r="E71" s="7"/>
      <c r="F71" s="7"/>
      <c r="G71" s="7"/>
      <c r="H71" s="7"/>
      <c r="I71" s="7"/>
      <c r="J71" s="7"/>
      <c r="K71" s="7"/>
      <c r="L71" s="7"/>
      <c r="M71" s="7"/>
      <c r="N71" s="7"/>
      <c r="O71" s="7"/>
      <c r="P71" s="7"/>
      <c r="Q71" s="7"/>
      <c r="R71" s="7"/>
      <c r="S71" s="7"/>
      <c r="T71" s="7"/>
      <c r="U71" s="7"/>
      <c r="V71" s="7"/>
      <c r="W71" s="7"/>
      <c r="X71" s="7"/>
      <c r="Y71" s="999"/>
      <c r="Z71" s="7"/>
    </row>
    <row r="72" spans="1:26" ht="19.5">
      <c r="A72" s="7"/>
      <c r="B72" s="1005"/>
      <c r="C72" s="7"/>
      <c r="D72" s="7"/>
      <c r="E72" s="7"/>
      <c r="F72" s="7"/>
      <c r="G72" s="1064"/>
      <c r="H72" s="1064"/>
      <c r="I72" s="7"/>
      <c r="J72" s="7"/>
      <c r="K72" s="7"/>
      <c r="L72" s="7"/>
      <c r="M72" s="7"/>
      <c r="N72" s="7"/>
      <c r="O72" s="7"/>
      <c r="P72" s="7"/>
      <c r="Q72" s="7"/>
      <c r="R72" s="7"/>
      <c r="S72" s="7"/>
      <c r="T72" s="7"/>
      <c r="U72" s="7"/>
      <c r="V72" s="7"/>
      <c r="W72" s="7"/>
      <c r="X72" s="7"/>
      <c r="Y72" s="999"/>
      <c r="Z72" s="7"/>
    </row>
    <row r="73" spans="1:26">
      <c r="A73" s="7"/>
      <c r="B73" s="1005"/>
      <c r="C73" s="7"/>
      <c r="D73" s="7"/>
      <c r="E73" s="7"/>
      <c r="F73" s="7"/>
      <c r="G73" s="7"/>
      <c r="H73" s="7"/>
      <c r="I73" s="7"/>
      <c r="J73" s="7"/>
      <c r="K73" s="7"/>
      <c r="L73" s="7"/>
      <c r="M73" s="7"/>
      <c r="N73" s="7"/>
      <c r="O73" s="7"/>
      <c r="P73" s="7"/>
      <c r="Q73" s="7"/>
      <c r="R73" s="7"/>
      <c r="S73" s="7"/>
      <c r="T73" s="7"/>
      <c r="U73" s="7"/>
      <c r="V73" s="7"/>
      <c r="W73" s="7"/>
      <c r="X73" s="7"/>
      <c r="Y73" s="999"/>
      <c r="Z73" s="7"/>
    </row>
    <row r="74" spans="1:26">
      <c r="A74" s="7"/>
      <c r="B74" s="1005"/>
      <c r="C74" s="7"/>
      <c r="D74" s="7"/>
      <c r="E74" s="7"/>
      <c r="F74" s="7"/>
      <c r="G74" s="7"/>
      <c r="H74" s="7"/>
      <c r="I74" s="7"/>
      <c r="J74" s="7"/>
      <c r="K74" s="7"/>
      <c r="L74" s="7"/>
      <c r="M74" s="7"/>
      <c r="N74" s="7"/>
      <c r="O74" s="7"/>
      <c r="P74" s="7"/>
      <c r="Q74" s="7"/>
      <c r="R74" s="7"/>
      <c r="S74" s="7"/>
      <c r="T74" s="7"/>
      <c r="U74" s="7"/>
      <c r="V74" s="7"/>
      <c r="W74" s="7"/>
      <c r="X74" s="7"/>
      <c r="Y74" s="999"/>
      <c r="Z74" s="7"/>
    </row>
    <row r="75" spans="1:26">
      <c r="A75" s="7"/>
      <c r="B75" s="1005"/>
      <c r="C75" s="7"/>
      <c r="D75" s="7"/>
      <c r="E75" s="7"/>
      <c r="F75" s="7"/>
      <c r="G75" s="7"/>
      <c r="H75" s="7"/>
      <c r="I75" s="7"/>
      <c r="J75" s="7"/>
      <c r="K75" s="7"/>
      <c r="L75" s="7"/>
      <c r="M75" s="7"/>
      <c r="N75" s="7"/>
      <c r="O75" s="7"/>
      <c r="P75" s="7"/>
      <c r="Q75" s="7"/>
      <c r="R75" s="7"/>
      <c r="S75" s="7"/>
      <c r="T75" s="7"/>
      <c r="U75" s="7"/>
      <c r="V75" s="7"/>
      <c r="W75" s="7"/>
      <c r="X75" s="7"/>
      <c r="Y75" s="999"/>
      <c r="Z75" s="7"/>
    </row>
    <row r="76" spans="1:26">
      <c r="A76" s="7"/>
      <c r="B76" s="1005"/>
      <c r="C76" s="7"/>
      <c r="D76" s="7"/>
      <c r="E76" s="7"/>
      <c r="F76" s="7"/>
      <c r="G76" s="7"/>
      <c r="H76" s="7"/>
      <c r="I76" s="7"/>
      <c r="J76" s="7"/>
      <c r="K76" s="7"/>
      <c r="L76" s="7"/>
      <c r="M76" s="7"/>
      <c r="N76" s="7"/>
      <c r="O76" s="7"/>
      <c r="P76" s="7"/>
      <c r="Q76" s="7"/>
      <c r="R76" s="7"/>
      <c r="S76" s="7"/>
      <c r="T76" s="7"/>
      <c r="U76" s="7"/>
      <c r="V76" s="7"/>
      <c r="W76" s="7"/>
      <c r="X76" s="7"/>
      <c r="Y76" s="999"/>
      <c r="Z76" s="7"/>
    </row>
    <row r="77" spans="1:26">
      <c r="A77" s="7"/>
      <c r="B77" s="1005"/>
      <c r="C77" s="7"/>
      <c r="D77" s="7"/>
      <c r="E77" s="7"/>
      <c r="F77" s="7"/>
      <c r="G77" s="7"/>
      <c r="H77" s="7"/>
      <c r="I77" s="7"/>
      <c r="J77" s="7"/>
      <c r="K77" s="7"/>
      <c r="L77" s="7"/>
      <c r="M77" s="7"/>
      <c r="N77" s="7"/>
      <c r="O77" s="7"/>
      <c r="P77" s="7"/>
      <c r="Q77" s="7"/>
      <c r="R77" s="7"/>
      <c r="S77" s="7"/>
      <c r="T77" s="7"/>
      <c r="U77" s="7"/>
      <c r="V77" s="7"/>
      <c r="W77" s="7"/>
      <c r="X77" s="7"/>
      <c r="Y77" s="999"/>
      <c r="Z77" s="7"/>
    </row>
    <row r="78" spans="1:26">
      <c r="A78" s="7"/>
      <c r="B78" s="1005"/>
      <c r="C78" s="1065"/>
      <c r="D78" s="7"/>
      <c r="E78" s="7"/>
      <c r="F78" s="7"/>
      <c r="G78" s="7"/>
      <c r="H78" s="7"/>
      <c r="I78" s="7"/>
      <c r="J78" s="7"/>
      <c r="K78" s="7"/>
      <c r="L78" s="7"/>
      <c r="M78" s="7"/>
      <c r="N78" s="7"/>
      <c r="O78" s="7"/>
      <c r="P78" s="7"/>
      <c r="Q78" s="7"/>
      <c r="R78" s="7"/>
      <c r="S78" s="7"/>
      <c r="T78" s="7"/>
      <c r="U78" s="7"/>
      <c r="V78" s="7"/>
      <c r="W78" s="7"/>
      <c r="X78" s="7"/>
      <c r="Y78" s="999"/>
      <c r="Z78" s="7"/>
    </row>
    <row r="79" spans="1:26">
      <c r="A79" s="7"/>
      <c r="B79" s="1005"/>
      <c r="C79" s="1013"/>
      <c r="D79" s="7"/>
      <c r="E79" s="7"/>
      <c r="F79" s="7"/>
      <c r="G79" s="7"/>
      <c r="H79" s="7"/>
      <c r="I79" s="7"/>
      <c r="J79" s="7"/>
      <c r="K79" s="7"/>
      <c r="L79" s="7"/>
      <c r="M79" s="7"/>
      <c r="N79" s="7"/>
      <c r="O79" s="7"/>
      <c r="P79" s="7"/>
      <c r="Q79" s="7"/>
      <c r="R79" s="7"/>
      <c r="S79" s="7"/>
      <c r="T79" s="7"/>
      <c r="U79" s="7"/>
      <c r="V79" s="7"/>
      <c r="W79" s="7"/>
      <c r="X79" s="7"/>
      <c r="Y79" s="999"/>
      <c r="Z79" s="7"/>
    </row>
    <row r="80" spans="1:26" ht="15.75" thickBot="1">
      <c r="A80" s="7"/>
      <c r="B80" s="1014"/>
      <c r="C80" s="1007"/>
      <c r="D80" s="1007"/>
      <c r="E80" s="1007"/>
      <c r="F80" s="1007"/>
      <c r="G80" s="1007"/>
      <c r="H80" s="1007"/>
      <c r="I80" s="1007"/>
      <c r="J80" s="1007"/>
      <c r="K80" s="1007"/>
      <c r="L80" s="1007"/>
      <c r="M80" s="1007"/>
      <c r="N80" s="1007"/>
      <c r="O80" s="1007"/>
      <c r="P80" s="1007"/>
      <c r="Q80" s="1007"/>
      <c r="R80" s="1007"/>
      <c r="S80" s="1007"/>
      <c r="T80" s="1007"/>
      <c r="U80" s="1007"/>
      <c r="V80" s="1007"/>
      <c r="W80" s="1007"/>
      <c r="X80" s="1007"/>
      <c r="Y80" s="1009"/>
      <c r="Z80" s="7"/>
    </row>
    <row r="81" spans="1:26">
      <c r="A81" s="7"/>
      <c r="B81" s="7"/>
      <c r="C81" s="7"/>
      <c r="D81" s="7"/>
      <c r="E81" s="7"/>
      <c r="F81" s="7"/>
      <c r="G81" s="7"/>
      <c r="H81" s="7"/>
      <c r="I81" s="7"/>
      <c r="J81" s="7"/>
      <c r="K81" s="7"/>
      <c r="L81" s="7"/>
      <c r="M81" s="7"/>
      <c r="N81" s="7"/>
      <c r="O81" s="7"/>
      <c r="P81" s="7"/>
      <c r="Q81" s="7"/>
      <c r="R81" s="7"/>
      <c r="S81" s="7"/>
      <c r="T81" s="7"/>
      <c r="U81" s="7"/>
      <c r="V81" s="7"/>
      <c r="W81" s="7"/>
      <c r="X81" s="7"/>
      <c r="Y81" s="7"/>
      <c r="Z81" s="7"/>
    </row>
  </sheetData>
  <sheetProtection algorithmName="SHA-512" hashValue="x94nBYK3hDqrltlHFd6UYTzIYTzIY4/vbXM5fhpL94CFNqc1aiEIr8KLizMPKFNn5kgKN6vMaSk8KhScQgvC9A==" saltValue="1Og2/qs+oL2ocAc4YU5o+w==" spinCount="100000" sheet="1" objects="1" scenarios="1"/>
  <mergeCells count="7">
    <mergeCell ref="H68:I68"/>
    <mergeCell ref="T69:W69"/>
    <mergeCell ref="C42:F42"/>
    <mergeCell ref="C8:M8"/>
    <mergeCell ref="C34:L35"/>
    <mergeCell ref="W55:X55"/>
    <mergeCell ref="C14:Q14"/>
  </mergeCells>
  <phoneticPr fontId="71" type="noConversion"/>
  <dataValidations count="2">
    <dataValidation allowBlank="1" showInputMessage="1" showErrorMessage="1" prompt="Eau alimentée à la chaudière. En général, l’eau d’alimentation est la somme du débit d’eau d’appoint et du débit d’eau de condensat." sqref="I76:J76 H68 J68 T69" xr:uid="{6B30534E-424B-479A-9293-CD5F1461896B}"/>
    <dataValidation allowBlank="1" showInputMessage="1" showErrorMessage="1" prompt="Eau de la ville" sqref="N53 I55 K53:L53 W55" xr:uid="{8080918A-A93A-4E20-A528-5831CC04E82C}"/>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S184"/>
  <sheetViews>
    <sheetView topLeftCell="A92" workbookViewId="0">
      <selection activeCell="E108" sqref="E108"/>
    </sheetView>
  </sheetViews>
  <sheetFormatPr baseColWidth="10" defaultColWidth="11.42578125" defaultRowHeight="15" outlineLevelRow="1"/>
  <cols>
    <col min="1" max="3" width="3.140625" style="1071" customWidth="1"/>
    <col min="4" max="4" width="46.5703125" style="1071" customWidth="1"/>
    <col min="5" max="8" width="21.42578125" style="1071" customWidth="1"/>
    <col min="9" max="9" width="25.5703125" style="1071" customWidth="1"/>
    <col min="10" max="11" width="14.5703125" style="1071" customWidth="1"/>
    <col min="12" max="12" width="16.42578125" style="1071" customWidth="1"/>
    <col min="13" max="13" width="6.140625" style="1441" customWidth="1"/>
    <col min="14" max="15" width="3.140625" style="1071" customWidth="1"/>
    <col min="16" max="16" width="14.5703125" style="1071" customWidth="1"/>
    <col min="17" max="17" width="21.5703125" style="1071" customWidth="1"/>
    <col min="18" max="18" width="14" style="1071" customWidth="1"/>
    <col min="19" max="19" width="22" style="1071" customWidth="1"/>
    <col min="20" max="20" width="10.140625" style="1071" customWidth="1"/>
    <col min="21" max="21" width="34" style="1071" customWidth="1"/>
    <col min="22" max="22" width="14.5703125" style="1071" customWidth="1"/>
    <col min="23" max="23" width="27.42578125" style="1071" bestFit="1" customWidth="1"/>
    <col min="24" max="16384" width="11.42578125" style="1071"/>
  </cols>
  <sheetData>
    <row r="1" spans="1:15" ht="13.5" customHeight="1">
      <c r="A1" s="7"/>
      <c r="B1" s="7"/>
      <c r="C1" s="7"/>
      <c r="D1" s="7"/>
      <c r="E1" s="7"/>
      <c r="F1" s="7"/>
      <c r="G1" s="7"/>
      <c r="H1" s="7"/>
      <c r="I1" s="7"/>
      <c r="J1" s="7"/>
      <c r="K1" s="7"/>
      <c r="L1" s="7"/>
      <c r="M1" s="525"/>
      <c r="N1" s="7"/>
      <c r="O1" s="7"/>
    </row>
    <row r="2" spans="1:15" ht="24.75" customHeight="1">
      <c r="A2" s="7"/>
      <c r="B2" s="570" t="s">
        <v>1752</v>
      </c>
      <c r="C2" s="7"/>
      <c r="D2" s="571"/>
      <c r="E2" s="571"/>
      <c r="F2" s="571"/>
      <c r="G2" s="7"/>
      <c r="H2" s="7"/>
      <c r="I2" s="7"/>
      <c r="J2" s="7"/>
      <c r="K2" s="7"/>
      <c r="L2" s="7"/>
      <c r="M2" s="525"/>
      <c r="N2" s="7"/>
      <c r="O2" s="7"/>
    </row>
    <row r="3" spans="1:15" ht="18.75" customHeight="1">
      <c r="A3" s="7"/>
      <c r="B3" s="572" t="s">
        <v>0</v>
      </c>
      <c r="C3" s="7"/>
      <c r="D3" s="572"/>
      <c r="E3" s="572"/>
      <c r="F3" s="572"/>
      <c r="G3" s="7"/>
      <c r="H3" s="7"/>
      <c r="I3" s="7"/>
      <c r="J3" s="7"/>
      <c r="K3" s="7"/>
      <c r="L3" s="7"/>
      <c r="M3" s="573"/>
      <c r="N3" s="573"/>
      <c r="O3" s="7"/>
    </row>
    <row r="4" spans="1:15" ht="18.75" customHeight="1">
      <c r="A4" s="7"/>
      <c r="B4" s="1379"/>
      <c r="C4" s="7"/>
      <c r="D4" s="7"/>
      <c r="E4" s="7"/>
      <c r="F4" s="7"/>
      <c r="G4" s="7"/>
      <c r="H4" s="7"/>
      <c r="I4" s="7"/>
      <c r="J4" s="7"/>
      <c r="K4" s="7"/>
      <c r="L4" s="7"/>
      <c r="M4" s="573"/>
      <c r="N4" s="573"/>
      <c r="O4" s="7"/>
    </row>
    <row r="5" spans="1:15" ht="15" customHeight="1">
      <c r="A5" s="7"/>
      <c r="B5" s="986"/>
      <c r="C5" s="1380"/>
      <c r="D5" s="990" t="s">
        <v>1739</v>
      </c>
      <c r="E5" s="1098" t="str">
        <f>IF('1. Informations générales'!F8="","",'1. Informations générales'!F8)</f>
        <v>PE242-XXX</v>
      </c>
      <c r="F5" s="986"/>
      <c r="G5" s="7"/>
      <c r="H5" s="986"/>
      <c r="I5" s="1381"/>
      <c r="J5" s="1381"/>
      <c r="K5" s="1381"/>
      <c r="L5" s="1381"/>
      <c r="M5" s="978"/>
      <c r="N5" s="986"/>
      <c r="O5" s="7"/>
    </row>
    <row r="6" spans="1:15" ht="15" customHeight="1">
      <c r="A6" s="7"/>
      <c r="B6" s="7"/>
      <c r="C6" s="7"/>
      <c r="D6" s="7"/>
      <c r="E6" s="7"/>
      <c r="F6" s="7"/>
      <c r="G6" s="7"/>
      <c r="H6" s="7"/>
      <c r="I6" s="7"/>
      <c r="J6" s="7"/>
      <c r="K6" s="7"/>
      <c r="L6" s="7"/>
      <c r="M6" s="7"/>
      <c r="N6" s="1266"/>
      <c r="O6" s="7"/>
    </row>
    <row r="7" spans="1:15" ht="15" customHeight="1">
      <c r="A7" s="7"/>
      <c r="B7" s="1382"/>
      <c r="C7" s="1382"/>
      <c r="D7" s="1383" t="s">
        <v>1774</v>
      </c>
      <c r="E7" s="1384"/>
      <c r="F7" s="1384"/>
      <c r="G7" s="1384"/>
      <c r="H7" s="1384"/>
      <c r="I7" s="1384"/>
      <c r="J7" s="1384"/>
      <c r="K7" s="1385"/>
      <c r="L7" s="1385"/>
      <c r="M7" s="1386"/>
      <c r="N7" s="1267"/>
      <c r="O7" s="7"/>
    </row>
    <row r="8" spans="1:15" ht="6.75" customHeight="1" thickBot="1">
      <c r="A8" s="7"/>
      <c r="B8" s="1387"/>
      <c r="C8" s="1387"/>
      <c r="D8" s="1388"/>
      <c r="E8" s="1389"/>
      <c r="F8" s="1389"/>
      <c r="G8" s="1389"/>
      <c r="H8" s="1389"/>
      <c r="I8" s="1389"/>
      <c r="J8" s="1389"/>
      <c r="K8" s="1390"/>
      <c r="L8" s="1390"/>
      <c r="M8" s="1391"/>
      <c r="N8" s="1392"/>
      <c r="O8" s="7"/>
    </row>
    <row r="9" spans="1:15" ht="15" customHeight="1" thickBot="1">
      <c r="A9" s="7"/>
      <c r="B9" s="1387"/>
      <c r="C9" s="1393"/>
      <c r="D9" s="1394" t="s">
        <v>991</v>
      </c>
      <c r="E9" s="1389"/>
      <c r="F9" s="1389"/>
      <c r="G9" s="1196" t="s">
        <v>15</v>
      </c>
      <c r="H9" s="1389"/>
      <c r="I9" s="1389"/>
      <c r="J9" s="1389"/>
      <c r="K9" s="1390"/>
      <c r="L9" s="1390"/>
      <c r="M9" s="1391"/>
      <c r="N9" s="1392"/>
      <c r="O9" s="7"/>
    </row>
    <row r="10" spans="1:15" ht="6.75" customHeight="1" thickBot="1">
      <c r="A10" s="7"/>
      <c r="B10" s="1387"/>
      <c r="C10" s="1387"/>
      <c r="D10" s="1394"/>
      <c r="E10" s="1389"/>
      <c r="F10" s="1389"/>
      <c r="G10" s="1395"/>
      <c r="H10" s="1389"/>
      <c r="I10" s="1389"/>
      <c r="J10" s="1389"/>
      <c r="K10" s="1390"/>
      <c r="L10" s="1390"/>
      <c r="M10" s="1391"/>
      <c r="N10" s="1392"/>
      <c r="O10" s="7"/>
    </row>
    <row r="11" spans="1:15" ht="15" customHeight="1" thickBot="1">
      <c r="A11" s="7"/>
      <c r="B11" s="1387"/>
      <c r="C11" s="1393"/>
      <c r="D11" s="1394" t="s">
        <v>1626</v>
      </c>
      <c r="E11" s="1389"/>
      <c r="F11" s="1389"/>
      <c r="G11" s="1196" t="s">
        <v>15</v>
      </c>
      <c r="H11" s="1389"/>
      <c r="I11" s="1389"/>
      <c r="J11" s="1389"/>
      <c r="K11" s="1390"/>
      <c r="L11" s="1390"/>
      <c r="M11" s="1391"/>
      <c r="N11" s="1392"/>
      <c r="O11" s="7"/>
    </row>
    <row r="12" spans="1:15" ht="6.75" customHeight="1">
      <c r="A12" s="7"/>
      <c r="B12" s="1387"/>
      <c r="C12" s="1387"/>
      <c r="D12" s="1394"/>
      <c r="E12" s="1389"/>
      <c r="F12" s="1389"/>
      <c r="G12" s="1395"/>
      <c r="H12" s="1389"/>
      <c r="I12" s="1389"/>
      <c r="J12" s="1389"/>
      <c r="K12" s="1390"/>
      <c r="L12" s="1390"/>
      <c r="M12" s="1391"/>
      <c r="N12" s="1392"/>
      <c r="O12" s="7"/>
    </row>
    <row r="13" spans="1:15" ht="15" customHeight="1">
      <c r="A13" s="7"/>
      <c r="B13" s="1387"/>
      <c r="C13" s="1387"/>
      <c r="D13" s="1396" t="s">
        <v>1777</v>
      </c>
      <c r="E13" s="1389"/>
      <c r="F13" s="1389"/>
      <c r="G13" s="1395"/>
      <c r="H13" s="1389"/>
      <c r="I13" s="1389"/>
      <c r="J13" s="1389"/>
      <c r="K13" s="1390"/>
      <c r="L13" s="1390"/>
      <c r="M13" s="1391"/>
      <c r="N13" s="1392"/>
      <c r="O13" s="7"/>
    </row>
    <row r="14" spans="1:15" ht="6.75" customHeight="1">
      <c r="A14" s="7"/>
      <c r="B14" s="1387"/>
      <c r="C14" s="1387"/>
      <c r="D14" s="1396"/>
      <c r="E14" s="1389"/>
      <c r="F14" s="1389"/>
      <c r="G14" s="1395"/>
      <c r="H14" s="1389"/>
      <c r="I14" s="1389"/>
      <c r="J14" s="1389"/>
      <c r="K14" s="1390"/>
      <c r="L14" s="1390"/>
      <c r="M14" s="1391"/>
      <c r="N14" s="1392"/>
      <c r="O14" s="7"/>
    </row>
    <row r="15" spans="1:15">
      <c r="A15" s="7"/>
      <c r="B15" s="1387"/>
      <c r="C15" s="1387"/>
      <c r="D15" s="979" t="s">
        <v>2007</v>
      </c>
      <c r="E15" s="929" t="s">
        <v>1</v>
      </c>
      <c r="F15" s="929" t="s">
        <v>2</v>
      </c>
      <c r="G15" s="929" t="s">
        <v>3</v>
      </c>
      <c r="H15" s="929" t="s">
        <v>4</v>
      </c>
      <c r="I15" s="1745" t="s">
        <v>1410</v>
      </c>
      <c r="J15" s="1387"/>
      <c r="K15" s="1387"/>
      <c r="L15" s="1390"/>
      <c r="M15" s="1390"/>
      <c r="N15" s="1390"/>
      <c r="O15" s="7"/>
    </row>
    <row r="16" spans="1:15" ht="15.75" thickBot="1">
      <c r="A16" s="7"/>
      <c r="B16" s="1387"/>
      <c r="C16" s="1387"/>
      <c r="D16" s="1938" t="s">
        <v>1411</v>
      </c>
      <c r="E16" s="1939"/>
      <c r="F16" s="1939"/>
      <c r="G16" s="1939"/>
      <c r="H16" s="1939"/>
      <c r="I16" s="1938"/>
      <c r="J16" s="1390"/>
      <c r="K16" s="1390"/>
      <c r="L16" s="1390"/>
      <c r="M16" s="1390"/>
      <c r="N16" s="1390"/>
      <c r="O16" s="7"/>
    </row>
    <row r="17" spans="1:15">
      <c r="A17" s="7"/>
      <c r="B17" s="1387"/>
      <c r="C17" s="1387"/>
      <c r="D17" s="1763" t="s">
        <v>2008</v>
      </c>
      <c r="E17" s="1764"/>
      <c r="F17" s="1765"/>
      <c r="G17" s="1765"/>
      <c r="H17" s="1766"/>
      <c r="I17" s="1937">
        <f>IF(G11="Oui",1,IFERROR(SUMPRODUCT(E17:H17,E18:H18)/SUM(E28:H28),0))</f>
        <v>0</v>
      </c>
      <c r="J17" s="1390"/>
      <c r="K17" s="1390"/>
      <c r="L17" s="1390"/>
      <c r="M17" s="1390"/>
      <c r="N17" s="1390"/>
      <c r="O17" s="7"/>
    </row>
    <row r="18" spans="1:15" ht="15.75" thickBot="1">
      <c r="A18" s="7"/>
      <c r="B18" s="1387"/>
      <c r="C18" s="1387"/>
      <c r="D18" s="1763" t="s">
        <v>2009</v>
      </c>
      <c r="E18" s="1767"/>
      <c r="F18" s="1768"/>
      <c r="G18" s="1768"/>
      <c r="H18" s="1769"/>
      <c r="I18" s="1937"/>
      <c r="J18" s="1390"/>
      <c r="K18" s="1390"/>
      <c r="L18" s="1390"/>
      <c r="M18" s="1390"/>
      <c r="N18" s="1390"/>
      <c r="O18" s="7"/>
    </row>
    <row r="19" spans="1:15" ht="15.75" thickBot="1">
      <c r="A19" s="7"/>
      <c r="B19" s="1387"/>
      <c r="C19" s="1387"/>
      <c r="D19" s="1938" t="s">
        <v>2010</v>
      </c>
      <c r="E19" s="1940"/>
      <c r="F19" s="1940"/>
      <c r="G19" s="1940"/>
      <c r="H19" s="1940"/>
      <c r="I19" s="1938"/>
      <c r="J19" s="1390"/>
      <c r="K19" s="1390"/>
      <c r="L19" s="1390"/>
      <c r="M19" s="1390"/>
      <c r="N19" s="1390"/>
      <c r="O19" s="7"/>
    </row>
    <row r="20" spans="1:15">
      <c r="A20" s="7"/>
      <c r="B20" s="1387"/>
      <c r="C20" s="1387"/>
      <c r="D20" s="1763" t="s">
        <v>2008</v>
      </c>
      <c r="E20" s="1764"/>
      <c r="F20" s="1765"/>
      <c r="G20" s="1765"/>
      <c r="H20" s="1766"/>
      <c r="I20" s="1937">
        <f>IFERROR(SUMPRODUCT(E20:H20,E21:H21)/SUM(E28:H28),0)</f>
        <v>0</v>
      </c>
      <c r="J20" s="1390"/>
      <c r="K20" s="1390"/>
      <c r="L20" s="1390"/>
      <c r="M20" s="1390"/>
      <c r="N20" s="1390"/>
      <c r="O20" s="7"/>
    </row>
    <row r="21" spans="1:15" ht="15.75" thickBot="1">
      <c r="A21" s="7"/>
      <c r="B21" s="1387"/>
      <c r="C21" s="1387"/>
      <c r="D21" s="1763" t="s">
        <v>2009</v>
      </c>
      <c r="E21" s="1767"/>
      <c r="F21" s="1768"/>
      <c r="G21" s="1768"/>
      <c r="H21" s="1769"/>
      <c r="I21" s="1937"/>
      <c r="J21" s="1390"/>
      <c r="K21" s="1390"/>
      <c r="L21" s="1390"/>
      <c r="M21" s="1390"/>
      <c r="N21" s="1390"/>
      <c r="O21" s="7"/>
    </row>
    <row r="22" spans="1:15" ht="15.75" thickBot="1">
      <c r="A22" s="7"/>
      <c r="B22" s="1387"/>
      <c r="C22" s="1387"/>
      <c r="D22" s="1938" t="s">
        <v>2011</v>
      </c>
      <c r="E22" s="1940"/>
      <c r="F22" s="1940"/>
      <c r="G22" s="1940"/>
      <c r="H22" s="1940"/>
      <c r="I22" s="1938"/>
      <c r="J22" s="1390"/>
      <c r="K22" s="1390"/>
      <c r="L22" s="1390"/>
      <c r="M22" s="1390"/>
      <c r="N22" s="1390"/>
      <c r="O22" s="7"/>
    </row>
    <row r="23" spans="1:15">
      <c r="A23" s="7"/>
      <c r="B23" s="1387"/>
      <c r="C23" s="1387"/>
      <c r="D23" s="1763" t="s">
        <v>2008</v>
      </c>
      <c r="E23" s="1764"/>
      <c r="F23" s="1765"/>
      <c r="G23" s="1765"/>
      <c r="H23" s="1766"/>
      <c r="I23" s="1937">
        <f>IFERROR(SUMPRODUCT(E23:H23,E24:H24)/SUM(E28:H28),0)</f>
        <v>0</v>
      </c>
      <c r="J23" s="1390"/>
      <c r="K23" s="1390"/>
      <c r="L23" s="1390"/>
      <c r="M23" s="1390"/>
      <c r="N23" s="1390"/>
      <c r="O23" s="7"/>
    </row>
    <row r="24" spans="1:15" ht="15.75" thickBot="1">
      <c r="A24" s="7"/>
      <c r="B24" s="1387"/>
      <c r="C24" s="1387"/>
      <c r="D24" s="1763" t="s">
        <v>2009</v>
      </c>
      <c r="E24" s="1767"/>
      <c r="F24" s="1768"/>
      <c r="G24" s="1768"/>
      <c r="H24" s="1769"/>
      <c r="I24" s="1937"/>
      <c r="J24" s="1390"/>
      <c r="K24" s="1390"/>
      <c r="L24" s="1390"/>
      <c r="M24" s="1390"/>
      <c r="N24" s="1390"/>
      <c r="O24" s="7"/>
    </row>
    <row r="25" spans="1:15" ht="15.75" thickBot="1">
      <c r="A25" s="7"/>
      <c r="B25" s="1387"/>
      <c r="C25" s="1387"/>
      <c r="D25" s="1938" t="s">
        <v>2015</v>
      </c>
      <c r="E25" s="1940"/>
      <c r="F25" s="1940"/>
      <c r="G25" s="1940"/>
      <c r="H25" s="1940"/>
      <c r="I25" s="1938"/>
      <c r="J25" s="1390"/>
      <c r="K25" s="1390"/>
      <c r="L25" s="1390"/>
      <c r="M25" s="1390"/>
      <c r="N25" s="1390"/>
      <c r="O25" s="7"/>
    </row>
    <row r="26" spans="1:15">
      <c r="A26" s="7"/>
      <c r="B26" s="1387"/>
      <c r="C26" s="1387"/>
      <c r="D26" s="1763" t="s">
        <v>2008</v>
      </c>
      <c r="E26" s="1764"/>
      <c r="F26" s="1765"/>
      <c r="G26" s="1765"/>
      <c r="H26" s="1766"/>
      <c r="I26" s="1937">
        <f>IFERROR(SUMPRODUCT(E26:H26,E27:H27)/SUM(E28:H28),0)</f>
        <v>0</v>
      </c>
      <c r="J26" s="1390"/>
      <c r="K26" s="1390"/>
      <c r="L26" s="1390"/>
      <c r="M26" s="1390"/>
      <c r="N26" s="1390"/>
      <c r="O26" s="7"/>
    </row>
    <row r="27" spans="1:15" ht="15.75" thickBot="1">
      <c r="A27" s="7"/>
      <c r="B27" s="1387"/>
      <c r="C27" s="1387"/>
      <c r="D27" s="1763" t="s">
        <v>2009</v>
      </c>
      <c r="E27" s="1767"/>
      <c r="F27" s="1768"/>
      <c r="G27" s="1768"/>
      <c r="H27" s="1769"/>
      <c r="I27" s="1937"/>
      <c r="J27" s="1390"/>
      <c r="K27" s="1390"/>
      <c r="L27" s="1390"/>
      <c r="M27" s="1390"/>
      <c r="N27" s="1390"/>
      <c r="O27" s="7"/>
    </row>
    <row r="28" spans="1:15">
      <c r="A28" s="7"/>
      <c r="B28" s="1387"/>
      <c r="C28" s="1387"/>
      <c r="D28" s="1397" t="s">
        <v>2012</v>
      </c>
      <c r="E28" s="1784">
        <f>SUM(E17*E18,E20*E21,E23*E24,E26*E27)</f>
        <v>0</v>
      </c>
      <c r="F28" s="1784">
        <f>SUM(F17*F18,F20*F21,F23*F24,F26*F27)</f>
        <v>0</v>
      </c>
      <c r="G28" s="1784">
        <f>SUM(G17*G18,G20*G21,G23*G24,G26*G27)</f>
        <v>0</v>
      </c>
      <c r="H28" s="1784">
        <f>SUM(H17*H18,H20*H21,H23*H24,H26*H27)</f>
        <v>0</v>
      </c>
      <c r="I28" s="1785">
        <f>SUM(I17,I20,I23,I26)</f>
        <v>0</v>
      </c>
      <c r="J28" s="1390"/>
      <c r="K28" s="1390"/>
      <c r="L28" s="1390"/>
      <c r="M28" s="1390"/>
      <c r="N28" s="1390"/>
      <c r="O28" s="7"/>
    </row>
    <row r="29" spans="1:15" ht="6.75" customHeight="1" thickBot="1">
      <c r="A29" s="7"/>
      <c r="B29" s="1387"/>
      <c r="C29" s="1387"/>
      <c r="D29" s="1394"/>
      <c r="E29" s="1389"/>
      <c r="F29" s="1389"/>
      <c r="G29" s="1395"/>
      <c r="H29" s="1389"/>
      <c r="I29" s="1389"/>
      <c r="J29" s="1389"/>
      <c r="K29" s="1390"/>
      <c r="L29" s="1390"/>
      <c r="M29" s="1391"/>
      <c r="N29" s="1392"/>
      <c r="O29" s="7"/>
    </row>
    <row r="30" spans="1:15" ht="15" customHeight="1" thickBot="1">
      <c r="A30" s="7"/>
      <c r="B30" s="1387"/>
      <c r="C30" s="1387"/>
      <c r="D30" s="1398" t="s">
        <v>1412</v>
      </c>
      <c r="E30" s="1949"/>
      <c r="F30" s="1950"/>
      <c r="G30" s="1389"/>
      <c r="H30" s="1389"/>
      <c r="I30" s="1389"/>
      <c r="J30" s="1389"/>
      <c r="K30" s="1390"/>
      <c r="L30" s="1390"/>
      <c r="M30" s="1391"/>
      <c r="N30" s="1392"/>
      <c r="O30" s="7"/>
    </row>
    <row r="31" spans="1:15" ht="6.75" customHeight="1">
      <c r="A31" s="7"/>
      <c r="B31" s="1387"/>
      <c r="C31" s="1387"/>
      <c r="D31" s="1398"/>
      <c r="E31" s="6"/>
      <c r="F31" s="6"/>
      <c r="G31" s="6"/>
      <c r="H31" s="1389"/>
      <c r="I31" s="1389"/>
      <c r="J31" s="1389"/>
      <c r="K31" s="1390"/>
      <c r="L31" s="1390"/>
      <c r="M31" s="1391"/>
      <c r="N31" s="1392"/>
      <c r="O31" s="7"/>
    </row>
    <row r="32" spans="1:15" ht="8.25" customHeight="1">
      <c r="A32" s="7"/>
      <c r="B32" s="1387"/>
      <c r="C32" s="1387"/>
      <c r="D32" s="1398"/>
      <c r="E32" s="6"/>
      <c r="F32" s="1394"/>
      <c r="G32" s="1394"/>
      <c r="H32" s="1389"/>
      <c r="I32" s="1389"/>
      <c r="J32" s="1389"/>
      <c r="K32" s="1390"/>
      <c r="L32" s="1390"/>
      <c r="M32" s="1391"/>
      <c r="N32" s="1392"/>
      <c r="O32" s="7"/>
    </row>
    <row r="33" spans="1:15" ht="28.5" customHeight="1">
      <c r="A33" s="7"/>
      <c r="B33" s="1399"/>
      <c r="C33" s="1658" t="b">
        <v>0</v>
      </c>
      <c r="D33" s="1982" t="s">
        <v>1778</v>
      </c>
      <c r="E33" s="1982"/>
      <c r="F33" s="1982"/>
      <c r="G33" s="1982"/>
      <c r="H33" s="1982"/>
      <c r="I33" s="1982"/>
      <c r="J33" s="1982"/>
      <c r="K33" s="1400"/>
      <c r="L33" s="1400"/>
      <c r="M33" s="1400"/>
      <c r="N33" s="1400"/>
      <c r="O33" s="982"/>
    </row>
    <row r="34" spans="1:15" ht="8.25" customHeight="1">
      <c r="A34" s="7"/>
      <c r="B34" s="1387"/>
      <c r="C34" s="1387"/>
      <c r="D34" s="1398"/>
      <c r="E34" s="6"/>
      <c r="F34" s="1394"/>
      <c r="G34" s="1394"/>
      <c r="H34" s="1389"/>
      <c r="I34" s="1389"/>
      <c r="J34" s="1389"/>
      <c r="K34" s="1390"/>
      <c r="L34" s="1390"/>
      <c r="M34" s="1391"/>
      <c r="N34" s="1392"/>
      <c r="O34" s="7"/>
    </row>
    <row r="35" spans="1:15" ht="15" customHeight="1">
      <c r="A35" s="7"/>
      <c r="B35" s="1387"/>
      <c r="C35" s="1387"/>
      <c r="D35" s="1286" t="s">
        <v>2013</v>
      </c>
      <c r="E35" s="1389"/>
      <c r="F35" s="1389"/>
      <c r="G35" s="1395"/>
      <c r="H35" s="1389"/>
      <c r="I35" s="1389"/>
      <c r="J35" s="1389"/>
      <c r="K35" s="1390"/>
      <c r="L35" s="1390"/>
      <c r="M35" s="1391"/>
      <c r="N35" s="1392"/>
      <c r="O35" s="7"/>
    </row>
    <row r="36" spans="1:15" ht="6.75" customHeight="1">
      <c r="A36" s="7"/>
      <c r="B36" s="1387"/>
      <c r="C36" s="1387"/>
      <c r="D36" s="1286"/>
      <c r="E36" s="1389"/>
      <c r="F36" s="1389"/>
      <c r="G36" s="1395"/>
      <c r="H36" s="1389"/>
      <c r="I36" s="1389"/>
      <c r="J36" s="1389"/>
      <c r="K36" s="1390"/>
      <c r="L36" s="1390"/>
      <c r="M36" s="1391"/>
      <c r="N36" s="1392"/>
      <c r="O36" s="7"/>
    </row>
    <row r="37" spans="1:15" ht="15" customHeight="1">
      <c r="A37" s="7"/>
      <c r="B37" s="7"/>
      <c r="C37" s="7"/>
      <c r="D37" s="7"/>
      <c r="E37" s="7"/>
      <c r="F37" s="7"/>
      <c r="G37" s="7"/>
      <c r="H37" s="7"/>
      <c r="I37" s="7"/>
      <c r="J37" s="7"/>
      <c r="K37" s="7"/>
      <c r="L37" s="7"/>
      <c r="M37" s="525"/>
      <c r="N37" s="7"/>
      <c r="O37" s="7"/>
    </row>
    <row r="38" spans="1:15">
      <c r="A38" s="7"/>
      <c r="B38" s="1382"/>
      <c r="C38" s="1382"/>
      <c r="D38" s="1383" t="s">
        <v>1985</v>
      </c>
      <c r="E38" s="1384"/>
      <c r="F38" s="1384"/>
      <c r="G38" s="1384"/>
      <c r="H38" s="1384"/>
      <c r="I38" s="1384"/>
      <c r="J38" s="1384"/>
      <c r="K38" s="1385"/>
      <c r="L38" s="1385"/>
      <c r="M38" s="1386"/>
      <c r="N38" s="1267"/>
      <c r="O38" s="7"/>
    </row>
    <row r="39" spans="1:15" ht="6.75" customHeight="1">
      <c r="A39" s="7"/>
      <c r="B39" s="6"/>
      <c r="C39" s="6"/>
      <c r="D39" s="6"/>
      <c r="E39" s="6"/>
      <c r="F39" s="6"/>
      <c r="G39" s="6"/>
      <c r="H39" s="6"/>
      <c r="I39" s="6"/>
      <c r="J39" s="6"/>
      <c r="K39" s="6"/>
      <c r="L39" s="6"/>
      <c r="M39" s="6"/>
      <c r="N39" s="6"/>
      <c r="O39" s="7"/>
    </row>
    <row r="40" spans="1:15">
      <c r="A40" s="7"/>
      <c r="B40" s="6"/>
      <c r="C40" s="6"/>
      <c r="D40" s="1402" t="s">
        <v>1782</v>
      </c>
      <c r="E40" s="1403"/>
      <c r="F40" s="1268"/>
      <c r="G40" s="1268"/>
      <c r="H40" s="1268"/>
      <c r="I40" s="1268"/>
      <c r="J40" s="1268"/>
      <c r="K40" s="1268"/>
      <c r="L40" s="1268"/>
      <c r="M40" s="1276"/>
      <c r="N40" s="1404"/>
      <c r="O40" s="7"/>
    </row>
    <row r="41" spans="1:15" ht="6.75" customHeight="1">
      <c r="A41" s="7"/>
      <c r="B41" s="6"/>
      <c r="C41" s="6"/>
      <c r="D41" s="1402"/>
      <c r="E41" s="1403"/>
      <c r="F41" s="1268"/>
      <c r="G41" s="1268"/>
      <c r="H41" s="1268"/>
      <c r="I41" s="1268"/>
      <c r="J41" s="1268"/>
      <c r="K41" s="6"/>
      <c r="L41" s="1268"/>
      <c r="M41" s="1276"/>
      <c r="N41" s="1404"/>
      <c r="O41" s="7"/>
    </row>
    <row r="42" spans="1:15" ht="82.5" customHeight="1" thickBot="1">
      <c r="A42" s="7"/>
      <c r="B42" s="6"/>
      <c r="C42" s="6"/>
      <c r="D42" s="1760" t="s">
        <v>20</v>
      </c>
      <c r="E42" s="1762" t="s">
        <v>1633</v>
      </c>
      <c r="F42" s="1406" t="s">
        <v>1595</v>
      </c>
      <c r="G42" s="1406" t="s">
        <v>998</v>
      </c>
      <c r="H42" s="1406" t="s">
        <v>1636</v>
      </c>
      <c r="I42" s="1406" t="s">
        <v>1927</v>
      </c>
      <c r="J42" s="1980"/>
      <c r="K42" s="1981"/>
      <c r="L42" s="1981"/>
      <c r="M42" s="1276"/>
      <c r="N42" s="1404"/>
      <c r="O42" s="7"/>
    </row>
    <row r="43" spans="1:15">
      <c r="A43" s="1407">
        <v>1</v>
      </c>
      <c r="B43" s="6"/>
      <c r="C43" s="6"/>
      <c r="D43" s="1759" t="s">
        <v>15</v>
      </c>
      <c r="E43" s="1761"/>
      <c r="F43" s="1199"/>
      <c r="G43" s="1199" t="s">
        <v>15</v>
      </c>
      <c r="H43" s="1199"/>
      <c r="I43" s="1200"/>
      <c r="J43" s="6"/>
      <c r="K43" s="6"/>
      <c r="L43" s="6"/>
      <c r="M43" s="1276"/>
      <c r="N43" s="1404"/>
      <c r="O43" s="7"/>
    </row>
    <row r="44" spans="1:15">
      <c r="A44" s="1407">
        <f t="shared" ref="A44:A62" si="0">A43+1</f>
        <v>2</v>
      </c>
      <c r="B44" s="6"/>
      <c r="C44" s="6"/>
      <c r="D44" s="1201" t="s">
        <v>15</v>
      </c>
      <c r="E44" s="1202"/>
      <c r="F44" s="1203"/>
      <c r="G44" s="1204" t="s">
        <v>15</v>
      </c>
      <c r="H44" s="1203"/>
      <c r="I44" s="1205"/>
      <c r="J44" s="6"/>
      <c r="K44" s="6"/>
      <c r="L44" s="6"/>
      <c r="M44" s="1276"/>
      <c r="N44" s="1404"/>
      <c r="O44" s="7"/>
    </row>
    <row r="45" spans="1:15">
      <c r="A45" s="1407">
        <f t="shared" si="0"/>
        <v>3</v>
      </c>
      <c r="B45" s="6"/>
      <c r="C45" s="6"/>
      <c r="D45" s="1201" t="s">
        <v>15</v>
      </c>
      <c r="E45" s="1202"/>
      <c r="F45" s="1203"/>
      <c r="G45" s="1204" t="s">
        <v>15</v>
      </c>
      <c r="H45" s="1203"/>
      <c r="I45" s="1205"/>
      <c r="J45" s="6"/>
      <c r="K45" s="6"/>
      <c r="L45" s="6"/>
      <c r="M45" s="1276"/>
      <c r="N45" s="1404"/>
      <c r="O45" s="7"/>
    </row>
    <row r="46" spans="1:15">
      <c r="A46" s="1407">
        <f t="shared" si="0"/>
        <v>4</v>
      </c>
      <c r="B46" s="6"/>
      <c r="C46" s="6"/>
      <c r="D46" s="1201" t="s">
        <v>15</v>
      </c>
      <c r="E46" s="1202"/>
      <c r="F46" s="1203"/>
      <c r="G46" s="1204" t="s">
        <v>15</v>
      </c>
      <c r="H46" s="1203"/>
      <c r="I46" s="1205"/>
      <c r="J46" s="6"/>
      <c r="K46" s="6"/>
      <c r="L46" s="6"/>
      <c r="M46" s="1276"/>
      <c r="N46" s="1404"/>
      <c r="O46" s="7"/>
    </row>
    <row r="47" spans="1:15">
      <c r="A47" s="1407">
        <f t="shared" si="0"/>
        <v>5</v>
      </c>
      <c r="B47" s="6"/>
      <c r="C47" s="6"/>
      <c r="D47" s="1201" t="s">
        <v>15</v>
      </c>
      <c r="E47" s="1202"/>
      <c r="F47" s="1203"/>
      <c r="G47" s="1204" t="s">
        <v>15</v>
      </c>
      <c r="H47" s="1203"/>
      <c r="I47" s="1205"/>
      <c r="J47" s="6"/>
      <c r="K47" s="6"/>
      <c r="L47" s="6"/>
      <c r="M47" s="1276"/>
      <c r="N47" s="1404"/>
      <c r="O47" s="7"/>
    </row>
    <row r="48" spans="1:15">
      <c r="A48" s="1407">
        <f t="shared" si="0"/>
        <v>6</v>
      </c>
      <c r="B48" s="6"/>
      <c r="C48" s="6"/>
      <c r="D48" s="1201" t="s">
        <v>15</v>
      </c>
      <c r="E48" s="1202"/>
      <c r="F48" s="1203"/>
      <c r="G48" s="1204" t="s">
        <v>15</v>
      </c>
      <c r="H48" s="1203"/>
      <c r="I48" s="1205"/>
      <c r="J48" s="6"/>
      <c r="K48" s="6"/>
      <c r="L48" s="6"/>
      <c r="M48" s="1276"/>
      <c r="N48" s="1404"/>
      <c r="O48" s="7"/>
    </row>
    <row r="49" spans="1:15">
      <c r="A49" s="1407">
        <f t="shared" si="0"/>
        <v>7</v>
      </c>
      <c r="B49" s="6"/>
      <c r="C49" s="6"/>
      <c r="D49" s="1201" t="s">
        <v>15</v>
      </c>
      <c r="E49" s="1202"/>
      <c r="F49" s="1203"/>
      <c r="G49" s="1204" t="s">
        <v>15</v>
      </c>
      <c r="H49" s="1203"/>
      <c r="I49" s="1205"/>
      <c r="J49" s="6"/>
      <c r="K49" s="6"/>
      <c r="L49" s="6"/>
      <c r="M49" s="1276"/>
      <c r="N49" s="1404"/>
      <c r="O49" s="7"/>
    </row>
    <row r="50" spans="1:15">
      <c r="A50" s="1407">
        <f t="shared" si="0"/>
        <v>8</v>
      </c>
      <c r="B50" s="6"/>
      <c r="C50" s="6"/>
      <c r="D50" s="1201" t="s">
        <v>15</v>
      </c>
      <c r="E50" s="1202"/>
      <c r="F50" s="1203"/>
      <c r="G50" s="1204" t="s">
        <v>15</v>
      </c>
      <c r="H50" s="1203"/>
      <c r="I50" s="1205"/>
      <c r="J50" s="6"/>
      <c r="K50" s="6"/>
      <c r="L50" s="6"/>
      <c r="M50" s="1276"/>
      <c r="N50" s="1404"/>
      <c r="O50" s="7"/>
    </row>
    <row r="51" spans="1:15">
      <c r="A51" s="1407">
        <f t="shared" si="0"/>
        <v>9</v>
      </c>
      <c r="B51" s="6"/>
      <c r="C51" s="6"/>
      <c r="D51" s="1201" t="s">
        <v>15</v>
      </c>
      <c r="E51" s="1202"/>
      <c r="F51" s="1203"/>
      <c r="G51" s="1204" t="s">
        <v>15</v>
      </c>
      <c r="H51" s="1203"/>
      <c r="I51" s="1205"/>
      <c r="J51" s="6"/>
      <c r="K51" s="6"/>
      <c r="L51" s="6"/>
      <c r="M51" s="1276"/>
      <c r="N51" s="1404"/>
      <c r="O51" s="7"/>
    </row>
    <row r="52" spans="1:15">
      <c r="A52" s="1407">
        <f t="shared" si="0"/>
        <v>10</v>
      </c>
      <c r="B52" s="6"/>
      <c r="C52" s="6"/>
      <c r="D52" s="1201" t="s">
        <v>15</v>
      </c>
      <c r="E52" s="1202"/>
      <c r="F52" s="1203"/>
      <c r="G52" s="1204" t="s">
        <v>15</v>
      </c>
      <c r="H52" s="1203"/>
      <c r="I52" s="1205"/>
      <c r="J52" s="6"/>
      <c r="K52" s="6"/>
      <c r="L52" s="6"/>
      <c r="M52" s="1276"/>
      <c r="N52" s="1404"/>
      <c r="O52" s="7"/>
    </row>
    <row r="53" spans="1:15">
      <c r="A53" s="1407">
        <f t="shared" si="0"/>
        <v>11</v>
      </c>
      <c r="B53" s="6"/>
      <c r="C53" s="6"/>
      <c r="D53" s="1201" t="s">
        <v>15</v>
      </c>
      <c r="E53" s="1202"/>
      <c r="F53" s="1203"/>
      <c r="G53" s="1204" t="s">
        <v>15</v>
      </c>
      <c r="H53" s="1203"/>
      <c r="I53" s="1205"/>
      <c r="J53" s="6"/>
      <c r="K53" s="6"/>
      <c r="L53" s="6"/>
      <c r="M53" s="1276"/>
      <c r="N53" s="1404"/>
      <c r="O53" s="7"/>
    </row>
    <row r="54" spans="1:15">
      <c r="A54" s="1407">
        <f t="shared" si="0"/>
        <v>12</v>
      </c>
      <c r="B54" s="6"/>
      <c r="C54" s="6"/>
      <c r="D54" s="1201" t="s">
        <v>15</v>
      </c>
      <c r="E54" s="1202"/>
      <c r="F54" s="1203"/>
      <c r="G54" s="1204" t="s">
        <v>15</v>
      </c>
      <c r="H54" s="1203"/>
      <c r="I54" s="1205"/>
      <c r="J54" s="6"/>
      <c r="K54" s="6"/>
      <c r="L54" s="6"/>
      <c r="M54" s="1276"/>
      <c r="N54" s="1404"/>
      <c r="O54" s="7"/>
    </row>
    <row r="55" spans="1:15">
      <c r="A55" s="1407">
        <f t="shared" si="0"/>
        <v>13</v>
      </c>
      <c r="B55" s="6"/>
      <c r="C55" s="6"/>
      <c r="D55" s="1201" t="s">
        <v>15</v>
      </c>
      <c r="E55" s="1202"/>
      <c r="F55" s="1203"/>
      <c r="G55" s="1204" t="s">
        <v>15</v>
      </c>
      <c r="H55" s="1203"/>
      <c r="I55" s="1205"/>
      <c r="J55" s="6"/>
      <c r="K55" s="6"/>
      <c r="L55" s="6"/>
      <c r="M55" s="1276"/>
      <c r="N55" s="1404"/>
      <c r="O55" s="7"/>
    </row>
    <row r="56" spans="1:15">
      <c r="A56" s="1407">
        <f t="shared" si="0"/>
        <v>14</v>
      </c>
      <c r="B56" s="6"/>
      <c r="C56" s="6"/>
      <c r="D56" s="1201" t="s">
        <v>15</v>
      </c>
      <c r="E56" s="1202"/>
      <c r="F56" s="1203"/>
      <c r="G56" s="1204" t="s">
        <v>15</v>
      </c>
      <c r="H56" s="1203"/>
      <c r="I56" s="1205"/>
      <c r="J56" s="6"/>
      <c r="K56" s="6"/>
      <c r="L56" s="6"/>
      <c r="M56" s="1276"/>
      <c r="N56" s="1404"/>
      <c r="O56" s="7"/>
    </row>
    <row r="57" spans="1:15">
      <c r="A57" s="1407">
        <f t="shared" si="0"/>
        <v>15</v>
      </c>
      <c r="B57" s="6"/>
      <c r="C57" s="6"/>
      <c r="D57" s="1201" t="s">
        <v>15</v>
      </c>
      <c r="E57" s="1202"/>
      <c r="F57" s="1203"/>
      <c r="G57" s="1204" t="s">
        <v>15</v>
      </c>
      <c r="H57" s="1203"/>
      <c r="I57" s="1205"/>
      <c r="J57" s="6"/>
      <c r="K57" s="6"/>
      <c r="L57" s="6"/>
      <c r="M57" s="1276"/>
      <c r="N57" s="1404"/>
      <c r="O57" s="7"/>
    </row>
    <row r="58" spans="1:15">
      <c r="A58" s="1407">
        <f t="shared" si="0"/>
        <v>16</v>
      </c>
      <c r="B58" s="6"/>
      <c r="C58" s="6"/>
      <c r="D58" s="1201" t="s">
        <v>15</v>
      </c>
      <c r="E58" s="1202"/>
      <c r="F58" s="1203"/>
      <c r="G58" s="1204" t="s">
        <v>15</v>
      </c>
      <c r="H58" s="1203"/>
      <c r="I58" s="1205"/>
      <c r="J58" s="6"/>
      <c r="K58" s="6"/>
      <c r="L58" s="6"/>
      <c r="M58" s="1276"/>
      <c r="N58" s="1404"/>
      <c r="O58" s="7"/>
    </row>
    <row r="59" spans="1:15">
      <c r="A59" s="1407">
        <f t="shared" si="0"/>
        <v>17</v>
      </c>
      <c r="B59" s="6"/>
      <c r="C59" s="6"/>
      <c r="D59" s="1201" t="s">
        <v>15</v>
      </c>
      <c r="E59" s="1202"/>
      <c r="F59" s="1203"/>
      <c r="G59" s="1204" t="s">
        <v>15</v>
      </c>
      <c r="H59" s="1203"/>
      <c r="I59" s="1205"/>
      <c r="J59" s="6"/>
      <c r="K59" s="6"/>
      <c r="L59" s="6"/>
      <c r="M59" s="1276"/>
      <c r="N59" s="1404"/>
      <c r="O59" s="7"/>
    </row>
    <row r="60" spans="1:15">
      <c r="A60" s="1407">
        <f t="shared" si="0"/>
        <v>18</v>
      </c>
      <c r="B60" s="6"/>
      <c r="C60" s="6"/>
      <c r="D60" s="1201" t="s">
        <v>15</v>
      </c>
      <c r="E60" s="1202"/>
      <c r="F60" s="1203"/>
      <c r="G60" s="1204" t="s">
        <v>15</v>
      </c>
      <c r="H60" s="1203"/>
      <c r="I60" s="1205"/>
      <c r="J60" s="6"/>
      <c r="K60" s="6"/>
      <c r="L60" s="6"/>
      <c r="M60" s="1276"/>
      <c r="N60" s="1404"/>
      <c r="O60" s="7"/>
    </row>
    <row r="61" spans="1:15">
      <c r="A61" s="1407">
        <f t="shared" si="0"/>
        <v>19</v>
      </c>
      <c r="B61" s="6"/>
      <c r="C61" s="6"/>
      <c r="D61" s="1201" t="s">
        <v>15</v>
      </c>
      <c r="E61" s="1202"/>
      <c r="F61" s="1203"/>
      <c r="G61" s="1204" t="s">
        <v>15</v>
      </c>
      <c r="H61" s="1203"/>
      <c r="I61" s="1205"/>
      <c r="J61" s="6"/>
      <c r="K61" s="6"/>
      <c r="L61" s="6"/>
      <c r="M61" s="1276"/>
      <c r="N61" s="1404"/>
      <c r="O61" s="7"/>
    </row>
    <row r="62" spans="1:15" ht="15.75" thickBot="1">
      <c r="A62" s="1407">
        <f t="shared" si="0"/>
        <v>20</v>
      </c>
      <c r="B62" s="6"/>
      <c r="C62" s="6"/>
      <c r="D62" s="1206" t="s">
        <v>15</v>
      </c>
      <c r="E62" s="1207"/>
      <c r="F62" s="1208"/>
      <c r="G62" s="1209" t="s">
        <v>15</v>
      </c>
      <c r="H62" s="1208"/>
      <c r="I62" s="1210"/>
      <c r="J62" s="6"/>
      <c r="K62" s="6"/>
      <c r="L62" s="6"/>
      <c r="M62" s="1276"/>
      <c r="N62" s="1404"/>
      <c r="O62" s="7"/>
    </row>
    <row r="63" spans="1:15" ht="6.75" customHeight="1">
      <c r="A63" s="7"/>
      <c r="B63" s="6"/>
      <c r="C63" s="6"/>
      <c r="D63" s="1268"/>
      <c r="E63" s="1408"/>
      <c r="F63" s="1268"/>
      <c r="G63" s="1268"/>
      <c r="H63" s="1268"/>
      <c r="I63" s="1268"/>
      <c r="J63" s="1268"/>
      <c r="K63" s="1268"/>
      <c r="L63" s="1268"/>
      <c r="M63" s="1276"/>
      <c r="N63" s="1404"/>
      <c r="O63" s="7"/>
    </row>
    <row r="64" spans="1:15">
      <c r="A64" s="7"/>
      <c r="B64" s="6"/>
      <c r="C64" s="6"/>
      <c r="D64" s="1402" t="s">
        <v>1779</v>
      </c>
      <c r="E64" s="1403"/>
      <c r="F64" s="1268"/>
      <c r="G64" s="1268"/>
      <c r="H64" s="1268"/>
      <c r="I64" s="1268"/>
      <c r="J64" s="1268"/>
      <c r="K64" s="1268"/>
      <c r="L64" s="1268"/>
      <c r="M64" s="1276"/>
      <c r="N64" s="1404"/>
      <c r="O64" s="7"/>
    </row>
    <row r="65" spans="1:15" ht="6.75" customHeight="1">
      <c r="A65" s="7"/>
      <c r="B65" s="6"/>
      <c r="C65" s="6"/>
      <c r="D65" s="1402"/>
      <c r="E65" s="1403"/>
      <c r="F65" s="1268"/>
      <c r="G65" s="1268"/>
      <c r="H65" s="1268"/>
      <c r="I65" s="1268"/>
      <c r="J65" s="1268"/>
      <c r="K65" s="1268"/>
      <c r="L65" s="1268"/>
      <c r="M65" s="1276"/>
      <c r="N65" s="1404"/>
      <c r="O65" s="7"/>
    </row>
    <row r="66" spans="1:15" ht="86.25" customHeight="1" thickBot="1">
      <c r="A66" s="7"/>
      <c r="B66" s="6"/>
      <c r="C66" s="6"/>
      <c r="D66" s="1405" t="s">
        <v>1594</v>
      </c>
      <c r="E66" s="1406" t="s">
        <v>1512</v>
      </c>
      <c r="F66" s="1406" t="s">
        <v>1595</v>
      </c>
      <c r="G66" s="1406" t="s">
        <v>998</v>
      </c>
      <c r="H66" s="1406" t="s">
        <v>1636</v>
      </c>
      <c r="I66" s="1406" t="s">
        <v>1928</v>
      </c>
      <c r="J66" s="6"/>
      <c r="K66" s="6"/>
      <c r="L66" s="6"/>
      <c r="M66" s="1276"/>
      <c r="N66" s="1404"/>
      <c r="O66" s="7"/>
    </row>
    <row r="67" spans="1:15">
      <c r="A67" s="1407">
        <v>1</v>
      </c>
      <c r="B67" s="6"/>
      <c r="C67" s="6"/>
      <c r="D67" s="1197"/>
      <c r="E67" s="1198"/>
      <c r="F67" s="1211"/>
      <c r="G67" s="1211" t="s">
        <v>15</v>
      </c>
      <c r="H67" s="1199"/>
      <c r="I67" s="1212"/>
      <c r="J67" s="6"/>
      <c r="K67" s="6"/>
      <c r="L67" s="6"/>
      <c r="M67" s="1276"/>
      <c r="N67" s="1404"/>
      <c r="O67" s="7"/>
    </row>
    <row r="68" spans="1:15">
      <c r="A68" s="1407">
        <f t="shared" ref="A68:A76" si="1">A67+1</f>
        <v>2</v>
      </c>
      <c r="B68" s="6"/>
      <c r="C68" s="6"/>
      <c r="D68" s="1201"/>
      <c r="E68" s="1202"/>
      <c r="F68" s="1204"/>
      <c r="G68" s="1204" t="s">
        <v>15</v>
      </c>
      <c r="H68" s="1203"/>
      <c r="I68" s="1205"/>
      <c r="J68" s="6"/>
      <c r="K68" s="6"/>
      <c r="L68" s="6"/>
      <c r="M68" s="1276"/>
      <c r="N68" s="1404"/>
      <c r="O68" s="7"/>
    </row>
    <row r="69" spans="1:15">
      <c r="A69" s="1407">
        <f t="shared" si="1"/>
        <v>3</v>
      </c>
      <c r="B69" s="6"/>
      <c r="C69" s="6"/>
      <c r="D69" s="1201"/>
      <c r="E69" s="1202"/>
      <c r="F69" s="1204"/>
      <c r="G69" s="1204" t="s">
        <v>15</v>
      </c>
      <c r="H69" s="1203"/>
      <c r="I69" s="1205"/>
      <c r="J69" s="6"/>
      <c r="K69" s="6"/>
      <c r="L69" s="6"/>
      <c r="M69" s="1276"/>
      <c r="N69" s="1404"/>
      <c r="O69" s="7"/>
    </row>
    <row r="70" spans="1:15">
      <c r="A70" s="1407">
        <f t="shared" si="1"/>
        <v>4</v>
      </c>
      <c r="B70" s="6"/>
      <c r="C70" s="6"/>
      <c r="D70" s="1201"/>
      <c r="E70" s="1202"/>
      <c r="F70" s="1204"/>
      <c r="G70" s="1204" t="s">
        <v>15</v>
      </c>
      <c r="H70" s="1203"/>
      <c r="I70" s="1205"/>
      <c r="J70" s="6"/>
      <c r="K70" s="6"/>
      <c r="L70" s="6"/>
      <c r="M70" s="1276"/>
      <c r="N70" s="1404"/>
      <c r="O70" s="7"/>
    </row>
    <row r="71" spans="1:15">
      <c r="A71" s="1407">
        <f t="shared" si="1"/>
        <v>5</v>
      </c>
      <c r="B71" s="6"/>
      <c r="C71" s="6"/>
      <c r="D71" s="1201"/>
      <c r="E71" s="1202"/>
      <c r="F71" s="1204"/>
      <c r="G71" s="1204" t="s">
        <v>15</v>
      </c>
      <c r="H71" s="1203"/>
      <c r="I71" s="1205"/>
      <c r="J71" s="6"/>
      <c r="K71" s="6"/>
      <c r="L71" s="6"/>
      <c r="M71" s="1276"/>
      <c r="N71" s="1404"/>
      <c r="O71" s="7"/>
    </row>
    <row r="72" spans="1:15">
      <c r="A72" s="1407">
        <f t="shared" si="1"/>
        <v>6</v>
      </c>
      <c r="B72" s="6"/>
      <c r="C72" s="6"/>
      <c r="D72" s="1201"/>
      <c r="E72" s="1202"/>
      <c r="F72" s="1204"/>
      <c r="G72" s="1204" t="s">
        <v>15</v>
      </c>
      <c r="H72" s="1203"/>
      <c r="I72" s="1205"/>
      <c r="J72" s="6"/>
      <c r="K72" s="6"/>
      <c r="L72" s="6"/>
      <c r="M72" s="1276"/>
      <c r="N72" s="1404"/>
      <c r="O72" s="7"/>
    </row>
    <row r="73" spans="1:15">
      <c r="A73" s="1407">
        <f t="shared" si="1"/>
        <v>7</v>
      </c>
      <c r="B73" s="6"/>
      <c r="C73" s="6"/>
      <c r="D73" s="1201"/>
      <c r="E73" s="1202"/>
      <c r="F73" s="1204"/>
      <c r="G73" s="1204" t="s">
        <v>15</v>
      </c>
      <c r="H73" s="1203"/>
      <c r="I73" s="1205"/>
      <c r="J73" s="6"/>
      <c r="K73" s="6"/>
      <c r="L73" s="6"/>
      <c r="M73" s="1276"/>
      <c r="N73" s="1404"/>
      <c r="O73" s="7"/>
    </row>
    <row r="74" spans="1:15">
      <c r="A74" s="1407">
        <f t="shared" si="1"/>
        <v>8</v>
      </c>
      <c r="B74" s="6"/>
      <c r="C74" s="6"/>
      <c r="D74" s="1201"/>
      <c r="E74" s="1202"/>
      <c r="F74" s="1204"/>
      <c r="G74" s="1204" t="s">
        <v>15</v>
      </c>
      <c r="H74" s="1203"/>
      <c r="I74" s="1205"/>
      <c r="J74" s="6"/>
      <c r="K74" s="6"/>
      <c r="L74" s="6"/>
      <c r="M74" s="1276"/>
      <c r="N74" s="1404"/>
      <c r="O74" s="7"/>
    </row>
    <row r="75" spans="1:15">
      <c r="A75" s="1407">
        <f t="shared" si="1"/>
        <v>9</v>
      </c>
      <c r="B75" s="6"/>
      <c r="C75" s="6"/>
      <c r="D75" s="1201"/>
      <c r="E75" s="1202"/>
      <c r="F75" s="1204"/>
      <c r="G75" s="1204" t="s">
        <v>15</v>
      </c>
      <c r="H75" s="1203"/>
      <c r="I75" s="1205"/>
      <c r="J75" s="6"/>
      <c r="K75" s="6"/>
      <c r="L75" s="6"/>
      <c r="M75" s="1276"/>
      <c r="N75" s="1404"/>
      <c r="O75" s="7"/>
    </row>
    <row r="76" spans="1:15" ht="15.75" thickBot="1">
      <c r="A76" s="1407">
        <f t="shared" si="1"/>
        <v>10</v>
      </c>
      <c r="B76" s="6"/>
      <c r="C76" s="6"/>
      <c r="D76" s="1206"/>
      <c r="E76" s="1207"/>
      <c r="F76" s="1209"/>
      <c r="G76" s="1209" t="s">
        <v>15</v>
      </c>
      <c r="H76" s="1208"/>
      <c r="I76" s="1210"/>
      <c r="J76" s="6"/>
      <c r="K76" s="6"/>
      <c r="L76" s="6"/>
      <c r="M76" s="1276"/>
      <c r="N76" s="1404"/>
      <c r="O76" s="7"/>
    </row>
    <row r="77" spans="1:15" ht="6.75" customHeight="1">
      <c r="A77" s="7"/>
      <c r="B77" s="6"/>
      <c r="C77" s="6"/>
      <c r="D77" s="1402"/>
      <c r="E77" s="1403"/>
      <c r="F77" s="1403"/>
      <c r="G77" s="1403"/>
      <c r="H77" s="1403"/>
      <c r="I77" s="1403"/>
      <c r="J77" s="1403"/>
      <c r="K77" s="1403"/>
      <c r="L77" s="1403"/>
      <c r="M77" s="1276"/>
      <c r="N77" s="1404"/>
      <c r="O77" s="7"/>
    </row>
    <row r="78" spans="1:15">
      <c r="A78" s="7"/>
      <c r="B78" s="6"/>
      <c r="C78" s="6"/>
      <c r="D78" s="1402" t="s">
        <v>1780</v>
      </c>
      <c r="E78" s="1403"/>
      <c r="F78" s="1268"/>
      <c r="G78" s="1268"/>
      <c r="H78" s="1268"/>
      <c r="I78" s="1268"/>
      <c r="J78" s="1268"/>
      <c r="K78" s="1268"/>
      <c r="L78" s="1268"/>
      <c r="M78" s="1276"/>
      <c r="N78" s="1404"/>
      <c r="O78" s="7"/>
    </row>
    <row r="79" spans="1:15" ht="6.75" customHeight="1">
      <c r="A79" s="7"/>
      <c r="B79" s="6"/>
      <c r="C79" s="6"/>
      <c r="D79" s="1402"/>
      <c r="E79" s="1403"/>
      <c r="F79" s="1268"/>
      <c r="G79" s="1268"/>
      <c r="H79" s="1268"/>
      <c r="I79" s="1268"/>
      <c r="J79" s="1268"/>
      <c r="K79" s="1268"/>
      <c r="L79" s="1268"/>
      <c r="M79" s="1276"/>
      <c r="N79" s="1404"/>
      <c r="O79" s="7"/>
    </row>
    <row r="80" spans="1:15" ht="82.5" customHeight="1" thickBot="1">
      <c r="A80" s="7"/>
      <c r="B80" s="6"/>
      <c r="C80" s="6"/>
      <c r="D80" s="1405" t="s">
        <v>1218</v>
      </c>
      <c r="E80" s="1406" t="s">
        <v>1503</v>
      </c>
      <c r="F80" s="1406" t="s">
        <v>1595</v>
      </c>
      <c r="G80" s="1406" t="s">
        <v>998</v>
      </c>
      <c r="H80" s="1406" t="s">
        <v>1636</v>
      </c>
      <c r="I80" s="1406" t="s">
        <v>1929</v>
      </c>
      <c r="J80" s="6"/>
      <c r="K80" s="6"/>
      <c r="L80" s="6"/>
      <c r="M80" s="1276"/>
      <c r="N80" s="1404"/>
      <c r="O80" s="7"/>
    </row>
    <row r="81" spans="1:15">
      <c r="A81" s="1407">
        <v>1</v>
      </c>
      <c r="B81" s="6"/>
      <c r="C81" s="6"/>
      <c r="D81" s="1197"/>
      <c r="E81" s="1198"/>
      <c r="F81" s="1211"/>
      <c r="G81" s="1211" t="s">
        <v>15</v>
      </c>
      <c r="H81" s="1199"/>
      <c r="I81" s="1212"/>
      <c r="J81" s="6"/>
      <c r="K81" s="6"/>
      <c r="L81" s="6"/>
      <c r="M81" s="1276"/>
      <c r="N81" s="1404"/>
      <c r="O81" s="7"/>
    </row>
    <row r="82" spans="1:15">
      <c r="A82" s="1407">
        <f t="shared" ref="A82:A90" si="2">A81+1</f>
        <v>2</v>
      </c>
      <c r="B82" s="6"/>
      <c r="C82" s="6"/>
      <c r="D82" s="1201"/>
      <c r="E82" s="1202"/>
      <c r="F82" s="1204"/>
      <c r="G82" s="1204" t="s">
        <v>15</v>
      </c>
      <c r="H82" s="1203"/>
      <c r="I82" s="1205"/>
      <c r="J82" s="6"/>
      <c r="K82" s="6"/>
      <c r="L82" s="6"/>
      <c r="M82" s="1276"/>
      <c r="N82" s="1404"/>
      <c r="O82" s="7"/>
    </row>
    <row r="83" spans="1:15">
      <c r="A83" s="1407">
        <f t="shared" si="2"/>
        <v>3</v>
      </c>
      <c r="B83" s="6"/>
      <c r="C83" s="6"/>
      <c r="D83" s="1201"/>
      <c r="E83" s="1202"/>
      <c r="F83" s="1204"/>
      <c r="G83" s="1204" t="s">
        <v>15</v>
      </c>
      <c r="H83" s="1203"/>
      <c r="I83" s="1205"/>
      <c r="J83" s="6"/>
      <c r="K83" s="6"/>
      <c r="L83" s="6"/>
      <c r="M83" s="1276"/>
      <c r="N83" s="1404"/>
      <c r="O83" s="7"/>
    </row>
    <row r="84" spans="1:15">
      <c r="A84" s="1407">
        <f t="shared" si="2"/>
        <v>4</v>
      </c>
      <c r="B84" s="6"/>
      <c r="C84" s="6"/>
      <c r="D84" s="1201"/>
      <c r="E84" s="1202"/>
      <c r="F84" s="1204"/>
      <c r="G84" s="1204" t="s">
        <v>15</v>
      </c>
      <c r="H84" s="1203"/>
      <c r="I84" s="1205"/>
      <c r="J84" s="6"/>
      <c r="K84" s="6"/>
      <c r="L84" s="6"/>
      <c r="M84" s="1276"/>
      <c r="N84" s="1404"/>
      <c r="O84" s="7"/>
    </row>
    <row r="85" spans="1:15">
      <c r="A85" s="1407">
        <f t="shared" si="2"/>
        <v>5</v>
      </c>
      <c r="B85" s="6"/>
      <c r="C85" s="6"/>
      <c r="D85" s="1201"/>
      <c r="E85" s="1202"/>
      <c r="F85" s="1204"/>
      <c r="G85" s="1204" t="s">
        <v>15</v>
      </c>
      <c r="H85" s="1203"/>
      <c r="I85" s="1205"/>
      <c r="J85" s="6"/>
      <c r="K85" s="6"/>
      <c r="L85" s="6"/>
      <c r="M85" s="1276"/>
      <c r="N85" s="1404"/>
      <c r="O85" s="7"/>
    </row>
    <row r="86" spans="1:15">
      <c r="A86" s="1407">
        <f t="shared" si="2"/>
        <v>6</v>
      </c>
      <c r="B86" s="6"/>
      <c r="C86" s="6"/>
      <c r="D86" s="1201"/>
      <c r="E86" s="1202"/>
      <c r="F86" s="1204"/>
      <c r="G86" s="1204" t="s">
        <v>15</v>
      </c>
      <c r="H86" s="1203"/>
      <c r="I86" s="1205"/>
      <c r="J86" s="6"/>
      <c r="K86" s="6"/>
      <c r="L86" s="6"/>
      <c r="M86" s="1276"/>
      <c r="N86" s="1404"/>
      <c r="O86" s="7"/>
    </row>
    <row r="87" spans="1:15">
      <c r="A87" s="1407">
        <f t="shared" si="2"/>
        <v>7</v>
      </c>
      <c r="B87" s="6"/>
      <c r="C87" s="6"/>
      <c r="D87" s="1201"/>
      <c r="E87" s="1202"/>
      <c r="F87" s="1204"/>
      <c r="G87" s="1204" t="s">
        <v>15</v>
      </c>
      <c r="H87" s="1203"/>
      <c r="I87" s="1205"/>
      <c r="J87" s="6"/>
      <c r="K87" s="6"/>
      <c r="L87" s="6"/>
      <c r="M87" s="1276"/>
      <c r="N87" s="1404"/>
      <c r="O87" s="7"/>
    </row>
    <row r="88" spans="1:15">
      <c r="A88" s="1407">
        <f t="shared" si="2"/>
        <v>8</v>
      </c>
      <c r="B88" s="6"/>
      <c r="C88" s="6"/>
      <c r="D88" s="1201"/>
      <c r="E88" s="1202"/>
      <c r="F88" s="1204"/>
      <c r="G88" s="1204" t="s">
        <v>15</v>
      </c>
      <c r="H88" s="1203"/>
      <c r="I88" s="1205"/>
      <c r="J88" s="6"/>
      <c r="K88" s="6"/>
      <c r="L88" s="6"/>
      <c r="M88" s="1276"/>
      <c r="N88" s="1404"/>
      <c r="O88" s="7"/>
    </row>
    <row r="89" spans="1:15">
      <c r="A89" s="1407">
        <f t="shared" si="2"/>
        <v>9</v>
      </c>
      <c r="B89" s="6"/>
      <c r="C89" s="6"/>
      <c r="D89" s="1201"/>
      <c r="E89" s="1202"/>
      <c r="F89" s="1204"/>
      <c r="G89" s="1204" t="s">
        <v>15</v>
      </c>
      <c r="H89" s="1203"/>
      <c r="I89" s="1205"/>
      <c r="J89" s="6"/>
      <c r="K89" s="6"/>
      <c r="L89" s="6"/>
      <c r="M89" s="1276"/>
      <c r="N89" s="1404"/>
      <c r="O89" s="7"/>
    </row>
    <row r="90" spans="1:15" ht="15.75" thickBot="1">
      <c r="A90" s="1407">
        <f t="shared" si="2"/>
        <v>10</v>
      </c>
      <c r="B90" s="6"/>
      <c r="C90" s="6"/>
      <c r="D90" s="1206"/>
      <c r="E90" s="1207"/>
      <c r="F90" s="1209"/>
      <c r="G90" s="1209" t="s">
        <v>15</v>
      </c>
      <c r="H90" s="1208"/>
      <c r="I90" s="1210"/>
      <c r="J90" s="6"/>
      <c r="K90" s="6"/>
      <c r="L90" s="6"/>
      <c r="M90" s="1276"/>
      <c r="N90" s="1404"/>
      <c r="O90" s="7"/>
    </row>
    <row r="91" spans="1:15" ht="6.75" customHeight="1">
      <c r="A91" s="7"/>
      <c r="B91" s="6"/>
      <c r="C91" s="6"/>
      <c r="D91" s="1402"/>
      <c r="E91" s="1403"/>
      <c r="F91" s="1403"/>
      <c r="G91" s="1403"/>
      <c r="H91" s="1403"/>
      <c r="I91" s="1403"/>
      <c r="J91" s="1403"/>
      <c r="K91" s="6"/>
      <c r="L91" s="1403"/>
      <c r="M91" s="1276"/>
      <c r="N91" s="1404"/>
      <c r="O91" s="7"/>
    </row>
    <row r="92" spans="1:15">
      <c r="A92" s="7"/>
      <c r="B92" s="6"/>
      <c r="C92" s="6"/>
      <c r="D92" s="1402" t="s">
        <v>1781</v>
      </c>
      <c r="E92" s="1403"/>
      <c r="F92" s="1268"/>
      <c r="G92" s="1268"/>
      <c r="H92" s="1268"/>
      <c r="I92" s="1268"/>
      <c r="J92" s="1268"/>
      <c r="K92" s="1268"/>
      <c r="L92" s="1268"/>
      <c r="M92" s="1276"/>
      <c r="N92" s="1404"/>
      <c r="O92" s="7"/>
    </row>
    <row r="93" spans="1:15" ht="6.75" customHeight="1">
      <c r="A93" s="7"/>
      <c r="B93" s="6"/>
      <c r="C93" s="6"/>
      <c r="D93" s="1402"/>
      <c r="E93" s="1403"/>
      <c r="F93" s="1268"/>
      <c r="G93" s="1268"/>
      <c r="H93" s="1268"/>
      <c r="I93" s="1268"/>
      <c r="J93" s="1268"/>
      <c r="K93" s="1268"/>
      <c r="L93" s="1268"/>
      <c r="M93" s="1276"/>
      <c r="N93" s="1404"/>
      <c r="O93" s="7"/>
    </row>
    <row r="94" spans="1:15" ht="86.25" customHeight="1" thickBot="1">
      <c r="A94" s="7"/>
      <c r="B94" s="6"/>
      <c r="C94" s="6"/>
      <c r="D94" s="1405" t="s">
        <v>23</v>
      </c>
      <c r="E94" s="1406" t="s">
        <v>1504</v>
      </c>
      <c r="F94" s="1406" t="s">
        <v>1595</v>
      </c>
      <c r="G94" s="1406" t="s">
        <v>998</v>
      </c>
      <c r="H94" s="1406" t="s">
        <v>1636</v>
      </c>
      <c r="I94" s="1406" t="s">
        <v>1930</v>
      </c>
      <c r="J94" s="6"/>
      <c r="K94" s="6"/>
      <c r="L94" s="6"/>
      <c r="M94" s="1276"/>
      <c r="N94" s="1404"/>
      <c r="O94" s="7"/>
    </row>
    <row r="95" spans="1:15">
      <c r="A95" s="1407">
        <v>1</v>
      </c>
      <c r="B95" s="6"/>
      <c r="C95" s="6"/>
      <c r="D95" s="1197"/>
      <c r="E95" s="1198"/>
      <c r="F95" s="1211"/>
      <c r="G95" s="1211" t="s">
        <v>15</v>
      </c>
      <c r="H95" s="1199"/>
      <c r="I95" s="1212"/>
      <c r="J95" s="6"/>
      <c r="K95" s="6"/>
      <c r="L95" s="6"/>
      <c r="M95" s="1276"/>
      <c r="N95" s="1404"/>
      <c r="O95" s="7"/>
    </row>
    <row r="96" spans="1:15">
      <c r="A96" s="1407">
        <f t="shared" ref="A96:A104" si="3">A95+1</f>
        <v>2</v>
      </c>
      <c r="B96" s="6"/>
      <c r="C96" s="6"/>
      <c r="D96" s="1201"/>
      <c r="E96" s="1202"/>
      <c r="F96" s="1204"/>
      <c r="G96" s="1204" t="s">
        <v>15</v>
      </c>
      <c r="H96" s="1203"/>
      <c r="I96" s="1205"/>
      <c r="J96" s="6"/>
      <c r="K96" s="6"/>
      <c r="L96" s="6"/>
      <c r="M96" s="1276"/>
      <c r="N96" s="1404"/>
      <c r="O96" s="7"/>
    </row>
    <row r="97" spans="1:15">
      <c r="A97" s="1407">
        <f t="shared" si="3"/>
        <v>3</v>
      </c>
      <c r="B97" s="6"/>
      <c r="C97" s="6"/>
      <c r="D97" s="1201"/>
      <c r="E97" s="1202"/>
      <c r="F97" s="1204"/>
      <c r="G97" s="1204" t="s">
        <v>15</v>
      </c>
      <c r="H97" s="1203"/>
      <c r="I97" s="1205"/>
      <c r="J97" s="6"/>
      <c r="K97" s="6"/>
      <c r="L97" s="6"/>
      <c r="M97" s="1276"/>
      <c r="N97" s="1404"/>
      <c r="O97" s="7"/>
    </row>
    <row r="98" spans="1:15">
      <c r="A98" s="1407">
        <f t="shared" si="3"/>
        <v>4</v>
      </c>
      <c r="B98" s="6"/>
      <c r="C98" s="6"/>
      <c r="D98" s="1201"/>
      <c r="E98" s="1202"/>
      <c r="F98" s="1204"/>
      <c r="G98" s="1204" t="s">
        <v>15</v>
      </c>
      <c r="H98" s="1203"/>
      <c r="I98" s="1205"/>
      <c r="J98" s="6"/>
      <c r="K98" s="6"/>
      <c r="L98" s="6"/>
      <c r="M98" s="1276"/>
      <c r="N98" s="1404"/>
      <c r="O98" s="7"/>
    </row>
    <row r="99" spans="1:15">
      <c r="A99" s="1407">
        <f t="shared" si="3"/>
        <v>5</v>
      </c>
      <c r="B99" s="6"/>
      <c r="C99" s="6"/>
      <c r="D99" s="1201"/>
      <c r="E99" s="1202"/>
      <c r="F99" s="1204"/>
      <c r="G99" s="1204" t="s">
        <v>15</v>
      </c>
      <c r="H99" s="1203"/>
      <c r="I99" s="1205"/>
      <c r="J99" s="6"/>
      <c r="K99" s="6"/>
      <c r="L99" s="6"/>
      <c r="M99" s="1276"/>
      <c r="N99" s="1404"/>
      <c r="O99" s="7"/>
    </row>
    <row r="100" spans="1:15">
      <c r="A100" s="1407">
        <f t="shared" si="3"/>
        <v>6</v>
      </c>
      <c r="B100" s="6"/>
      <c r="C100" s="6"/>
      <c r="D100" s="1201"/>
      <c r="E100" s="1202"/>
      <c r="F100" s="1204"/>
      <c r="G100" s="1204" t="s">
        <v>15</v>
      </c>
      <c r="H100" s="1203"/>
      <c r="I100" s="1205"/>
      <c r="J100" s="6"/>
      <c r="K100" s="6"/>
      <c r="L100" s="6"/>
      <c r="M100" s="1276"/>
      <c r="N100" s="1404"/>
      <c r="O100" s="7"/>
    </row>
    <row r="101" spans="1:15">
      <c r="A101" s="1407">
        <f t="shared" si="3"/>
        <v>7</v>
      </c>
      <c r="B101" s="6"/>
      <c r="C101" s="6"/>
      <c r="D101" s="1201"/>
      <c r="E101" s="1202"/>
      <c r="F101" s="1204"/>
      <c r="G101" s="1204" t="s">
        <v>15</v>
      </c>
      <c r="H101" s="1203"/>
      <c r="I101" s="1205"/>
      <c r="J101" s="6"/>
      <c r="K101" s="6"/>
      <c r="L101" s="6"/>
      <c r="M101" s="1276"/>
      <c r="N101" s="1404"/>
      <c r="O101" s="7"/>
    </row>
    <row r="102" spans="1:15">
      <c r="A102" s="1407">
        <f t="shared" si="3"/>
        <v>8</v>
      </c>
      <c r="B102" s="6"/>
      <c r="C102" s="6"/>
      <c r="D102" s="1201"/>
      <c r="E102" s="1202"/>
      <c r="F102" s="1204"/>
      <c r="G102" s="1204" t="s">
        <v>15</v>
      </c>
      <c r="H102" s="1203"/>
      <c r="I102" s="1205"/>
      <c r="J102" s="6"/>
      <c r="K102" s="6"/>
      <c r="L102" s="6"/>
      <c r="M102" s="1276"/>
      <c r="N102" s="1404"/>
      <c r="O102" s="7"/>
    </row>
    <row r="103" spans="1:15">
      <c r="A103" s="1407">
        <f t="shared" si="3"/>
        <v>9</v>
      </c>
      <c r="B103" s="6"/>
      <c r="C103" s="6"/>
      <c r="D103" s="1201"/>
      <c r="E103" s="1202"/>
      <c r="F103" s="1204"/>
      <c r="G103" s="1204" t="s">
        <v>15</v>
      </c>
      <c r="H103" s="1203"/>
      <c r="I103" s="1205"/>
      <c r="J103" s="6"/>
      <c r="K103" s="6"/>
      <c r="L103" s="6"/>
      <c r="M103" s="1276"/>
      <c r="N103" s="1404"/>
      <c r="O103" s="7"/>
    </row>
    <row r="104" spans="1:15" ht="15.75" thickBot="1">
      <c r="A104" s="1407">
        <f t="shared" si="3"/>
        <v>10</v>
      </c>
      <c r="B104" s="6"/>
      <c r="C104" s="6"/>
      <c r="D104" s="1206"/>
      <c r="E104" s="1207"/>
      <c r="F104" s="1209"/>
      <c r="G104" s="1209" t="s">
        <v>15</v>
      </c>
      <c r="H104" s="1208"/>
      <c r="I104" s="1210"/>
      <c r="J104" s="6"/>
      <c r="K104" s="6"/>
      <c r="L104" s="6"/>
      <c r="M104" s="1276"/>
      <c r="N104" s="1404"/>
      <c r="O104" s="7"/>
    </row>
    <row r="105" spans="1:15" ht="6.75" customHeight="1">
      <c r="A105" s="7"/>
      <c r="B105" s="6"/>
      <c r="C105" s="6"/>
      <c r="D105" s="1402"/>
      <c r="E105" s="1403"/>
      <c r="F105" s="1403"/>
      <c r="G105" s="1403"/>
      <c r="H105" s="1403"/>
      <c r="I105" s="1403"/>
      <c r="J105" s="1403"/>
      <c r="K105" s="1403"/>
      <c r="L105" s="1403"/>
      <c r="M105" s="1276"/>
      <c r="N105" s="1404"/>
      <c r="O105" s="7"/>
    </row>
    <row r="106" spans="1:15">
      <c r="A106" s="7"/>
      <c r="B106" s="6"/>
      <c r="C106" s="6"/>
      <c r="D106" s="1402" t="s">
        <v>1986</v>
      </c>
      <c r="E106" s="1403"/>
      <c r="F106" s="1268"/>
      <c r="G106" s="1268"/>
      <c r="H106" s="1268"/>
      <c r="I106" s="1268"/>
      <c r="J106" s="1268"/>
      <c r="K106" s="1268"/>
      <c r="L106" s="1268"/>
      <c r="M106" s="1276"/>
      <c r="N106" s="1404"/>
      <c r="O106" s="7"/>
    </row>
    <row r="107" spans="1:15" ht="6.75" customHeight="1">
      <c r="A107" s="7"/>
      <c r="B107" s="6"/>
      <c r="C107" s="6"/>
      <c r="D107" s="1402"/>
      <c r="E107" s="1403"/>
      <c r="F107" s="1268"/>
      <c r="G107" s="1268"/>
      <c r="H107" s="1268"/>
      <c r="I107" s="1268"/>
      <c r="J107" s="1268"/>
      <c r="K107" s="1268"/>
      <c r="L107" s="1268"/>
      <c r="M107" s="1276"/>
      <c r="N107" s="1404"/>
      <c r="O107" s="7"/>
    </row>
    <row r="108" spans="1:15" ht="82.5" customHeight="1" thickBot="1">
      <c r="A108" s="7"/>
      <c r="B108" s="6"/>
      <c r="C108" s="6"/>
      <c r="D108" s="1405" t="s">
        <v>1987</v>
      </c>
      <c r="E108" s="1406" t="s">
        <v>1988</v>
      </c>
      <c r="F108" s="1406" t="s">
        <v>1595</v>
      </c>
      <c r="G108" s="1406" t="s">
        <v>998</v>
      </c>
      <c r="H108" s="1406" t="s">
        <v>1636</v>
      </c>
      <c r="I108" s="1406" t="s">
        <v>2018</v>
      </c>
      <c r="J108" s="6"/>
      <c r="K108" s="6"/>
      <c r="L108" s="6"/>
      <c r="M108" s="1276"/>
      <c r="N108" s="1404"/>
      <c r="O108" s="7"/>
    </row>
    <row r="109" spans="1:15">
      <c r="A109" s="1407">
        <v>1</v>
      </c>
      <c r="B109" s="6"/>
      <c r="C109" s="6"/>
      <c r="D109" s="1197"/>
      <c r="E109" s="1198"/>
      <c r="F109" s="1211"/>
      <c r="G109" s="1211" t="s">
        <v>15</v>
      </c>
      <c r="H109" s="1199"/>
      <c r="I109" s="1212"/>
      <c r="J109" s="6"/>
      <c r="K109" s="6"/>
      <c r="L109" s="6"/>
      <c r="M109" s="1276"/>
      <c r="N109" s="1404"/>
      <c r="O109" s="7"/>
    </row>
    <row r="110" spans="1:15">
      <c r="A110" s="1407">
        <f t="shared" ref="A110:A118" si="4">A109+1</f>
        <v>2</v>
      </c>
      <c r="B110" s="6"/>
      <c r="C110" s="6"/>
      <c r="D110" s="1201"/>
      <c r="E110" s="1202"/>
      <c r="F110" s="1204"/>
      <c r="G110" s="1204" t="s">
        <v>15</v>
      </c>
      <c r="H110" s="1203"/>
      <c r="I110" s="1205"/>
      <c r="J110" s="6"/>
      <c r="K110" s="6"/>
      <c r="L110" s="6"/>
      <c r="M110" s="1276"/>
      <c r="N110" s="1404"/>
      <c r="O110" s="7"/>
    </row>
    <row r="111" spans="1:15">
      <c r="A111" s="1407">
        <f t="shared" si="4"/>
        <v>3</v>
      </c>
      <c r="B111" s="6"/>
      <c r="C111" s="6"/>
      <c r="D111" s="1201"/>
      <c r="E111" s="1202"/>
      <c r="F111" s="1204"/>
      <c r="G111" s="1204" t="s">
        <v>15</v>
      </c>
      <c r="H111" s="1203"/>
      <c r="I111" s="1205"/>
      <c r="J111" s="6"/>
      <c r="K111" s="6"/>
      <c r="L111" s="6"/>
      <c r="M111" s="1276"/>
      <c r="N111" s="1404"/>
      <c r="O111" s="7"/>
    </row>
    <row r="112" spans="1:15">
      <c r="A112" s="1407">
        <f t="shared" si="4"/>
        <v>4</v>
      </c>
      <c r="B112" s="6"/>
      <c r="C112" s="6"/>
      <c r="D112" s="1201"/>
      <c r="E112" s="1202"/>
      <c r="F112" s="1204"/>
      <c r="G112" s="1204" t="s">
        <v>15</v>
      </c>
      <c r="H112" s="1203"/>
      <c r="I112" s="1205"/>
      <c r="J112" s="6"/>
      <c r="K112" s="6"/>
      <c r="L112" s="6"/>
      <c r="M112" s="1276"/>
      <c r="N112" s="1404"/>
      <c r="O112" s="7"/>
    </row>
    <row r="113" spans="1:15">
      <c r="A113" s="1407">
        <f t="shared" si="4"/>
        <v>5</v>
      </c>
      <c r="B113" s="6"/>
      <c r="C113" s="6"/>
      <c r="D113" s="1201"/>
      <c r="E113" s="1202"/>
      <c r="F113" s="1204"/>
      <c r="G113" s="1204" t="s">
        <v>15</v>
      </c>
      <c r="H113" s="1203"/>
      <c r="I113" s="1205"/>
      <c r="J113" s="6"/>
      <c r="K113" s="6"/>
      <c r="L113" s="6"/>
      <c r="M113" s="1276"/>
      <c r="N113" s="1404"/>
      <c r="O113" s="7"/>
    </row>
    <row r="114" spans="1:15">
      <c r="A114" s="1407">
        <f t="shared" si="4"/>
        <v>6</v>
      </c>
      <c r="B114" s="6"/>
      <c r="C114" s="6"/>
      <c r="D114" s="1201"/>
      <c r="E114" s="1202"/>
      <c r="F114" s="1204"/>
      <c r="G114" s="1204" t="s">
        <v>15</v>
      </c>
      <c r="H114" s="1203"/>
      <c r="I114" s="1205"/>
      <c r="J114" s="6"/>
      <c r="K114" s="6"/>
      <c r="L114" s="6"/>
      <c r="M114" s="1276"/>
      <c r="N114" s="1404"/>
      <c r="O114" s="7"/>
    </row>
    <row r="115" spans="1:15">
      <c r="A115" s="1407">
        <f t="shared" si="4"/>
        <v>7</v>
      </c>
      <c r="B115" s="6"/>
      <c r="C115" s="6"/>
      <c r="D115" s="1201"/>
      <c r="E115" s="1202"/>
      <c r="F115" s="1204"/>
      <c r="G115" s="1204" t="s">
        <v>15</v>
      </c>
      <c r="H115" s="1203"/>
      <c r="I115" s="1205"/>
      <c r="J115" s="6"/>
      <c r="K115" s="6"/>
      <c r="L115" s="6"/>
      <c r="M115" s="1276"/>
      <c r="N115" s="1404"/>
      <c r="O115" s="7"/>
    </row>
    <row r="116" spans="1:15">
      <c r="A116" s="1407">
        <f t="shared" si="4"/>
        <v>8</v>
      </c>
      <c r="B116" s="6"/>
      <c r="C116" s="6"/>
      <c r="D116" s="1201"/>
      <c r="E116" s="1202"/>
      <c r="F116" s="1204"/>
      <c r="G116" s="1204" t="s">
        <v>15</v>
      </c>
      <c r="H116" s="1203"/>
      <c r="I116" s="1205"/>
      <c r="J116" s="6"/>
      <c r="K116" s="6"/>
      <c r="L116" s="6"/>
      <c r="M116" s="1276"/>
      <c r="N116" s="1404"/>
      <c r="O116" s="7"/>
    </row>
    <row r="117" spans="1:15">
      <c r="A117" s="1407">
        <f t="shared" si="4"/>
        <v>9</v>
      </c>
      <c r="B117" s="6"/>
      <c r="C117" s="6"/>
      <c r="D117" s="1201"/>
      <c r="E117" s="1202"/>
      <c r="F117" s="1204"/>
      <c r="G117" s="1204" t="s">
        <v>15</v>
      </c>
      <c r="H117" s="1203"/>
      <c r="I117" s="1205"/>
      <c r="J117" s="6"/>
      <c r="K117" s="6"/>
      <c r="L117" s="6"/>
      <c r="M117" s="1276"/>
      <c r="N117" s="1404"/>
      <c r="O117" s="7"/>
    </row>
    <row r="118" spans="1:15" ht="15.75" thickBot="1">
      <c r="A118" s="1407">
        <f t="shared" si="4"/>
        <v>10</v>
      </c>
      <c r="B118" s="6"/>
      <c r="C118" s="6"/>
      <c r="D118" s="1206"/>
      <c r="E118" s="1207"/>
      <c r="F118" s="1209"/>
      <c r="G118" s="1209" t="s">
        <v>15</v>
      </c>
      <c r="H118" s="1208"/>
      <c r="I118" s="1210"/>
      <c r="J118" s="6"/>
      <c r="K118" s="6"/>
      <c r="L118" s="6"/>
      <c r="M118" s="1276"/>
      <c r="N118" s="1404"/>
      <c r="O118" s="7"/>
    </row>
    <row r="119" spans="1:15" ht="6.75" customHeight="1">
      <c r="A119" s="7"/>
      <c r="B119" s="6"/>
      <c r="C119" s="6"/>
      <c r="D119" s="1402"/>
      <c r="E119" s="1403"/>
      <c r="F119" s="1403"/>
      <c r="G119" s="1403"/>
      <c r="H119" s="1403"/>
      <c r="I119" s="6"/>
      <c r="J119" s="6"/>
      <c r="K119" s="1403"/>
      <c r="L119" s="1403"/>
      <c r="M119" s="1276"/>
      <c r="N119" s="1404"/>
      <c r="O119" s="7"/>
    </row>
    <row r="120" spans="1:15" ht="15" customHeight="1">
      <c r="A120" s="7"/>
      <c r="B120" s="6"/>
      <c r="C120" s="6"/>
      <c r="D120" s="1402" t="s">
        <v>2014</v>
      </c>
      <c r="E120" s="1403"/>
      <c r="F120" s="1268"/>
      <c r="G120" s="1268"/>
      <c r="H120" s="1268"/>
      <c r="I120" s="6"/>
      <c r="J120" s="6"/>
      <c r="K120" s="6"/>
      <c r="L120" s="1403"/>
      <c r="M120" s="1276"/>
      <c r="N120" s="1404"/>
      <c r="O120" s="7"/>
    </row>
    <row r="121" spans="1:15" ht="6.75" customHeight="1">
      <c r="A121" s="7"/>
      <c r="B121" s="6"/>
      <c r="C121" s="6"/>
      <c r="D121" s="1402"/>
      <c r="E121" s="1403"/>
      <c r="F121" s="1268"/>
      <c r="G121" s="1268"/>
      <c r="H121" s="1268"/>
      <c r="I121" s="6"/>
      <c r="J121" s="6"/>
      <c r="K121" s="6"/>
      <c r="L121" s="1403"/>
      <c r="M121" s="1276"/>
      <c r="N121" s="1404"/>
      <c r="O121" s="7"/>
    </row>
    <row r="122" spans="1:15" ht="15" customHeight="1">
      <c r="A122" s="7"/>
      <c r="B122" s="6"/>
      <c r="C122" s="6"/>
      <c r="D122" s="1409" t="s">
        <v>1740</v>
      </c>
      <c r="E122" s="1403"/>
      <c r="F122" s="1268"/>
      <c r="G122" s="1268"/>
      <c r="H122" s="1268"/>
      <c r="I122" s="6"/>
      <c r="J122" s="6"/>
      <c r="K122" s="6"/>
      <c r="L122" s="1403"/>
      <c r="M122" s="1276"/>
      <c r="N122" s="1404"/>
      <c r="O122" s="7"/>
    </row>
    <row r="123" spans="1:15" ht="6.75" customHeight="1">
      <c r="A123" s="7"/>
      <c r="B123" s="6"/>
      <c r="C123" s="6"/>
      <c r="D123" s="1402"/>
      <c r="E123" s="1403"/>
      <c r="F123" s="1268"/>
      <c r="G123" s="1268"/>
      <c r="H123" s="1268"/>
      <c r="I123" s="6"/>
      <c r="J123" s="6"/>
      <c r="K123" s="6"/>
      <c r="L123" s="1403"/>
      <c r="M123" s="1276"/>
      <c r="N123" s="1404"/>
      <c r="O123" s="7"/>
    </row>
    <row r="124" spans="1:15" ht="83.25" customHeight="1" thickBot="1">
      <c r="A124" s="7"/>
      <c r="B124" s="6"/>
      <c r="C124" s="6"/>
      <c r="D124" s="1406" t="s">
        <v>1783</v>
      </c>
      <c r="E124" s="1406" t="s">
        <v>1520</v>
      </c>
      <c r="F124" s="1406" t="s">
        <v>1595</v>
      </c>
      <c r="G124" s="1406" t="s">
        <v>998</v>
      </c>
      <c r="H124" s="1406" t="s">
        <v>1636</v>
      </c>
      <c r="I124" s="1406" t="s">
        <v>1931</v>
      </c>
      <c r="J124" s="6"/>
      <c r="K124" s="6"/>
      <c r="L124" s="1410"/>
      <c r="M124" s="1276"/>
      <c r="N124" s="1404"/>
      <c r="O124" s="7"/>
    </row>
    <row r="125" spans="1:15">
      <c r="A125" s="7"/>
      <c r="B125" s="6"/>
      <c r="C125" s="6"/>
      <c r="D125" s="1197"/>
      <c r="E125" s="1198"/>
      <c r="F125" s="1211"/>
      <c r="G125" s="1211" t="s">
        <v>15</v>
      </c>
      <c r="H125" s="1199"/>
      <c r="I125" s="1212"/>
      <c r="J125" s="6"/>
      <c r="K125" s="6"/>
      <c r="L125" s="198"/>
      <c r="M125" s="1276"/>
      <c r="N125" s="1404"/>
      <c r="O125" s="7"/>
    </row>
    <row r="126" spans="1:15">
      <c r="A126" s="7"/>
      <c r="B126" s="6"/>
      <c r="C126" s="6"/>
      <c r="D126" s="1201"/>
      <c r="E126" s="1202"/>
      <c r="F126" s="1204"/>
      <c r="G126" s="1204" t="s">
        <v>15</v>
      </c>
      <c r="H126" s="1203"/>
      <c r="I126" s="1205"/>
      <c r="J126" s="6"/>
      <c r="K126" s="6"/>
      <c r="L126" s="198"/>
      <c r="M126" s="1276"/>
      <c r="N126" s="1404"/>
      <c r="O126" s="7"/>
    </row>
    <row r="127" spans="1:15">
      <c r="A127" s="7"/>
      <c r="B127" s="6"/>
      <c r="C127" s="6"/>
      <c r="D127" s="1201"/>
      <c r="E127" s="1202"/>
      <c r="F127" s="1204"/>
      <c r="G127" s="1204" t="s">
        <v>15</v>
      </c>
      <c r="H127" s="1203"/>
      <c r="I127" s="1205"/>
      <c r="J127" s="6"/>
      <c r="K127" s="6"/>
      <c r="L127" s="198"/>
      <c r="M127" s="1276"/>
      <c r="N127" s="1404"/>
      <c r="O127" s="7"/>
    </row>
    <row r="128" spans="1:15">
      <c r="A128" s="7"/>
      <c r="B128" s="6"/>
      <c r="C128" s="6"/>
      <c r="D128" s="1201"/>
      <c r="E128" s="1202"/>
      <c r="F128" s="1204"/>
      <c r="G128" s="1204" t="s">
        <v>15</v>
      </c>
      <c r="H128" s="1203"/>
      <c r="I128" s="1205"/>
      <c r="J128" s="6"/>
      <c r="K128" s="6"/>
      <c r="L128" s="198"/>
      <c r="M128" s="1276"/>
      <c r="N128" s="1404"/>
      <c r="O128" s="7"/>
    </row>
    <row r="129" spans="1:15">
      <c r="A129" s="7"/>
      <c r="B129" s="6"/>
      <c r="C129" s="6"/>
      <c r="D129" s="1201"/>
      <c r="E129" s="1202"/>
      <c r="F129" s="1204"/>
      <c r="G129" s="1204" t="s">
        <v>15</v>
      </c>
      <c r="H129" s="1203"/>
      <c r="I129" s="1205"/>
      <c r="J129" s="6"/>
      <c r="K129" s="6"/>
      <c r="L129" s="198"/>
      <c r="M129" s="1276"/>
      <c r="N129" s="1404"/>
      <c r="O129" s="7"/>
    </row>
    <row r="130" spans="1:15">
      <c r="A130" s="7"/>
      <c r="B130" s="6"/>
      <c r="C130" s="6"/>
      <c r="D130" s="1201"/>
      <c r="E130" s="1202"/>
      <c r="F130" s="1204"/>
      <c r="G130" s="1204" t="s">
        <v>15</v>
      </c>
      <c r="H130" s="1203"/>
      <c r="I130" s="1205"/>
      <c r="J130" s="6"/>
      <c r="K130" s="6"/>
      <c r="L130" s="198"/>
      <c r="M130" s="1276"/>
      <c r="N130" s="1404"/>
      <c r="O130" s="7"/>
    </row>
    <row r="131" spans="1:15">
      <c r="A131" s="7"/>
      <c r="B131" s="6"/>
      <c r="C131" s="6"/>
      <c r="D131" s="1201"/>
      <c r="E131" s="1202"/>
      <c r="F131" s="1204"/>
      <c r="G131" s="1204" t="s">
        <v>15</v>
      </c>
      <c r="H131" s="1203"/>
      <c r="I131" s="1205"/>
      <c r="J131" s="6"/>
      <c r="K131" s="6"/>
      <c r="L131" s="198"/>
      <c r="M131" s="1276"/>
      <c r="N131" s="1404"/>
      <c r="O131" s="7"/>
    </row>
    <row r="132" spans="1:15">
      <c r="A132" s="7"/>
      <c r="B132" s="6"/>
      <c r="C132" s="6"/>
      <c r="D132" s="1201"/>
      <c r="E132" s="1202"/>
      <c r="F132" s="1204"/>
      <c r="G132" s="1204" t="s">
        <v>15</v>
      </c>
      <c r="H132" s="1203"/>
      <c r="I132" s="1205"/>
      <c r="J132" s="6"/>
      <c r="K132" s="6"/>
      <c r="L132" s="198"/>
      <c r="M132" s="1276"/>
      <c r="N132" s="1404"/>
      <c r="O132" s="7"/>
    </row>
    <row r="133" spans="1:15">
      <c r="A133" s="7"/>
      <c r="B133" s="6"/>
      <c r="C133" s="6"/>
      <c r="D133" s="1201"/>
      <c r="E133" s="1202"/>
      <c r="F133" s="1204"/>
      <c r="G133" s="1204" t="s">
        <v>15</v>
      </c>
      <c r="H133" s="1203"/>
      <c r="I133" s="1205"/>
      <c r="J133" s="6"/>
      <c r="K133" s="6"/>
      <c r="L133" s="198"/>
      <c r="M133" s="1276"/>
      <c r="N133" s="1404"/>
      <c r="O133" s="7"/>
    </row>
    <row r="134" spans="1:15" ht="15.75" thickBot="1">
      <c r="A134" s="7"/>
      <c r="B134" s="6"/>
      <c r="C134" s="6"/>
      <c r="D134" s="1206"/>
      <c r="E134" s="1207"/>
      <c r="F134" s="1209"/>
      <c r="G134" s="1209" t="s">
        <v>15</v>
      </c>
      <c r="H134" s="1208"/>
      <c r="I134" s="1210"/>
      <c r="J134" s="6"/>
      <c r="K134" s="6"/>
      <c r="L134" s="198"/>
      <c r="M134" s="1276"/>
      <c r="N134" s="1404"/>
      <c r="O134" s="7"/>
    </row>
    <row r="135" spans="1:15" ht="6.75" customHeight="1">
      <c r="A135" s="7"/>
      <c r="B135" s="6"/>
      <c r="C135" s="6"/>
      <c r="D135" s="1402"/>
      <c r="E135" s="1403"/>
      <c r="F135" s="1403"/>
      <c r="G135" s="1403"/>
      <c r="H135" s="1403"/>
      <c r="I135" s="1403"/>
      <c r="J135" s="1403"/>
      <c r="K135" s="1403"/>
      <c r="L135" s="1403"/>
      <c r="M135" s="1276"/>
      <c r="N135" s="1404"/>
      <c r="O135" s="7"/>
    </row>
    <row r="136" spans="1:15" ht="15" customHeight="1">
      <c r="A136" s="7"/>
      <c r="B136" s="6"/>
      <c r="C136" s="6"/>
      <c r="D136" s="1286" t="s">
        <v>1814</v>
      </c>
      <c r="E136" s="1403"/>
      <c r="F136" s="1403"/>
      <c r="G136" s="1403"/>
      <c r="H136" s="1403"/>
      <c r="I136" s="1403"/>
      <c r="J136" s="1403"/>
      <c r="K136" s="1403"/>
      <c r="L136" s="1403"/>
      <c r="M136" s="1276"/>
      <c r="N136" s="1404"/>
      <c r="O136" s="7"/>
    </row>
    <row r="137" spans="1:15" ht="6.75" customHeight="1">
      <c r="A137" s="7"/>
      <c r="B137" s="6"/>
      <c r="C137" s="6"/>
      <c r="D137" s="1286"/>
      <c r="E137" s="1403"/>
      <c r="F137" s="1403"/>
      <c r="G137" s="1268"/>
      <c r="H137" s="1268"/>
      <c r="I137" s="1268"/>
      <c r="J137" s="1268"/>
      <c r="K137" s="1268"/>
      <c r="L137" s="1268"/>
      <c r="M137" s="1276"/>
      <c r="N137" s="1404"/>
      <c r="O137" s="7"/>
    </row>
    <row r="138" spans="1:15">
      <c r="A138" s="7"/>
      <c r="B138" s="7"/>
      <c r="C138" s="7"/>
      <c r="D138" s="7"/>
      <c r="E138" s="7"/>
      <c r="F138" s="7"/>
      <c r="G138" s="7"/>
      <c r="H138" s="7"/>
      <c r="I138" s="7"/>
      <c r="J138" s="7"/>
      <c r="K138" s="7"/>
      <c r="L138" s="7"/>
      <c r="M138" s="7"/>
      <c r="N138" s="7"/>
      <c r="O138" s="7"/>
    </row>
    <row r="139" spans="1:15" hidden="1" outlineLevel="1">
      <c r="A139" s="7"/>
      <c r="B139" s="541" t="s">
        <v>1692</v>
      </c>
      <c r="C139" s="7"/>
      <c r="D139" s="7"/>
      <c r="E139" s="7"/>
      <c r="F139" s="7"/>
      <c r="G139" s="7"/>
      <c r="H139" s="7"/>
      <c r="I139" s="7"/>
      <c r="J139" s="7"/>
      <c r="K139" s="7"/>
      <c r="L139" s="7"/>
      <c r="M139" s="7"/>
      <c r="N139" s="7"/>
      <c r="O139" s="7"/>
    </row>
    <row r="140" spans="1:15" hidden="1" outlineLevel="1">
      <c r="A140" s="7"/>
      <c r="B140" s="1411"/>
      <c r="C140" s="1382"/>
      <c r="D140" s="1383" t="s">
        <v>1532</v>
      </c>
      <c r="E140" s="1384"/>
      <c r="F140" s="1384"/>
      <c r="G140" s="1384"/>
      <c r="H140" s="1384"/>
      <c r="I140" s="1384"/>
      <c r="J140" s="1384"/>
      <c r="K140" s="1385"/>
      <c r="L140" s="1385"/>
      <c r="M140" s="1386"/>
      <c r="N140" s="1267"/>
    </row>
    <row r="141" spans="1:15" ht="6.75" hidden="1" customHeight="1" outlineLevel="1">
      <c r="A141" s="7"/>
      <c r="B141" s="6"/>
      <c r="C141" s="6"/>
      <c r="D141" s="6"/>
      <c r="E141" s="6"/>
      <c r="F141" s="6"/>
      <c r="G141" s="6"/>
      <c r="H141" s="6"/>
      <c r="I141" s="6"/>
      <c r="J141" s="6"/>
      <c r="K141" s="6"/>
      <c r="L141" s="6"/>
      <c r="M141" s="6"/>
      <c r="N141" s="6"/>
      <c r="O141" s="7"/>
    </row>
    <row r="142" spans="1:15" ht="15" hidden="1" customHeight="1" outlineLevel="1">
      <c r="A142" s="508"/>
      <c r="B142" s="1412"/>
      <c r="C142" s="1413"/>
      <c r="D142" s="1961" t="s">
        <v>1719</v>
      </c>
      <c r="E142" s="1961"/>
      <c r="F142" s="1961"/>
      <c r="G142" s="1961"/>
      <c r="H142" s="1961"/>
      <c r="I142" s="1961"/>
      <c r="J142" s="1961"/>
      <c r="K142" s="1961"/>
      <c r="L142" s="1961"/>
      <c r="M142" s="1962"/>
      <c r="N142" s="1412"/>
      <c r="O142" s="508"/>
    </row>
    <row r="143" spans="1:15" ht="15" hidden="1" customHeight="1" outlineLevel="1">
      <c r="A143" s="508"/>
      <c r="B143" s="1412"/>
      <c r="C143" s="1415"/>
      <c r="D143" s="1963"/>
      <c r="E143" s="1963"/>
      <c r="F143" s="1963"/>
      <c r="G143" s="1963"/>
      <c r="H143" s="1963"/>
      <c r="I143" s="1963"/>
      <c r="J143" s="1963"/>
      <c r="K143" s="1963"/>
      <c r="L143" s="1963"/>
      <c r="M143" s="1964"/>
      <c r="N143" s="1412"/>
      <c r="O143" s="508"/>
    </row>
    <row r="144" spans="1:15" hidden="1" outlineLevel="1">
      <c r="A144" s="7"/>
      <c r="B144" s="6"/>
      <c r="C144" s="1416"/>
      <c r="D144" s="1416"/>
      <c r="E144" s="1416"/>
      <c r="F144" s="1416"/>
      <c r="G144" s="1416"/>
      <c r="H144" s="1416"/>
      <c r="I144" s="1417"/>
      <c r="J144" s="1417"/>
      <c r="K144" s="1417"/>
      <c r="L144" s="1417"/>
      <c r="M144" s="1417"/>
      <c r="N144" s="6"/>
      <c r="O144" s="7"/>
    </row>
    <row r="145" spans="1:16" ht="15" hidden="1" customHeight="1" outlineLevel="1">
      <c r="A145" s="7"/>
      <c r="B145" s="6"/>
      <c r="C145" s="1966" t="s">
        <v>24</v>
      </c>
      <c r="D145" s="1966"/>
      <c r="E145" s="1966"/>
      <c r="F145" s="1966"/>
      <c r="G145" s="1952" t="s">
        <v>1532</v>
      </c>
      <c r="H145" s="1953"/>
      <c r="I145" s="1954"/>
      <c r="J145" s="1970" t="s">
        <v>1419</v>
      </c>
      <c r="K145" s="6"/>
      <c r="L145" s="6"/>
      <c r="M145" s="6"/>
      <c r="N145" s="1418"/>
      <c r="O145" s="7"/>
    </row>
    <row r="146" spans="1:16" hidden="1" outlineLevel="1">
      <c r="A146" s="7"/>
      <c r="B146" s="6"/>
      <c r="C146" s="1967"/>
      <c r="D146" s="1967"/>
      <c r="E146" s="1967"/>
      <c r="F146" s="1967"/>
      <c r="G146" s="1955"/>
      <c r="H146" s="1956"/>
      <c r="I146" s="1957"/>
      <c r="J146" s="1971"/>
      <c r="K146" s="6"/>
      <c r="L146" s="6"/>
      <c r="M146" s="6"/>
      <c r="N146" s="1418"/>
      <c r="O146" s="541"/>
    </row>
    <row r="147" spans="1:16" hidden="1" outlineLevel="1">
      <c r="A147" s="7"/>
      <c r="B147" s="6"/>
      <c r="C147" s="1420" t="s">
        <v>1221</v>
      </c>
      <c r="D147" s="1421"/>
      <c r="E147" s="1421"/>
      <c r="F147" s="1421"/>
      <c r="G147" s="1958"/>
      <c r="H147" s="1959"/>
      <c r="I147" s="1960"/>
      <c r="J147" s="1972"/>
      <c r="K147" s="6"/>
      <c r="L147" s="6"/>
      <c r="M147" s="6"/>
      <c r="N147" s="6"/>
      <c r="O147" s="7"/>
    </row>
    <row r="148" spans="1:16" hidden="1" outlineLevel="1">
      <c r="A148" s="7"/>
      <c r="B148" s="6"/>
      <c r="C148" s="1984" t="s">
        <v>1784</v>
      </c>
      <c r="D148" s="1985"/>
      <c r="E148" s="1985"/>
      <c r="F148" s="1986"/>
      <c r="G148" s="1968">
        <f>SUMIF(Isolation!D7:D26,"&gt;="&amp;49,Isolation!W7:W26)</f>
        <v>0</v>
      </c>
      <c r="H148" s="1969"/>
      <c r="I148" s="153" t="s">
        <v>26</v>
      </c>
      <c r="J148" s="1423" t="str">
        <f>IFERROR(IF(IF(MIN(F43:F62)=0,SMALL(F43:F62,2),SMALL(F43:F62,1))&lt;49,"Note 4",""),"N/A")</f>
        <v>N/A</v>
      </c>
      <c r="K148" s="6"/>
      <c r="L148" s="6"/>
      <c r="M148" s="6"/>
      <c r="N148" s="6"/>
      <c r="O148" s="7"/>
      <c r="P148" s="1424" t="str">
        <f>IF(OR(J148="",J148="N/A"),"",1)</f>
        <v/>
      </c>
    </row>
    <row r="149" spans="1:16" hidden="1" outlineLevel="1">
      <c r="A149" s="7"/>
      <c r="B149" s="6"/>
      <c r="C149" s="1984" t="s">
        <v>31</v>
      </c>
      <c r="D149" s="1985"/>
      <c r="E149" s="1985"/>
      <c r="F149" s="1986"/>
      <c r="G149" s="1968">
        <f>SUMIF(F67:F76,"&gt;="&amp;49,I67:I76)*Subvention!E28</f>
        <v>0</v>
      </c>
      <c r="H149" s="1969"/>
      <c r="I149" s="153" t="s">
        <v>26</v>
      </c>
      <c r="J149" s="1423" t="str">
        <f>IFERROR(IF(IF(MIN(F67:F76)=0,SMALL(F67:F76,2),SMALL(F67:F76,1))&lt;49,"Note 4",""),"N/A")</f>
        <v>N/A</v>
      </c>
      <c r="K149" s="6"/>
      <c r="L149" s="6"/>
      <c r="M149" s="6"/>
      <c r="N149" s="6"/>
      <c r="O149" s="7"/>
      <c r="P149" s="1424" t="str">
        <f t="shared" ref="P149:P153" si="5">IF(OR(J149="",J149="N/A"),"",1)</f>
        <v/>
      </c>
    </row>
    <row r="150" spans="1:16" hidden="1" outlineLevel="1">
      <c r="A150" s="7"/>
      <c r="B150" s="6"/>
      <c r="C150" s="1984" t="s">
        <v>32</v>
      </c>
      <c r="D150" s="1985"/>
      <c r="E150" s="1985"/>
      <c r="F150" s="1986"/>
      <c r="G150" s="1968">
        <f>SUMIF(F81:F90,"&gt;="&amp;49,I81:I90)*Subvention!E29</f>
        <v>0</v>
      </c>
      <c r="H150" s="1969"/>
      <c r="I150" s="153" t="s">
        <v>26</v>
      </c>
      <c r="J150" s="1423" t="str">
        <f>IFERROR(IF(IF(MIN(F81:F90)=0,SMALL(F81:F90,2),SMALL(F81:F90,1))&lt;49,"Note 4",""),"N/A")</f>
        <v>N/A</v>
      </c>
      <c r="K150" s="6"/>
      <c r="L150" s="6"/>
      <c r="M150" s="6"/>
      <c r="N150" s="6"/>
      <c r="O150" s="7"/>
      <c r="P150" s="1424" t="str">
        <f t="shared" si="5"/>
        <v/>
      </c>
    </row>
    <row r="151" spans="1:16" hidden="1" outlineLevel="1">
      <c r="A151" s="7"/>
      <c r="B151" s="6"/>
      <c r="C151" s="1984" t="s">
        <v>33</v>
      </c>
      <c r="D151" s="1985"/>
      <c r="E151" s="1985"/>
      <c r="F151" s="1986"/>
      <c r="G151" s="1941">
        <f>MIN(SUMIF(Isolation!D47:D56,"&gt;="&amp;49,Isolation!U47:U56)*Subvention!E31,Subvention!$L$20)</f>
        <v>0</v>
      </c>
      <c r="H151" s="1942"/>
      <c r="I151" s="153" t="s">
        <v>26</v>
      </c>
      <c r="J151" s="1423" t="str">
        <f>IFERROR(IF(IF(MIN(F95:F104)=0,SMALL(F95:F104,2),SMALL(F95:F104,1))&lt;49,"Note 4",""),"N/A")</f>
        <v>N/A</v>
      </c>
      <c r="K151" s="6"/>
      <c r="L151" s="6"/>
      <c r="M151" s="6"/>
      <c r="N151" s="6"/>
      <c r="O151" s="7"/>
      <c r="P151" s="1424" t="str">
        <f t="shared" si="5"/>
        <v/>
      </c>
    </row>
    <row r="152" spans="1:16" hidden="1" outlineLevel="1">
      <c r="A152" s="7"/>
      <c r="B152" s="6"/>
      <c r="C152" s="1746"/>
      <c r="D152" s="1747"/>
      <c r="E152" s="1747"/>
      <c r="F152" s="1748" t="s">
        <v>1990</v>
      </c>
      <c r="G152" s="1941">
        <f>SUMIF(Isolation!D92:D101,"&gt;="&amp;49,Isolation!W92:W101)</f>
        <v>0</v>
      </c>
      <c r="H152" s="1942"/>
      <c r="I152" s="153" t="s">
        <v>26</v>
      </c>
      <c r="J152" s="1423" t="str">
        <f>IFERROR(IF(IF(MIN(F109:F118)=0,SMALL(F109:F118,2),SMALL(F109:F118,1))&lt;49,"Note 4",""),"N/A")</f>
        <v>N/A</v>
      </c>
      <c r="K152" s="6"/>
      <c r="L152" s="6"/>
      <c r="M152" s="6"/>
      <c r="N152" s="6"/>
      <c r="O152" s="7"/>
      <c r="P152" s="1424" t="str">
        <f>IF(OR(J152="",J152="N/A"),"",1)</f>
        <v/>
      </c>
    </row>
    <row r="153" spans="1:16" hidden="1" outlineLevel="1">
      <c r="A153" s="7"/>
      <c r="B153" s="6"/>
      <c r="C153" s="1984" t="s">
        <v>34</v>
      </c>
      <c r="D153" s="1985"/>
      <c r="E153" s="1985"/>
      <c r="F153" s="1986"/>
      <c r="G153" s="1968">
        <f>MIN(SUMIF(Isolation!D77:D86,"&gt;="&amp;49,Isolation!S77:S86)*Subvention!E32,Subvention!$L$20)</f>
        <v>0</v>
      </c>
      <c r="H153" s="1969"/>
      <c r="I153" s="153" t="s">
        <v>26</v>
      </c>
      <c r="J153" s="1423" t="str">
        <f>IFERROR(IF(IF(MIN(F125:F134)=0,SMALL(F125:F134,2),SMALL(F125:F134,1))&lt;49,"Note 4",""),"N/A")</f>
        <v>N/A</v>
      </c>
      <c r="K153" s="6"/>
      <c r="L153" s="6"/>
      <c r="M153" s="6"/>
      <c r="N153" s="6"/>
      <c r="O153" s="7"/>
      <c r="P153" s="1424" t="str">
        <f t="shared" si="5"/>
        <v/>
      </c>
    </row>
    <row r="154" spans="1:16" hidden="1" outlineLevel="1">
      <c r="A154" s="7"/>
      <c r="B154" s="6"/>
      <c r="C154" s="1951" t="s">
        <v>1533</v>
      </c>
      <c r="D154" s="1951"/>
      <c r="E154" s="1951"/>
      <c r="F154" s="1951"/>
      <c r="G154" s="1965">
        <f>SUM(G148:H153)</f>
        <v>0</v>
      </c>
      <c r="H154" s="1965"/>
      <c r="I154" s="1425" t="s">
        <v>26</v>
      </c>
      <c r="J154" s="1426"/>
      <c r="K154" s="6"/>
      <c r="L154" s="6"/>
      <c r="M154" s="6"/>
      <c r="N154" s="6"/>
      <c r="O154" s="7"/>
      <c r="P154" s="1422">
        <f>SUM(P148:P153)</f>
        <v>0</v>
      </c>
    </row>
    <row r="155" spans="1:16" hidden="1" outlineLevel="1">
      <c r="A155" s="7"/>
      <c r="B155" s="6"/>
      <c r="C155" s="1427"/>
      <c r="D155" s="1427"/>
      <c r="E155" s="1427"/>
      <c r="F155" s="1427"/>
      <c r="G155" s="1428"/>
      <c r="H155" s="1428"/>
      <c r="I155" s="1429"/>
      <c r="J155" s="1430"/>
      <c r="K155" s="1430"/>
      <c r="L155" s="1430"/>
      <c r="M155" s="1430"/>
      <c r="N155" s="6"/>
      <c r="O155" s="7"/>
    </row>
    <row r="156" spans="1:16" ht="6.75" hidden="1" customHeight="1" outlineLevel="1">
      <c r="A156" s="7"/>
      <c r="B156" s="6"/>
      <c r="C156" s="1427"/>
      <c r="D156" s="1431" t="s">
        <v>1536</v>
      </c>
      <c r="E156" s="1427"/>
      <c r="F156" s="1427"/>
      <c r="G156" s="1432"/>
      <c r="H156" s="1432"/>
      <c r="I156" s="1428"/>
      <c r="J156" s="1428"/>
      <c r="K156" s="1428"/>
      <c r="L156" s="1428"/>
      <c r="M156" s="1428"/>
      <c r="N156" s="1428"/>
      <c r="O156" s="783"/>
    </row>
    <row r="157" spans="1:16" hidden="1" outlineLevel="1">
      <c r="A157" s="7"/>
      <c r="B157" s="6"/>
      <c r="C157" s="6"/>
      <c r="D157" s="1431" t="s">
        <v>1627</v>
      </c>
      <c r="E157" s="6"/>
      <c r="F157" s="1404"/>
      <c r="G157" s="1432"/>
      <c r="H157" s="1432"/>
      <c r="I157" s="1428"/>
      <c r="J157" s="1428"/>
      <c r="K157" s="1428"/>
      <c r="L157" s="1428"/>
      <c r="M157" s="1428"/>
      <c r="N157" s="1428"/>
      <c r="O157" s="783"/>
    </row>
    <row r="158" spans="1:16" ht="9" hidden="1" customHeight="1" outlineLevel="1">
      <c r="A158" s="7"/>
      <c r="B158" s="6"/>
      <c r="C158" s="6"/>
      <c r="D158" s="6"/>
      <c r="E158" s="6"/>
      <c r="F158" s="6"/>
      <c r="G158" s="6"/>
      <c r="H158" s="6"/>
      <c r="I158" s="6"/>
      <c r="J158" s="6"/>
      <c r="K158" s="6"/>
      <c r="L158" s="6"/>
      <c r="M158" s="6"/>
      <c r="N158" s="6"/>
      <c r="O158" s="7"/>
    </row>
    <row r="159" spans="1:16" collapsed="1">
      <c r="A159" s="7"/>
      <c r="B159" s="1411"/>
      <c r="C159" s="1382"/>
      <c r="D159" s="1383" t="s">
        <v>1741</v>
      </c>
      <c r="E159" s="1384"/>
      <c r="F159" s="1384"/>
      <c r="G159" s="1384"/>
      <c r="H159" s="1384"/>
      <c r="I159" s="1384"/>
      <c r="J159" s="1384"/>
      <c r="K159" s="1385"/>
      <c r="L159" s="1385"/>
      <c r="M159" s="1386"/>
      <c r="N159" s="1267"/>
      <c r="O159" s="7"/>
    </row>
    <row r="160" spans="1:16">
      <c r="A160" s="7"/>
      <c r="B160" s="1387"/>
      <c r="C160" s="1387"/>
      <c r="D160" s="1388"/>
      <c r="E160" s="1389"/>
      <c r="F160" s="1389"/>
      <c r="G160" s="1389"/>
      <c r="H160" s="1389"/>
      <c r="I160" s="1389"/>
      <c r="J160" s="1389"/>
      <c r="K160" s="1390"/>
      <c r="L160" s="1390"/>
      <c r="M160" s="1391"/>
      <c r="N160" s="1392"/>
      <c r="O160" s="7"/>
    </row>
    <row r="161" spans="1:19" s="1414" customFormat="1" ht="15" customHeight="1">
      <c r="A161" s="508"/>
      <c r="B161" s="1412"/>
      <c r="C161" s="1433"/>
      <c r="D161" s="1961" t="s">
        <v>1630</v>
      </c>
      <c r="E161" s="1961"/>
      <c r="F161" s="1961"/>
      <c r="G161" s="1961"/>
      <c r="H161" s="1961"/>
      <c r="I161" s="1961"/>
      <c r="J161" s="1961"/>
      <c r="K161" s="1961"/>
      <c r="L161" s="1961"/>
      <c r="M161" s="1962"/>
      <c r="N161" s="1412"/>
      <c r="O161" s="508"/>
    </row>
    <row r="162" spans="1:19" s="1414" customFormat="1" ht="15" customHeight="1">
      <c r="A162" s="508"/>
      <c r="B162" s="1412"/>
      <c r="C162" s="1415"/>
      <c r="D162" s="1963"/>
      <c r="E162" s="1963"/>
      <c r="F162" s="1963"/>
      <c r="G162" s="1963"/>
      <c r="H162" s="1963"/>
      <c r="I162" s="1963"/>
      <c r="J162" s="1963"/>
      <c r="K162" s="1963"/>
      <c r="L162" s="1963"/>
      <c r="M162" s="1964"/>
      <c r="N162" s="1412"/>
      <c r="O162" s="508"/>
    </row>
    <row r="163" spans="1:19">
      <c r="A163" s="7"/>
      <c r="B163" s="1387"/>
      <c r="C163" s="1387"/>
      <c r="D163" s="1388"/>
      <c r="E163" s="1389"/>
      <c r="F163" s="1389"/>
      <c r="G163" s="1389"/>
      <c r="H163" s="1389"/>
      <c r="I163" s="1389"/>
      <c r="J163" s="1389"/>
      <c r="K163" s="1390"/>
      <c r="L163" s="1390"/>
      <c r="M163" s="1391"/>
      <c r="N163" s="1392"/>
      <c r="O163" s="7"/>
    </row>
    <row r="164" spans="1:19" ht="15" customHeight="1">
      <c r="A164" s="7"/>
      <c r="B164" s="6"/>
      <c r="C164" s="1973" t="s">
        <v>1563</v>
      </c>
      <c r="D164" s="1974"/>
      <c r="E164" s="1974"/>
      <c r="F164" s="1975"/>
      <c r="G164" s="1994" t="s">
        <v>1757</v>
      </c>
      <c r="H164" s="1995"/>
      <c r="I164" s="1994" t="s">
        <v>1758</v>
      </c>
      <c r="J164" s="1995"/>
      <c r="K164" s="1434"/>
      <c r="L164" s="1435"/>
      <c r="M164" s="6"/>
      <c r="N164" s="1418"/>
      <c r="O164" s="7"/>
    </row>
    <row r="165" spans="1:19">
      <c r="A165" s="7"/>
      <c r="B165" s="6"/>
      <c r="C165" s="1976"/>
      <c r="D165" s="1966"/>
      <c r="E165" s="1966"/>
      <c r="F165" s="1977"/>
      <c r="G165" s="1996"/>
      <c r="H165" s="1997"/>
      <c r="I165" s="1996"/>
      <c r="J165" s="1997"/>
      <c r="K165" s="1434"/>
      <c r="L165" s="1435"/>
      <c r="M165" s="6"/>
      <c r="N165" s="1418"/>
      <c r="O165" s="541"/>
      <c r="P165" s="1419"/>
      <c r="Q165" s="1419"/>
      <c r="R165" s="1419"/>
      <c r="S165" s="1419"/>
    </row>
    <row r="166" spans="1:19" ht="15.75" thickBot="1">
      <c r="A166" s="7"/>
      <c r="B166" s="6"/>
      <c r="C166" s="1978"/>
      <c r="D166" s="1967"/>
      <c r="E166" s="1967"/>
      <c r="F166" s="1979"/>
      <c r="G166" s="1996"/>
      <c r="H166" s="1997"/>
      <c r="I166" s="1996"/>
      <c r="J166" s="1997"/>
      <c r="K166" s="1434"/>
      <c r="L166" s="1435"/>
      <c r="M166" s="6"/>
      <c r="N166" s="1418"/>
      <c r="O166" s="541"/>
      <c r="P166" s="1419"/>
      <c r="Q166" s="1419"/>
      <c r="R166" s="1419"/>
      <c r="S166" s="1419"/>
    </row>
    <row r="167" spans="1:19">
      <c r="A167" s="7"/>
      <c r="B167" s="6"/>
      <c r="C167" s="1987" t="s">
        <v>1784</v>
      </c>
      <c r="D167" s="1988"/>
      <c r="E167" s="1988"/>
      <c r="F167" s="1988"/>
      <c r="G167" s="1947">
        <f>SUM(Isolation!R7:R26)*I17</f>
        <v>0</v>
      </c>
      <c r="H167" s="1948"/>
      <c r="I167" s="1998" t="str">
        <f>IF(OR(I20=0,""),"-",SUM(Isolation!P7:P26)*I20/'Facteurs conversion'!$C$5/1000/1000)</f>
        <v>-</v>
      </c>
      <c r="J167" s="1999"/>
      <c r="K167" s="1436"/>
      <c r="L167" s="1437"/>
      <c r="M167" s="6"/>
      <c r="N167" s="6"/>
      <c r="O167" s="7"/>
    </row>
    <row r="168" spans="1:19">
      <c r="A168" s="7"/>
      <c r="B168" s="6"/>
      <c r="C168" s="1987" t="s">
        <v>31</v>
      </c>
      <c r="D168" s="1988"/>
      <c r="E168" s="1988"/>
      <c r="F168" s="1988"/>
      <c r="G168" s="1943">
        <f>SUM(Isolation!R62:R71)*I17</f>
        <v>0</v>
      </c>
      <c r="H168" s="1944"/>
      <c r="I168" s="1945" t="str">
        <f>IF(OR(I20=0,""),"-",SUM(Isolation!P62:P71)*I20/'Facteurs conversion'!$C$5/1000/1000)</f>
        <v>-</v>
      </c>
      <c r="J168" s="1946"/>
      <c r="K168" s="1436"/>
      <c r="L168" s="1437"/>
      <c r="M168" s="6"/>
      <c r="N168" s="6"/>
      <c r="O168" s="7"/>
    </row>
    <row r="169" spans="1:19">
      <c r="A169" s="7"/>
      <c r="B169" s="6"/>
      <c r="C169" s="1987" t="s">
        <v>32</v>
      </c>
      <c r="D169" s="1988"/>
      <c r="E169" s="1988"/>
      <c r="F169" s="1988"/>
      <c r="G169" s="1943">
        <f>SUM(Isolation!R32:R41)*I17</f>
        <v>0</v>
      </c>
      <c r="H169" s="1944"/>
      <c r="I169" s="1945" t="str">
        <f>IF(OR(I20=0,""),"-",SUM(Isolation!P32:P41)*I20/'Facteurs conversion'!$C$5/1000/1000)</f>
        <v>-</v>
      </c>
      <c r="J169" s="1946"/>
      <c r="K169" s="1436"/>
      <c r="L169" s="1437"/>
      <c r="M169" s="6"/>
      <c r="N169" s="6"/>
      <c r="O169" s="7"/>
    </row>
    <row r="170" spans="1:19">
      <c r="A170" s="7"/>
      <c r="B170" s="6"/>
      <c r="C170" s="1987" t="s">
        <v>33</v>
      </c>
      <c r="D170" s="1988"/>
      <c r="E170" s="1988"/>
      <c r="F170" s="1988"/>
      <c r="G170" s="1943">
        <f>SUM(Isolation!R47:R56)*I17</f>
        <v>0</v>
      </c>
      <c r="H170" s="1944"/>
      <c r="I170" s="1945" t="str">
        <f>IF(OR(I20=0,""),"-",SUM(Isolation!P47:P56)*I20/'Facteurs conversion'!$C$5/1000/1000)</f>
        <v>-</v>
      </c>
      <c r="J170" s="1946"/>
      <c r="K170" s="1436"/>
      <c r="L170" s="1437"/>
      <c r="M170" s="6"/>
      <c r="N170" s="6"/>
      <c r="O170" s="7"/>
    </row>
    <row r="171" spans="1:19">
      <c r="A171" s="7"/>
      <c r="B171" s="6"/>
      <c r="C171" s="1749" t="s">
        <v>1990</v>
      </c>
      <c r="D171" s="1750"/>
      <c r="E171" s="1750"/>
      <c r="F171" s="1750"/>
      <c r="G171" s="1943">
        <f>SUM(Isolation!R92:R101)*I17</f>
        <v>0</v>
      </c>
      <c r="H171" s="1944"/>
      <c r="I171" s="1945" t="str">
        <f>IF(OR(I20=0,""),"-",SUM(Isolation!P92:P101)*I20/'Facteurs conversion'!$C$5/1000/1000)</f>
        <v>-</v>
      </c>
      <c r="J171" s="1946"/>
      <c r="K171" s="1436"/>
      <c r="L171" s="1437"/>
      <c r="M171" s="6"/>
      <c r="N171" s="6"/>
      <c r="O171" s="7"/>
    </row>
    <row r="172" spans="1:19" ht="15.75" thickBot="1">
      <c r="A172" s="7"/>
      <c r="B172" s="6"/>
      <c r="C172" s="1987" t="s">
        <v>34</v>
      </c>
      <c r="D172" s="1988"/>
      <c r="E172" s="1988"/>
      <c r="F172" s="1988"/>
      <c r="G172" s="1990">
        <f>SUM(Isolation!R77:R86)*I17</f>
        <v>0</v>
      </c>
      <c r="H172" s="1991"/>
      <c r="I172" s="1992" t="str">
        <f>IF(OR(I20=0,""),"-",SUM(Isolation!P77:P86)*I20/'Facteurs conversion'!$C$5/1000/1000)</f>
        <v>-</v>
      </c>
      <c r="J172" s="1993"/>
      <c r="K172" s="1436"/>
      <c r="L172" s="1437"/>
      <c r="M172" s="6"/>
      <c r="N172" s="6"/>
      <c r="O172" s="7"/>
    </row>
    <row r="173" spans="1:19">
      <c r="A173" s="7"/>
      <c r="B173" s="6"/>
      <c r="C173" s="1989" t="s">
        <v>1457</v>
      </c>
      <c r="D173" s="1989"/>
      <c r="E173" s="1989"/>
      <c r="F173" s="1989"/>
      <c r="G173" s="1983">
        <f>SUM(G167:H172)</f>
        <v>0</v>
      </c>
      <c r="H173" s="1983"/>
      <c r="I173" s="1983">
        <f>SUM(I167:J172)</f>
        <v>0</v>
      </c>
      <c r="J173" s="1983"/>
      <c r="K173" s="1436"/>
      <c r="L173" s="1437"/>
      <c r="M173" s="6"/>
      <c r="N173" s="6"/>
      <c r="O173" s="7"/>
    </row>
    <row r="174" spans="1:19" ht="6.75" customHeight="1">
      <c r="A174" s="7"/>
      <c r="B174" s="6"/>
      <c r="C174" s="1989"/>
      <c r="D174" s="1989" t="s">
        <v>22</v>
      </c>
      <c r="E174" s="1989"/>
      <c r="F174" s="1989"/>
      <c r="G174" s="1428"/>
      <c r="H174" s="1428"/>
      <c r="I174" s="1428"/>
      <c r="J174" s="1428"/>
      <c r="K174" s="1428"/>
      <c r="L174" s="1428"/>
      <c r="M174" s="1438"/>
      <c r="N174" s="6"/>
      <c r="O174" s="7"/>
    </row>
    <row r="175" spans="1:19">
      <c r="A175" s="7"/>
      <c r="B175" s="6"/>
      <c r="C175" s="6"/>
      <c r="D175" s="6"/>
      <c r="E175" s="6"/>
      <c r="F175" s="6"/>
      <c r="G175" s="1439"/>
      <c r="H175" s="6"/>
      <c r="I175" s="6"/>
      <c r="J175" s="6"/>
      <c r="K175" s="6"/>
      <c r="L175" s="6"/>
      <c r="M175" s="1430"/>
      <c r="N175" s="6"/>
      <c r="O175" s="7"/>
      <c r="P175" s="1419"/>
    </row>
    <row r="176" spans="1:19" ht="6.75" customHeight="1">
      <c r="A176" s="7"/>
      <c r="B176" s="6"/>
      <c r="C176" s="6"/>
      <c r="D176" s="6"/>
      <c r="E176" s="6"/>
      <c r="F176" s="6"/>
      <c r="G176" s="6"/>
      <c r="H176" s="6"/>
      <c r="I176" s="6"/>
      <c r="J176" s="6"/>
      <c r="K176" s="6"/>
      <c r="L176" s="6"/>
      <c r="M176" s="6"/>
      <c r="N176" s="6"/>
      <c r="O176" s="7"/>
    </row>
    <row r="177" spans="1:15">
      <c r="A177" s="7"/>
      <c r="B177" s="7"/>
      <c r="C177" s="7"/>
      <c r="D177" s="7"/>
      <c r="E177" s="7"/>
      <c r="F177" s="7"/>
      <c r="G177" s="7"/>
      <c r="H177" s="7"/>
      <c r="I177" s="7"/>
      <c r="J177" s="7"/>
      <c r="K177" s="7"/>
      <c r="L177" s="7"/>
      <c r="M177" s="525"/>
      <c r="N177" s="573"/>
      <c r="O177" s="7"/>
    </row>
    <row r="178" spans="1:15">
      <c r="J178" s="1440"/>
    </row>
    <row r="179" spans="1:15">
      <c r="J179" s="1440"/>
    </row>
    <row r="180" spans="1:15">
      <c r="E180" s="1440"/>
      <c r="F180" s="1440"/>
      <c r="G180" s="1440"/>
      <c r="H180" s="1440"/>
      <c r="I180" s="1440"/>
      <c r="J180" s="1440"/>
    </row>
    <row r="181" spans="1:15">
      <c r="E181" s="1440"/>
      <c r="F181" s="1440"/>
      <c r="G181" s="1440"/>
      <c r="H181" s="1440"/>
      <c r="I181" s="1440"/>
      <c r="J181" s="1440"/>
    </row>
    <row r="182" spans="1:15">
      <c r="E182" s="1440"/>
      <c r="F182" s="1440"/>
      <c r="G182" s="1440"/>
      <c r="H182" s="1440"/>
      <c r="I182" s="1440"/>
      <c r="J182" s="1440"/>
    </row>
    <row r="183" spans="1:15">
      <c r="J183" s="1440"/>
    </row>
    <row r="184" spans="1:15">
      <c r="J184" s="1440"/>
    </row>
  </sheetData>
  <sheetProtection algorithmName="SHA-512" hashValue="zjEs+can12dC39JaPUx3fWISkO7KWiN99kI8wmE2ePFUxN8not2TFBZB87kJWCc27oTbeniroi7N0hGmGpD7/Q==" saltValue="yUdAyYso4JjQ6VZ5/gIIHQ==" spinCount="100000" sheet="1" objects="1" scenarios="1"/>
  <mergeCells count="52">
    <mergeCell ref="I169:J169"/>
    <mergeCell ref="I170:J170"/>
    <mergeCell ref="I172:J172"/>
    <mergeCell ref="I173:J173"/>
    <mergeCell ref="G164:H166"/>
    <mergeCell ref="I164:J166"/>
    <mergeCell ref="G169:H169"/>
    <mergeCell ref="G170:H170"/>
    <mergeCell ref="I167:J167"/>
    <mergeCell ref="I168:J168"/>
    <mergeCell ref="D142:M143"/>
    <mergeCell ref="C148:F148"/>
    <mergeCell ref="G148:H148"/>
    <mergeCell ref="C149:F149"/>
    <mergeCell ref="G149:H149"/>
    <mergeCell ref="C164:F166"/>
    <mergeCell ref="J42:L42"/>
    <mergeCell ref="D33:J33"/>
    <mergeCell ref="G173:H173"/>
    <mergeCell ref="C150:F150"/>
    <mergeCell ref="C151:F151"/>
    <mergeCell ref="G151:H151"/>
    <mergeCell ref="C153:F153"/>
    <mergeCell ref="G153:H153"/>
    <mergeCell ref="C167:F167"/>
    <mergeCell ref="C168:F168"/>
    <mergeCell ref="C169:F169"/>
    <mergeCell ref="C173:F174"/>
    <mergeCell ref="C170:F170"/>
    <mergeCell ref="C172:F172"/>
    <mergeCell ref="G172:H172"/>
    <mergeCell ref="I26:I27"/>
    <mergeCell ref="D22:I22"/>
    <mergeCell ref="D25:I25"/>
    <mergeCell ref="G152:H152"/>
    <mergeCell ref="G171:H171"/>
    <mergeCell ref="I171:J171"/>
    <mergeCell ref="G167:H167"/>
    <mergeCell ref="G168:H168"/>
    <mergeCell ref="E30:F30"/>
    <mergeCell ref="C154:F154"/>
    <mergeCell ref="G145:I147"/>
    <mergeCell ref="D161:M162"/>
    <mergeCell ref="G154:H154"/>
    <mergeCell ref="C145:F146"/>
    <mergeCell ref="G150:H150"/>
    <mergeCell ref="J145:J147"/>
    <mergeCell ref="I17:I18"/>
    <mergeCell ref="D16:I16"/>
    <mergeCell ref="I20:I21"/>
    <mergeCell ref="D19:I19"/>
    <mergeCell ref="I23:I24"/>
  </mergeCells>
  <conditionalFormatting sqref="F43:F62 F67:F76">
    <cfRule type="expression" dxfId="68" priority="15">
      <formula>AND($F43&gt;0,$F43&lt;49)</formula>
    </cfRule>
  </conditionalFormatting>
  <conditionalFormatting sqref="F81:F90">
    <cfRule type="expression" dxfId="67" priority="24">
      <formula>AND($F81&gt;0,$F81&lt;49)</formula>
    </cfRule>
  </conditionalFormatting>
  <conditionalFormatting sqref="F95:F104">
    <cfRule type="expression" dxfId="66" priority="23">
      <formula>AND($F95&gt;0,$F95&lt;49)</formula>
    </cfRule>
  </conditionalFormatting>
  <conditionalFormatting sqref="F109:F118">
    <cfRule type="expression" dxfId="65" priority="1">
      <formula>AND($F109&gt;0,$F109&lt;49)</formula>
    </cfRule>
  </conditionalFormatting>
  <conditionalFormatting sqref="F125:F134">
    <cfRule type="expression" dxfId="64" priority="14">
      <formula>AND($F125&gt;0,$F125&lt;49)</formula>
    </cfRule>
  </conditionalFormatting>
  <conditionalFormatting sqref="G154:I155">
    <cfRule type="expression" dxfId="63" priority="87">
      <formula>ISBLANK(#REF!)</formula>
    </cfRule>
  </conditionalFormatting>
  <conditionalFormatting sqref="I17">
    <cfRule type="cellIs" dxfId="62" priority="27" operator="greaterThan">
      <formula>0.499</formula>
    </cfRule>
    <cfRule type="cellIs" dxfId="61" priority="29" operator="lessThan">
      <formula>0.5</formula>
    </cfRule>
  </conditionalFormatting>
  <conditionalFormatting sqref="J148:J153">
    <cfRule type="containsText" dxfId="60" priority="22" operator="containsText" text="Note">
      <formula>NOT(ISERROR(SEARCH("Note",J148)))</formula>
    </cfRule>
  </conditionalFormatting>
  <conditionalFormatting sqref="J154:J155">
    <cfRule type="containsText" dxfId="59" priority="18" operator="containsText" text="Veuillez">
      <formula>NOT(ISERROR(SEARCH("Veuillez",J154)))</formula>
    </cfRule>
  </conditionalFormatting>
  <conditionalFormatting sqref="L148:M148 J148:J153 P148:P153 L150:M153">
    <cfRule type="cellIs" dxfId="58" priority="21" operator="equal">
      <formula>"OK"</formula>
    </cfRule>
  </conditionalFormatting>
  <dataValidations xWindow="819" yWindow="627" count="3">
    <dataValidation allowBlank="1" showInputMessage="1" showErrorMessage="1" prompt="Voir le schéma à droite pour plus de détails sur le diamètre nominal" sqref="E42" xr:uid="{858349A3-9F13-4FFC-B10F-CFA6B6514250}"/>
    <dataValidation allowBlank="1" showErrorMessage="1" promptTitle="Âge de la chaudière" sqref="C33:D33" xr:uid="{3C018402-95E4-4FBD-9CF8-1A6780518AC7}"/>
    <dataValidation allowBlank="1" showInputMessage="1" showErrorMessage="1" promptTitle="Température minimale" prompt="Les équipements et accessoires doivent être installés sur un réseau de vapeur ayant une température supérieure à 49°C. Si ce critère n'est pas respecté, la subvention ne pourra pas être appliquée." sqref="F42 F66 F80 F94 F108 F124" xr:uid="{A7D5031D-049F-4F23-9815-4CA674372D05}"/>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104775</xdr:colOff>
                    <xdr:row>30</xdr:row>
                    <xdr:rowOff>66675</xdr:rowOff>
                  </from>
                  <to>
                    <xdr:col>3</xdr:col>
                    <xdr:colOff>371475</xdr:colOff>
                    <xdr:row>34</xdr:row>
                    <xdr:rowOff>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121</xdr:row>
                    <xdr:rowOff>0</xdr:rowOff>
                  </from>
                  <to>
                    <xdr:col>3</xdr:col>
                    <xdr:colOff>333375</xdr:colOff>
                    <xdr:row>122</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4">
        <x14:dataValidation type="list" allowBlank="1" showInputMessage="1" showErrorMessage="1" xr:uid="{2F40AEC7-F834-49F1-A85D-245738B8C894}">
          <x14:formula1>
            <xm:f>'Menus déroulants'!$C$88:$C$90</xm:f>
          </x14:formula1>
          <xm:sqref>G95:G104 G125:G134 G81:G90 G67:G76 G43:G62 G109:G118</xm:sqref>
        </x14:dataValidation>
        <x14:dataValidation type="list" allowBlank="1" showInputMessage="1" showErrorMessage="1" xr:uid="{F67D61C6-9258-4174-9B0E-6E0B889022D4}">
          <x14:formula1>
            <xm:f>'Menus déroulants'!$C$93:$C$99</xm:f>
          </x14:formula1>
          <xm:sqref>D43:D62</xm:sqref>
        </x14:dataValidation>
        <x14:dataValidation type="list" allowBlank="1" showInputMessage="1" showErrorMessage="1" xr:uid="{77FE9164-FBD0-44B9-9023-DB5864EDE3A7}">
          <x14:formula1>
            <xm:f>'Menus déroulants'!$C$102:$C$104</xm:f>
          </x14:formula1>
          <xm:sqref>G11</xm:sqref>
        </x14:dataValidation>
        <x14:dataValidation type="list" allowBlank="1" showInputMessage="1" showErrorMessage="1" xr:uid="{45B42825-3B70-41F9-B426-04D046F099E6}">
          <x14:formula1>
            <xm:f>'Menus déroulants'!$C$42:$C$44</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4717"/>
  <sheetViews>
    <sheetView workbookViewId="0">
      <selection activeCell="G173" sqref="G173:H173"/>
    </sheetView>
  </sheetViews>
  <sheetFormatPr baseColWidth="10" defaultColWidth="11.42578125" defaultRowHeight="15" outlineLevelRow="1" outlineLevelCol="1"/>
  <cols>
    <col min="1" max="2" width="3.140625" style="1071" customWidth="1"/>
    <col min="3" max="3" width="6.5703125" style="1071" customWidth="1"/>
    <col min="4" max="4" width="55.42578125" style="1071" customWidth="1"/>
    <col min="5" max="5" width="21.85546875" style="1071" customWidth="1"/>
    <col min="6" max="6" width="3.5703125" style="1071" customWidth="1"/>
    <col min="7" max="7" width="19.140625" style="1071" customWidth="1"/>
    <col min="8" max="8" width="5.85546875" style="1071" customWidth="1"/>
    <col min="9" max="9" width="19.140625" style="1071" customWidth="1"/>
    <col min="10" max="10" width="5.85546875" style="1071" customWidth="1"/>
    <col min="11" max="11" width="19.140625" style="1071" customWidth="1"/>
    <col min="12" max="12" width="5.85546875" style="1071" customWidth="1"/>
    <col min="13" max="13" width="19.140625" style="1071" customWidth="1"/>
    <col min="14" max="14" width="3.140625" style="1071" customWidth="1"/>
    <col min="15" max="15" width="13.42578125" style="1441" customWidth="1"/>
    <col min="16" max="16" width="3.140625" style="1071" customWidth="1"/>
    <col min="17" max="17" width="3.140625" style="1071" hidden="1" customWidth="1" outlineLevel="1"/>
    <col min="18" max="18" width="14.5703125" style="1071" hidden="1" customWidth="1" outlineLevel="1"/>
    <col min="19" max="19" width="21.5703125" style="1071" hidden="1" customWidth="1" outlineLevel="1"/>
    <col min="20" max="20" width="23.140625" style="1071" hidden="1" customWidth="1" outlineLevel="1"/>
    <col min="21" max="21" width="7.140625" style="1071" hidden="1" customWidth="1" outlineLevel="1"/>
    <col min="22" max="22" width="15.140625" style="1071" hidden="1" customWidth="1" outlineLevel="1"/>
    <col min="23" max="23" width="3.5703125" style="1071" hidden="1" customWidth="1" outlineLevel="1"/>
    <col min="24" max="24" width="30.5703125" style="7" hidden="1" customWidth="1" outlineLevel="1"/>
    <col min="25" max="25" width="4.42578125" style="1071" customWidth="1" collapsed="1"/>
    <col min="26" max="16384" width="11.42578125" style="1071"/>
  </cols>
  <sheetData>
    <row r="1" spans="1:25" ht="13.5" customHeight="1">
      <c r="A1" s="7"/>
      <c r="B1" s="7"/>
      <c r="C1" s="7"/>
      <c r="D1" s="7"/>
      <c r="E1" s="7"/>
      <c r="F1" s="7"/>
      <c r="G1" s="7"/>
      <c r="H1" s="7"/>
      <c r="I1" s="7"/>
      <c r="J1" s="7"/>
      <c r="K1" s="7"/>
      <c r="L1" s="7"/>
      <c r="M1" s="7"/>
      <c r="N1" s="7"/>
      <c r="O1" s="525"/>
      <c r="P1" s="7"/>
      <c r="Q1" s="7"/>
      <c r="R1" s="7"/>
      <c r="S1" s="7"/>
      <c r="T1" s="7"/>
      <c r="U1" s="7"/>
      <c r="V1" s="7"/>
      <c r="W1" s="7"/>
      <c r="Y1" s="7"/>
    </row>
    <row r="2" spans="1:25" ht="24.75" customHeight="1">
      <c r="A2" s="7"/>
      <c r="B2" s="570" t="s">
        <v>1742</v>
      </c>
      <c r="C2" s="7"/>
      <c r="D2" s="571"/>
      <c r="E2" s="571"/>
      <c r="F2" s="571"/>
      <c r="G2" s="7"/>
      <c r="H2" s="7"/>
      <c r="I2" s="7"/>
      <c r="J2" s="7"/>
      <c r="K2" s="7"/>
      <c r="L2" s="7"/>
      <c r="M2" s="7"/>
      <c r="N2" s="7"/>
      <c r="O2" s="525"/>
      <c r="P2" s="7"/>
      <c r="Q2" s="7"/>
      <c r="R2" s="7"/>
      <c r="S2" s="7"/>
      <c r="T2" s="7"/>
      <c r="U2" s="7"/>
      <c r="V2" s="7"/>
      <c r="W2" s="7"/>
      <c r="Y2" s="7"/>
    </row>
    <row r="3" spans="1:25" ht="18.75" customHeight="1">
      <c r="A3" s="7"/>
      <c r="B3" s="572" t="s">
        <v>0</v>
      </c>
      <c r="C3" s="7"/>
      <c r="D3" s="572"/>
      <c r="E3" s="572"/>
      <c r="F3" s="572"/>
      <c r="G3" s="7"/>
      <c r="H3" s="7"/>
      <c r="I3" s="7"/>
      <c r="J3" s="7"/>
      <c r="K3" s="7"/>
      <c r="L3" s="7"/>
      <c r="M3" s="7"/>
      <c r="N3" s="7"/>
      <c r="O3" s="573"/>
      <c r="P3" s="573"/>
      <c r="Q3" s="7"/>
      <c r="R3" s="7"/>
      <c r="S3" s="7"/>
      <c r="T3" s="7"/>
      <c r="U3" s="7"/>
      <c r="V3" s="7"/>
      <c r="W3" s="7"/>
      <c r="Y3" s="7"/>
    </row>
    <row r="4" spans="1:25" ht="18.75" customHeight="1">
      <c r="A4" s="7"/>
      <c r="B4" s="1379"/>
      <c r="C4" s="7"/>
      <c r="D4" s="7"/>
      <c r="E4" s="7"/>
      <c r="F4" s="7"/>
      <c r="G4" s="7"/>
      <c r="H4" s="7"/>
      <c r="I4" s="7"/>
      <c r="J4" s="7"/>
      <c r="K4" s="7"/>
      <c r="L4" s="7"/>
      <c r="M4" s="7"/>
      <c r="N4" s="7"/>
      <c r="O4" s="573"/>
      <c r="P4" s="573"/>
      <c r="Q4" s="7"/>
      <c r="R4" s="7"/>
      <c r="S4" s="7"/>
      <c r="T4" s="7"/>
      <c r="U4" s="7"/>
      <c r="V4" s="7"/>
      <c r="W4" s="7"/>
      <c r="Y4" s="7"/>
    </row>
    <row r="5" spans="1:25" ht="15" customHeight="1">
      <c r="A5" s="7"/>
      <c r="B5" s="1442"/>
      <c r="C5" s="1443"/>
      <c r="D5" s="990" t="s">
        <v>1739</v>
      </c>
      <c r="E5" s="1098" t="str">
        <f>IF('1. Informations générales'!F8="","",'1. Informations générales'!F8)</f>
        <v>PE242-XXX</v>
      </c>
      <c r="F5" s="1444"/>
      <c r="G5" s="1444"/>
      <c r="H5" s="1444"/>
      <c r="I5" s="1444"/>
      <c r="J5" s="1444"/>
      <c r="K5" s="1445"/>
      <c r="L5" s="1445"/>
      <c r="M5" s="1445"/>
      <c r="N5" s="1445"/>
      <c r="O5" s="1446"/>
      <c r="P5" s="1447"/>
      <c r="Q5" s="7"/>
      <c r="R5" s="7"/>
      <c r="S5" s="7"/>
      <c r="T5" s="7"/>
      <c r="U5" s="7"/>
      <c r="V5" s="7"/>
      <c r="W5" s="7"/>
      <c r="Y5" s="7"/>
    </row>
    <row r="6" spans="1:25" ht="15" customHeight="1">
      <c r="A6" s="7"/>
      <c r="B6" s="1442"/>
      <c r="C6" s="1443"/>
      <c r="D6" s="990"/>
      <c r="E6" s="990"/>
      <c r="F6" s="1444"/>
      <c r="G6" s="1444"/>
      <c r="H6" s="1444"/>
      <c r="I6" s="1444"/>
      <c r="J6" s="1444"/>
      <c r="K6" s="1445"/>
      <c r="L6" s="1445"/>
      <c r="M6" s="1445"/>
      <c r="N6" s="1445"/>
      <c r="O6" s="1446"/>
      <c r="P6" s="1266"/>
      <c r="Q6" s="7"/>
      <c r="R6" s="7"/>
      <c r="S6" s="7"/>
      <c r="T6" s="7"/>
      <c r="U6" s="7"/>
      <c r="V6" s="7"/>
      <c r="W6" s="7"/>
      <c r="Y6" s="7"/>
    </row>
    <row r="7" spans="1:25" ht="15" customHeight="1">
      <c r="A7" s="7"/>
      <c r="B7" s="1382"/>
      <c r="C7" s="1448"/>
      <c r="D7" s="1383" t="s">
        <v>1785</v>
      </c>
      <c r="E7" s="1384"/>
      <c r="F7" s="1384"/>
      <c r="G7" s="1384"/>
      <c r="H7" s="1384"/>
      <c r="I7" s="1384"/>
      <c r="J7" s="1384"/>
      <c r="K7" s="1385"/>
      <c r="L7" s="1385"/>
      <c r="M7" s="1385"/>
      <c r="N7" s="1385"/>
      <c r="O7" s="1386"/>
      <c r="P7" s="1267"/>
      <c r="Q7" s="7"/>
      <c r="R7" s="7"/>
      <c r="S7" s="7"/>
      <c r="T7" s="7"/>
      <c r="U7" s="7"/>
      <c r="V7" s="7"/>
      <c r="W7" s="7"/>
      <c r="Y7" s="7"/>
    </row>
    <row r="8" spans="1:25" ht="6.75" customHeight="1">
      <c r="A8" s="7"/>
      <c r="B8" s="1293"/>
      <c r="C8" s="1449"/>
      <c r="D8" s="1293"/>
      <c r="E8" s="1293"/>
      <c r="F8" s="1293"/>
      <c r="G8" s="1293"/>
      <c r="H8" s="1293"/>
      <c r="I8" s="1293"/>
      <c r="J8" s="1293"/>
      <c r="K8" s="1293"/>
      <c r="L8" s="1293"/>
      <c r="M8" s="1293"/>
      <c r="N8" s="1293"/>
      <c r="O8" s="1450"/>
      <c r="P8" s="1293"/>
      <c r="Q8" s="7"/>
      <c r="R8" s="7"/>
      <c r="S8" s="7"/>
      <c r="T8" s="7"/>
      <c r="U8" s="7"/>
      <c r="V8" s="7"/>
      <c r="W8" s="7"/>
      <c r="Y8" s="7"/>
    </row>
    <row r="9" spans="1:25" ht="15" customHeight="1">
      <c r="A9" s="7"/>
      <c r="B9" s="1293"/>
      <c r="C9" s="1449"/>
      <c r="D9" s="1451" t="s">
        <v>1616</v>
      </c>
      <c r="E9" s="1293"/>
      <c r="F9" s="1293"/>
      <c r="G9" s="1293"/>
      <c r="H9" s="1293"/>
      <c r="I9" s="1293"/>
      <c r="J9" s="1293"/>
      <c r="K9" s="1293"/>
      <c r="L9" s="1293"/>
      <c r="M9" s="1293"/>
      <c r="N9" s="1293"/>
      <c r="O9" s="1450"/>
      <c r="P9" s="1293"/>
      <c r="Q9" s="7"/>
      <c r="R9" s="7"/>
      <c r="S9" s="7"/>
      <c r="T9" s="7"/>
      <c r="U9" s="7"/>
      <c r="V9" s="7"/>
      <c r="W9" s="7"/>
      <c r="Y9" s="7"/>
    </row>
    <row r="10" spans="1:25" ht="6.75" customHeight="1">
      <c r="A10" s="7"/>
      <c r="B10" s="1293"/>
      <c r="C10" s="1449"/>
      <c r="D10" s="1293"/>
      <c r="E10" s="1293"/>
      <c r="F10" s="1293"/>
      <c r="G10" s="1293"/>
      <c r="H10" s="1293"/>
      <c r="I10" s="1293"/>
      <c r="J10" s="1293"/>
      <c r="K10" s="1293"/>
      <c r="L10" s="1293"/>
      <c r="M10" s="1293"/>
      <c r="N10" s="1293"/>
      <c r="O10" s="1450"/>
      <c r="P10" s="1293"/>
      <c r="Q10" s="7"/>
      <c r="R10" s="7"/>
      <c r="S10" s="7"/>
      <c r="T10" s="7"/>
      <c r="U10" s="7"/>
      <c r="V10" s="7"/>
      <c r="W10" s="7"/>
      <c r="Y10" s="7"/>
    </row>
    <row r="11" spans="1:25">
      <c r="A11" s="7"/>
      <c r="B11" s="6"/>
      <c r="C11" s="6"/>
      <c r="D11" s="1284"/>
      <c r="E11" s="6"/>
      <c r="F11" s="6"/>
      <c r="G11" s="1452" t="s">
        <v>1</v>
      </c>
      <c r="H11" s="1452"/>
      <c r="I11" s="1452" t="s">
        <v>2</v>
      </c>
      <c r="J11" s="1452"/>
      <c r="K11" s="1452" t="s">
        <v>3</v>
      </c>
      <c r="L11" s="1452"/>
      <c r="M11" s="1452" t="s">
        <v>4</v>
      </c>
      <c r="N11" s="1452"/>
      <c r="O11" s="1404"/>
      <c r="P11" s="1404"/>
      <c r="Q11" s="7"/>
      <c r="R11" s="7"/>
      <c r="S11" s="7" t="s">
        <v>687</v>
      </c>
      <c r="T11" s="7"/>
      <c r="U11" s="7"/>
      <c r="V11" s="7"/>
      <c r="W11" s="7"/>
      <c r="Y11" s="7"/>
    </row>
    <row r="12" spans="1:25" ht="6.75" customHeight="1" thickBot="1">
      <c r="A12" s="7"/>
      <c r="B12" s="6"/>
      <c r="C12" s="6"/>
      <c r="D12" s="1453"/>
      <c r="E12" s="1453"/>
      <c r="F12" s="1454"/>
      <c r="G12" s="1455"/>
      <c r="H12" s="1455"/>
      <c r="I12" s="1455"/>
      <c r="J12" s="1455"/>
      <c r="K12" s="1455"/>
      <c r="L12" s="1455"/>
      <c r="M12" s="1455"/>
      <c r="N12" s="1454"/>
      <c r="O12" s="1404"/>
      <c r="P12" s="1404"/>
      <c r="Q12" s="7"/>
      <c r="R12" s="7"/>
      <c r="S12" s="7"/>
      <c r="T12" s="7"/>
      <c r="U12" s="7"/>
      <c r="V12" s="7"/>
      <c r="W12" s="7"/>
      <c r="Y12" s="7"/>
    </row>
    <row r="13" spans="1:25" ht="12.75" hidden="1" customHeight="1" thickBot="1">
      <c r="A13" s="7"/>
      <c r="B13" s="6"/>
      <c r="C13" s="6"/>
      <c r="D13" s="1394" t="s">
        <v>1461</v>
      </c>
      <c r="E13" s="1454"/>
      <c r="F13" s="1454"/>
      <c r="G13" s="2026" t="s">
        <v>350</v>
      </c>
      <c r="H13" s="2027"/>
      <c r="I13" s="2027"/>
      <c r="J13" s="2027"/>
      <c r="K13" s="2027"/>
      <c r="L13" s="2027"/>
      <c r="M13" s="2028"/>
      <c r="N13" s="1454"/>
      <c r="O13" s="1282"/>
      <c r="P13" s="1456"/>
      <c r="Q13" s="7"/>
      <c r="R13" s="541" t="s">
        <v>8</v>
      </c>
      <c r="S13" s="7"/>
      <c r="T13" s="541"/>
      <c r="U13" s="7"/>
      <c r="V13" s="7"/>
      <c r="W13" s="7"/>
      <c r="Y13" s="7"/>
    </row>
    <row r="14" spans="1:25" ht="12.75" hidden="1" customHeight="1" thickBot="1">
      <c r="A14" s="7"/>
      <c r="B14" s="6"/>
      <c r="C14" s="6"/>
      <c r="D14" s="1394"/>
      <c r="E14" s="1454"/>
      <c r="F14" s="1454"/>
      <c r="G14" s="1213"/>
      <c r="H14" s="1457"/>
      <c r="I14" s="1213"/>
      <c r="J14" s="1457"/>
      <c r="K14" s="1213"/>
      <c r="L14" s="1457"/>
      <c r="M14" s="1213"/>
      <c r="N14" s="1454"/>
      <c r="O14" s="1282"/>
      <c r="P14" s="1456"/>
      <c r="Q14" s="7"/>
      <c r="R14" s="541" t="s">
        <v>8</v>
      </c>
      <c r="S14" s="7"/>
      <c r="T14" s="541"/>
      <c r="U14" s="7"/>
      <c r="V14" s="7"/>
      <c r="W14" s="7"/>
      <c r="Y14" s="7"/>
    </row>
    <row r="15" spans="1:25" ht="15" customHeight="1" thickBot="1">
      <c r="A15" s="7"/>
      <c r="B15" s="6"/>
      <c r="C15" s="6"/>
      <c r="D15" s="1394" t="s">
        <v>1634</v>
      </c>
      <c r="E15" s="1454"/>
      <c r="F15" s="1454"/>
      <c r="G15" s="2098" t="s">
        <v>15</v>
      </c>
      <c r="H15" s="2099"/>
      <c r="I15" s="2099"/>
      <c r="J15" s="2099"/>
      <c r="K15" s="2099"/>
      <c r="L15" s="2099"/>
      <c r="M15" s="2100"/>
      <c r="N15" s="1454"/>
      <c r="O15" s="1282"/>
      <c r="P15" s="1456"/>
      <c r="Q15" s="7"/>
      <c r="R15" s="7"/>
      <c r="S15" s="7"/>
      <c r="T15" s="541"/>
      <c r="U15" s="7"/>
      <c r="V15" s="7"/>
      <c r="W15" s="7"/>
      <c r="Y15" s="7"/>
    </row>
    <row r="16" spans="1:25" ht="6.75" customHeight="1" thickBot="1">
      <c r="A16" s="7"/>
      <c r="B16" s="6"/>
      <c r="C16" s="6"/>
      <c r="D16" s="1453"/>
      <c r="E16" s="1453"/>
      <c r="F16" s="1454"/>
      <c r="G16" s="1455"/>
      <c r="H16" s="1455"/>
      <c r="I16" s="1455"/>
      <c r="J16" s="1455"/>
      <c r="K16" s="1455"/>
      <c r="L16" s="1455"/>
      <c r="M16" s="1455"/>
      <c r="N16" s="1454"/>
      <c r="O16" s="1404"/>
      <c r="P16" s="1404"/>
      <c r="Q16" s="7"/>
      <c r="R16" s="7"/>
      <c r="S16" s="7"/>
      <c r="T16" s="7"/>
      <c r="U16" s="7"/>
      <c r="V16" s="7"/>
      <c r="W16" s="7"/>
      <c r="Y16" s="7"/>
    </row>
    <row r="17" spans="1:25" ht="15" customHeight="1" thickBot="1">
      <c r="A17" s="7"/>
      <c r="B17" s="6"/>
      <c r="C17" s="6"/>
      <c r="D17" s="1394" t="s">
        <v>1743</v>
      </c>
      <c r="E17" s="1454"/>
      <c r="F17" s="1454"/>
      <c r="G17" s="2000"/>
      <c r="H17" s="2001"/>
      <c r="I17" s="2001"/>
      <c r="J17" s="2001"/>
      <c r="K17" s="2001"/>
      <c r="L17" s="2001"/>
      <c r="M17" s="2002"/>
      <c r="N17" s="1454"/>
      <c r="O17" s="1394" t="s">
        <v>16</v>
      </c>
      <c r="P17" s="1456"/>
      <c r="Q17" s="7"/>
      <c r="R17" s="7"/>
      <c r="S17" s="7"/>
      <c r="T17" s="541"/>
      <c r="U17" s="7"/>
      <c r="V17" s="7"/>
      <c r="W17" s="7"/>
      <c r="Y17" s="7"/>
    </row>
    <row r="18" spans="1:25" ht="6.75" customHeight="1" thickBot="1">
      <c r="A18" s="7"/>
      <c r="B18" s="6"/>
      <c r="C18" s="6"/>
      <c r="D18" s="1394"/>
      <c r="E18" s="1454"/>
      <c r="F18" s="1454"/>
      <c r="G18" s="1214"/>
      <c r="H18" s="1458"/>
      <c r="I18" s="1214"/>
      <c r="J18" s="1214"/>
      <c r="K18" s="1214"/>
      <c r="L18" s="1214"/>
      <c r="M18" s="1214"/>
      <c r="N18" s="1454"/>
      <c r="O18" s="1394"/>
      <c r="P18" s="1456"/>
      <c r="Q18" s="573"/>
      <c r="R18" s="7"/>
      <c r="S18" s="7"/>
      <c r="T18" s="541"/>
      <c r="U18" s="7"/>
      <c r="V18" s="7"/>
      <c r="W18" s="7"/>
      <c r="Y18" s="7"/>
    </row>
    <row r="19" spans="1:25" ht="15" customHeight="1" thickBot="1">
      <c r="A19" s="7"/>
      <c r="B19" s="6"/>
      <c r="C19" s="1459" t="s">
        <v>1499</v>
      </c>
      <c r="D19" s="1394" t="s">
        <v>1922</v>
      </c>
      <c r="E19" s="1454"/>
      <c r="F19" s="1454"/>
      <c r="G19" s="2000"/>
      <c r="H19" s="2001"/>
      <c r="I19" s="2001"/>
      <c r="J19" s="2001"/>
      <c r="K19" s="2001"/>
      <c r="L19" s="2001"/>
      <c r="M19" s="2002"/>
      <c r="N19" s="1454"/>
      <c r="O19" s="1394"/>
      <c r="P19" s="1456"/>
      <c r="Q19" s="573"/>
      <c r="R19" s="7"/>
      <c r="S19" s="7"/>
      <c r="T19" s="541"/>
      <c r="U19" s="7"/>
      <c r="V19" s="7"/>
      <c r="W19" s="7"/>
      <c r="Y19" s="7"/>
    </row>
    <row r="20" spans="1:25" ht="6.75" customHeight="1" thickBot="1">
      <c r="A20" s="7"/>
      <c r="B20" s="6"/>
      <c r="C20" s="6"/>
      <c r="D20" s="1394"/>
      <c r="E20" s="1454"/>
      <c r="F20" s="1454"/>
      <c r="G20" s="1455"/>
      <c r="H20" s="1457"/>
      <c r="I20" s="1213"/>
      <c r="J20" s="1457"/>
      <c r="K20" s="1213"/>
      <c r="L20" s="1457"/>
      <c r="M20" s="1213"/>
      <c r="N20" s="1454"/>
      <c r="O20" s="1282"/>
      <c r="P20" s="1456"/>
      <c r="Q20" s="7"/>
      <c r="R20" s="541"/>
      <c r="S20" s="7"/>
      <c r="T20" s="541"/>
      <c r="U20" s="7"/>
      <c r="V20" s="7"/>
      <c r="W20" s="7"/>
      <c r="Y20" s="7"/>
    </row>
    <row r="21" spans="1:25" ht="14.25" customHeight="1" thickBot="1">
      <c r="A21" s="7"/>
      <c r="B21" s="1399"/>
      <c r="C21" s="1399"/>
      <c r="D21" s="1394" t="s">
        <v>991</v>
      </c>
      <c r="E21" s="1454"/>
      <c r="F21" s="1454"/>
      <c r="G21" s="2000" t="s">
        <v>15</v>
      </c>
      <c r="H21" s="2001"/>
      <c r="I21" s="2001"/>
      <c r="J21" s="2001"/>
      <c r="K21" s="2001"/>
      <c r="L21" s="2001"/>
      <c r="M21" s="2002"/>
      <c r="N21" s="1454"/>
      <c r="O21" s="1282"/>
      <c r="P21" s="1456"/>
      <c r="Q21" s="7"/>
      <c r="R21" s="541"/>
      <c r="S21" s="7"/>
      <c r="T21" s="541"/>
      <c r="U21" s="7"/>
      <c r="V21" s="7"/>
      <c r="W21" s="7"/>
      <c r="Y21" s="7"/>
    </row>
    <row r="22" spans="1:25" ht="6.75" customHeight="1" thickBot="1">
      <c r="A22" s="7"/>
      <c r="B22" s="1399"/>
      <c r="C22" s="1399"/>
      <c r="D22" s="1453"/>
      <c r="E22" s="1453"/>
      <c r="F22" s="1454"/>
      <c r="G22" s="1455"/>
      <c r="H22" s="1455"/>
      <c r="I22" s="1455"/>
      <c r="J22" s="1455"/>
      <c r="K22" s="1455"/>
      <c r="L22" s="1455"/>
      <c r="M22" s="1455"/>
      <c r="N22" s="1454"/>
      <c r="O22" s="1404"/>
      <c r="P22" s="1404"/>
      <c r="Q22" s="7"/>
      <c r="R22" s="7"/>
      <c r="S22" s="7"/>
      <c r="T22" s="7"/>
      <c r="U22" s="7"/>
      <c r="V22" s="7"/>
      <c r="W22" s="7"/>
      <c r="Y22" s="7"/>
    </row>
    <row r="23" spans="1:25" ht="15" customHeight="1" thickBot="1">
      <c r="A23" s="7"/>
      <c r="B23" s="1399"/>
      <c r="C23" s="1460" t="s">
        <v>1499</v>
      </c>
      <c r="D23" s="1394" t="s">
        <v>1500</v>
      </c>
      <c r="E23" s="1454"/>
      <c r="F23" s="1454"/>
      <c r="G23" s="1196"/>
      <c r="H23" s="1452"/>
      <c r="I23" s="1196"/>
      <c r="J23" s="1213"/>
      <c r="K23" s="1196"/>
      <c r="L23" s="1213"/>
      <c r="M23" s="1196"/>
      <c r="N23" s="1454"/>
      <c r="O23" s="1394" t="s">
        <v>7</v>
      </c>
      <c r="P23" s="1404"/>
      <c r="Q23" s="1461" t="s">
        <v>6</v>
      </c>
      <c r="R23" s="7"/>
      <c r="S23" s="7"/>
      <c r="T23" s="7"/>
      <c r="U23" s="7"/>
      <c r="V23" s="7"/>
      <c r="W23" s="7"/>
      <c r="Y23" s="7"/>
    </row>
    <row r="24" spans="1:25" ht="15" customHeight="1">
      <c r="A24" s="7"/>
      <c r="B24" s="1399"/>
      <c r="C24" s="1399"/>
      <c r="D24" s="1394"/>
      <c r="E24" s="1454"/>
      <c r="F24" s="1454"/>
      <c r="G24" s="1462">
        <f>G23/'Facteurs conversion'!$C$13</f>
        <v>0</v>
      </c>
      <c r="H24" s="1463"/>
      <c r="I24" s="1462">
        <f>I23/'Facteurs conversion'!$C$13</f>
        <v>0</v>
      </c>
      <c r="J24" s="1215"/>
      <c r="K24" s="1462">
        <f>K23/'Facteurs conversion'!$C$13</f>
        <v>0</v>
      </c>
      <c r="L24" s="1215"/>
      <c r="M24" s="1462">
        <f>M23/'Facteurs conversion'!$C$13</f>
        <v>0</v>
      </c>
      <c r="N24" s="1464"/>
      <c r="O24" s="1465" t="s">
        <v>5</v>
      </c>
      <c r="P24" s="1404"/>
      <c r="Q24" s="1461"/>
      <c r="R24" s="541" t="s">
        <v>8</v>
      </c>
      <c r="S24" s="7"/>
      <c r="T24" s="7"/>
      <c r="U24" s="7"/>
      <c r="V24" s="7"/>
      <c r="W24" s="7"/>
      <c r="Y24" s="7"/>
    </row>
    <row r="25" spans="1:25" ht="6.75" customHeight="1" thickBot="1">
      <c r="A25" s="7"/>
      <c r="B25" s="1399"/>
      <c r="C25" s="1399"/>
      <c r="D25" s="1394"/>
      <c r="E25" s="1454"/>
      <c r="F25" s="1454"/>
      <c r="G25" s="198"/>
      <c r="H25" s="1458"/>
      <c r="I25" s="198"/>
      <c r="J25" s="1213"/>
      <c r="K25" s="198"/>
      <c r="L25" s="1213"/>
      <c r="M25" s="198"/>
      <c r="N25" s="1454"/>
      <c r="O25" s="1394"/>
      <c r="P25" s="1404"/>
      <c r="Q25" s="7"/>
      <c r="R25" s="7"/>
      <c r="S25" s="7"/>
      <c r="T25" s="7"/>
      <c r="U25" s="7"/>
      <c r="V25" s="7"/>
      <c r="W25" s="7"/>
      <c r="Y25" s="7"/>
    </row>
    <row r="26" spans="1:25" ht="15" customHeight="1" thickBot="1">
      <c r="A26" s="7"/>
      <c r="B26" s="1399"/>
      <c r="C26" s="1460" t="s">
        <v>1499</v>
      </c>
      <c r="D26" s="1394" t="str">
        <f>IF(G13="Vapeur","Puissance maximale de production de vapeur de la chaudière :","Puissance maximale de production d'eau chaude de la chaudière : ")</f>
        <v>Puissance maximale de production de vapeur de la chaudière :</v>
      </c>
      <c r="E26" s="1454"/>
      <c r="F26" s="1454"/>
      <c r="G26" s="1196"/>
      <c r="H26" s="1452"/>
      <c r="I26" s="1196"/>
      <c r="J26" s="1213"/>
      <c r="K26" s="1196"/>
      <c r="L26" s="1213"/>
      <c r="M26" s="1196"/>
      <c r="N26" s="1454"/>
      <c r="O26" s="1394" t="s">
        <v>7</v>
      </c>
      <c r="P26" s="1404"/>
      <c r="Q26" s="1461" t="s">
        <v>9</v>
      </c>
      <c r="R26" s="7"/>
      <c r="S26" s="1466"/>
      <c r="T26" s="541"/>
      <c r="U26" s="7"/>
      <c r="V26" s="7"/>
      <c r="W26" s="573"/>
      <c r="Y26" s="7"/>
    </row>
    <row r="27" spans="1:25" hidden="1">
      <c r="A27" s="7"/>
      <c r="B27" s="1399"/>
      <c r="C27" s="1399"/>
      <c r="D27" s="1394"/>
      <c r="E27" s="1454"/>
      <c r="F27" s="1454"/>
      <c r="G27" s="1467">
        <f>G26/'Facteurs conversion'!$C$13</f>
        <v>0</v>
      </c>
      <c r="H27" s="198"/>
      <c r="I27" s="1467">
        <f>I26/'Facteurs conversion'!$C$13</f>
        <v>0</v>
      </c>
      <c r="J27" s="1467"/>
      <c r="K27" s="1467">
        <f>K26/'Facteurs conversion'!$C$13</f>
        <v>0</v>
      </c>
      <c r="L27" s="1467"/>
      <c r="M27" s="1467">
        <f>M26/'Facteurs conversion'!$C$13</f>
        <v>0</v>
      </c>
      <c r="N27" s="1454"/>
      <c r="O27" s="1394" t="s">
        <v>5</v>
      </c>
      <c r="P27" s="1404"/>
      <c r="Q27" s="7"/>
      <c r="R27" s="541"/>
      <c r="S27" s="7"/>
      <c r="T27" s="7"/>
      <c r="U27" s="7"/>
      <c r="V27" s="7"/>
      <c r="W27" s="7"/>
      <c r="Y27" s="7"/>
    </row>
    <row r="28" spans="1:25" ht="6.75" customHeight="1" thickBot="1">
      <c r="A28" s="7"/>
      <c r="B28" s="1399"/>
      <c r="C28" s="1399"/>
      <c r="D28" s="1394"/>
      <c r="E28" s="1454"/>
      <c r="F28" s="1454"/>
      <c r="G28" s="198"/>
      <c r="H28" s="1458"/>
      <c r="I28" s="198"/>
      <c r="J28" s="1213"/>
      <c r="K28" s="198"/>
      <c r="L28" s="1213"/>
      <c r="M28" s="198"/>
      <c r="N28" s="1454"/>
      <c r="O28" s="1394"/>
      <c r="P28" s="1404"/>
      <c r="Q28" s="7"/>
      <c r="R28" s="7"/>
      <c r="S28" s="7"/>
      <c r="T28" s="7"/>
      <c r="U28" s="7"/>
      <c r="V28" s="7"/>
      <c r="W28" s="7"/>
      <c r="Y28" s="7"/>
    </row>
    <row r="29" spans="1:25" ht="15" customHeight="1" thickBot="1">
      <c r="A29" s="7"/>
      <c r="B29" s="1399"/>
      <c r="C29" s="1460" t="s">
        <v>1499</v>
      </c>
      <c r="D29" s="1394" t="str">
        <f>IF(G13="Vapeur","Puissance moyenne de production de vapeur de la chaudière en opération  :","Puissance moyenne de production d'eau chaude de la chaudière en opération  : ")</f>
        <v>Puissance moyenne de production de vapeur de la chaudière en opération  :</v>
      </c>
      <c r="E29" s="1454"/>
      <c r="F29" s="1454"/>
      <c r="G29" s="1196"/>
      <c r="H29" s="1452"/>
      <c r="I29" s="1196"/>
      <c r="J29" s="1213"/>
      <c r="K29" s="1196"/>
      <c r="L29" s="1213"/>
      <c r="M29" s="1196"/>
      <c r="N29" s="1454"/>
      <c r="O29" s="1394" t="s">
        <v>7</v>
      </c>
      <c r="P29" s="1404"/>
      <c r="Q29" s="1461" t="s">
        <v>9</v>
      </c>
      <c r="R29" s="7"/>
      <c r="S29" s="1466" t="s">
        <v>344</v>
      </c>
      <c r="T29" s="541"/>
      <c r="U29" s="7"/>
      <c r="V29" s="7"/>
      <c r="W29" s="573"/>
      <c r="Y29" s="7"/>
    </row>
    <row r="30" spans="1:25" ht="15" hidden="1" customHeight="1">
      <c r="A30" s="7"/>
      <c r="B30" s="1399"/>
      <c r="C30" s="1399"/>
      <c r="D30" s="1394"/>
      <c r="E30" s="1454"/>
      <c r="F30" s="1454"/>
      <c r="G30" s="1467">
        <f>G29/'Facteurs conversion'!$C$13</f>
        <v>0</v>
      </c>
      <c r="H30" s="1467"/>
      <c r="I30" s="1467">
        <f>I29/'Facteurs conversion'!$C$13</f>
        <v>0</v>
      </c>
      <c r="J30" s="1467"/>
      <c r="K30" s="1467">
        <f>K29/'Facteurs conversion'!$C$13</f>
        <v>0</v>
      </c>
      <c r="L30" s="1467"/>
      <c r="M30" s="1467">
        <f>M29/'Facteurs conversion'!$C$13</f>
        <v>0</v>
      </c>
      <c r="N30" s="1454"/>
      <c r="O30" s="1394" t="s">
        <v>5</v>
      </c>
      <c r="P30" s="1404"/>
      <c r="Q30" s="1461"/>
      <c r="R30" s="541" t="s">
        <v>8</v>
      </c>
      <c r="S30" s="1466"/>
      <c r="T30" s="541"/>
      <c r="U30" s="7"/>
      <c r="V30" s="7"/>
      <c r="W30" s="573"/>
      <c r="Y30" s="7"/>
    </row>
    <row r="31" spans="1:25" hidden="1">
      <c r="A31" s="7"/>
      <c r="B31" s="1399"/>
      <c r="C31" s="1399"/>
      <c r="D31" s="1394"/>
      <c r="E31" s="1454"/>
      <c r="F31" s="1454"/>
      <c r="G31" s="198">
        <f>ROUND(G29*'Facteurs conversion'!$C$10,2)</f>
        <v>0</v>
      </c>
      <c r="H31" s="1458"/>
      <c r="I31" s="198">
        <f>ROUND(I29*'Facteurs conversion'!$C$10,2)</f>
        <v>0</v>
      </c>
      <c r="J31" s="1213"/>
      <c r="K31" s="198">
        <f>ROUND(K29*'Facteurs conversion'!$C$10,2)</f>
        <v>0</v>
      </c>
      <c r="L31" s="1213"/>
      <c r="M31" s="198">
        <f>ROUND(M29*'Facteurs conversion'!$C$10,2)</f>
        <v>0</v>
      </c>
      <c r="N31" s="1454"/>
      <c r="O31" s="1394" t="s">
        <v>10</v>
      </c>
      <c r="P31" s="1404"/>
      <c r="Q31" s="7"/>
      <c r="R31" s="541" t="s">
        <v>8</v>
      </c>
      <c r="S31" s="7"/>
      <c r="T31" s="7"/>
      <c r="U31" s="7"/>
      <c r="V31" s="7"/>
      <c r="W31" s="7"/>
      <c r="Y31" s="7"/>
    </row>
    <row r="32" spans="1:25" hidden="1">
      <c r="A32" s="7"/>
      <c r="B32" s="1399"/>
      <c r="C32" s="1399"/>
      <c r="D32" s="1394" t="str">
        <f>IF(G13="Vapeur","Pourcentage de charge moyenne de production de vapeur : ","Pourcentage de charge moyenne de production d'eau chaude : ")</f>
        <v xml:space="preserve">Pourcentage de charge moyenne de production de vapeur : </v>
      </c>
      <c r="E32" s="1454"/>
      <c r="F32" s="1454"/>
      <c r="G32" s="1216" t="e">
        <f>G29/G26</f>
        <v>#DIV/0!</v>
      </c>
      <c r="H32" s="1458"/>
      <c r="I32" s="1216" t="e">
        <f>I29/I26</f>
        <v>#DIV/0!</v>
      </c>
      <c r="J32" s="1213"/>
      <c r="K32" s="1216" t="e">
        <f>K29/K26</f>
        <v>#DIV/0!</v>
      </c>
      <c r="L32" s="1213"/>
      <c r="M32" s="1216" t="e">
        <f>M29/M26</f>
        <v>#DIV/0!</v>
      </c>
      <c r="N32" s="1454"/>
      <c r="O32" s="1394"/>
      <c r="P32" s="1404"/>
      <c r="Q32" s="7"/>
      <c r="R32" s="541" t="s">
        <v>8</v>
      </c>
      <c r="S32" s="1468" t="s">
        <v>367</v>
      </c>
      <c r="T32" s="7"/>
      <c r="U32" s="7"/>
      <c r="V32" s="7"/>
      <c r="W32" s="7"/>
      <c r="Y32" s="7"/>
    </row>
    <row r="33" spans="1:25" ht="6.75" customHeight="1" thickBot="1">
      <c r="A33" s="7"/>
      <c r="B33" s="1399"/>
      <c r="C33" s="1399"/>
      <c r="D33" s="1394"/>
      <c r="E33" s="197"/>
      <c r="F33" s="197"/>
      <c r="G33" s="1469"/>
      <c r="H33" s="1458"/>
      <c r="I33" s="1469"/>
      <c r="J33" s="1213"/>
      <c r="K33" s="1469"/>
      <c r="L33" s="1213"/>
      <c r="M33" s="1469"/>
      <c r="N33" s="1454"/>
      <c r="O33" s="1394"/>
      <c r="P33" s="1404"/>
      <c r="Q33" s="7"/>
      <c r="R33" s="7"/>
      <c r="S33" s="7"/>
      <c r="T33" s="7"/>
      <c r="U33" s="7"/>
      <c r="V33" s="7"/>
      <c r="W33" s="7"/>
      <c r="Y33" s="7"/>
    </row>
    <row r="34" spans="1:25" ht="15" customHeight="1" thickBot="1">
      <c r="A34" s="7"/>
      <c r="B34" s="1399"/>
      <c r="C34" s="1460"/>
      <c r="D34" s="1394" t="s">
        <v>1455</v>
      </c>
      <c r="E34" s="6"/>
      <c r="F34" s="6"/>
      <c r="G34" s="1223"/>
      <c r="H34" s="1452"/>
      <c r="I34" s="1223"/>
      <c r="J34" s="1213"/>
      <c r="K34" s="1223"/>
      <c r="L34" s="1213"/>
      <c r="M34" s="1223"/>
      <c r="N34" s="1454"/>
      <c r="O34" s="1394" t="s">
        <v>11</v>
      </c>
      <c r="P34" s="1404"/>
      <c r="Q34" s="7"/>
      <c r="R34" s="541"/>
      <c r="S34" s="7"/>
      <c r="T34" s="7"/>
      <c r="U34" s="7"/>
      <c r="V34" s="7"/>
      <c r="W34" s="7"/>
      <c r="Y34" s="7"/>
    </row>
    <row r="35" spans="1:25" ht="6.75" customHeight="1" thickBot="1">
      <c r="A35" s="7"/>
      <c r="B35" s="1399"/>
      <c r="C35" s="1399"/>
      <c r="D35" s="1394"/>
      <c r="E35" s="197"/>
      <c r="F35" s="197"/>
      <c r="G35" s="199"/>
      <c r="H35" s="199"/>
      <c r="I35" s="199"/>
      <c r="J35" s="199"/>
      <c r="K35" s="199"/>
      <c r="L35" s="199"/>
      <c r="M35" s="199"/>
      <c r="N35" s="1454"/>
      <c r="O35" s="200"/>
      <c r="P35" s="197"/>
      <c r="Q35" s="7"/>
      <c r="R35" s="7"/>
      <c r="S35" s="7"/>
      <c r="T35" s="7"/>
      <c r="U35" s="7"/>
      <c r="V35" s="7"/>
      <c r="W35" s="7"/>
      <c r="Y35" s="7"/>
    </row>
    <row r="36" spans="1:25" ht="15" customHeight="1" thickBot="1">
      <c r="A36" s="7"/>
      <c r="B36" s="1399"/>
      <c r="C36" s="1460" t="s">
        <v>1499</v>
      </c>
      <c r="D36" s="1394" t="s">
        <v>1454</v>
      </c>
      <c r="E36" s="6"/>
      <c r="F36" s="6"/>
      <c r="G36" s="1224"/>
      <c r="H36" s="1452"/>
      <c r="I36" s="1224"/>
      <c r="J36" s="1213"/>
      <c r="K36" s="1224"/>
      <c r="L36" s="1213"/>
      <c r="M36" s="1224"/>
      <c r="N36" s="1454"/>
      <c r="O36" s="1394"/>
      <c r="P36" s="1404"/>
      <c r="Q36" s="7"/>
      <c r="R36" s="7"/>
      <c r="S36" s="7"/>
      <c r="T36" s="7"/>
      <c r="U36" s="7"/>
      <c r="V36" s="7"/>
      <c r="W36" s="7"/>
      <c r="Y36" s="7"/>
    </row>
    <row r="37" spans="1:25" ht="6.75" customHeight="1" thickBot="1">
      <c r="A37" s="7"/>
      <c r="B37" s="1399"/>
      <c r="C37" s="1399"/>
      <c r="D37" s="1394"/>
      <c r="E37" s="6"/>
      <c r="F37" s="6"/>
      <c r="G37" s="1213"/>
      <c r="H37" s="1452"/>
      <c r="I37" s="1213"/>
      <c r="J37" s="1213"/>
      <c r="K37" s="1213"/>
      <c r="L37" s="1213"/>
      <c r="M37" s="1213"/>
      <c r="N37" s="1454"/>
      <c r="O37" s="1394"/>
      <c r="P37" s="1404"/>
      <c r="Q37" s="7"/>
      <c r="R37" s="7"/>
      <c r="S37" s="7"/>
      <c r="T37" s="7"/>
      <c r="U37" s="7"/>
      <c r="V37" s="7"/>
      <c r="W37" s="7"/>
      <c r="Y37" s="7"/>
    </row>
    <row r="38" spans="1:25" ht="15.75" thickBot="1">
      <c r="A38" s="7"/>
      <c r="B38" s="1399"/>
      <c r="C38" s="1734" t="s">
        <v>1981</v>
      </c>
      <c r="D38" s="1470" t="s">
        <v>1744</v>
      </c>
      <c r="E38" s="1470"/>
      <c r="F38" s="1470"/>
      <c r="G38" s="1225"/>
      <c r="H38" s="1470"/>
      <c r="I38" s="1225"/>
      <c r="J38" s="1470"/>
      <c r="K38" s="1225"/>
      <c r="L38" s="1470"/>
      <c r="M38" s="1225"/>
      <c r="N38" s="1470"/>
      <c r="O38" s="1394" t="s">
        <v>16</v>
      </c>
      <c r="P38" s="1276"/>
      <c r="Q38" s="541"/>
      <c r="R38" s="7"/>
      <c r="S38" s="7"/>
      <c r="T38" s="7"/>
      <c r="U38" s="7"/>
      <c r="V38" s="7"/>
      <c r="W38" s="7"/>
      <c r="Y38" s="7"/>
    </row>
    <row r="39" spans="1:25" ht="15" hidden="1" customHeight="1">
      <c r="A39" s="7"/>
      <c r="B39" s="1399"/>
      <c r="C39" s="1399"/>
      <c r="D39" s="1394" t="s">
        <v>1453</v>
      </c>
      <c r="E39" s="1454"/>
      <c r="F39" s="1454"/>
      <c r="G39" s="1214"/>
      <c r="H39" s="1452"/>
      <c r="I39" s="1214"/>
      <c r="J39" s="1214"/>
      <c r="K39" s="1214"/>
      <c r="L39" s="1214"/>
      <c r="M39" s="1214"/>
      <c r="N39" s="1454"/>
      <c r="O39" s="1394"/>
      <c r="P39" s="1456"/>
      <c r="Q39" s="573"/>
      <c r="R39" s="541" t="s">
        <v>8</v>
      </c>
      <c r="S39" s="7"/>
      <c r="T39" s="7"/>
      <c r="U39" s="7"/>
      <c r="V39" s="7"/>
      <c r="W39" s="7"/>
      <c r="Y39" s="7"/>
    </row>
    <row r="40" spans="1:25" ht="15" hidden="1" customHeight="1">
      <c r="A40" s="7"/>
      <c r="B40" s="1399"/>
      <c r="C40" s="1399"/>
      <c r="D40" s="1394" t="s">
        <v>1452</v>
      </c>
      <c r="E40" s="1454"/>
      <c r="F40" s="1454"/>
      <c r="G40" s="1214"/>
      <c r="H40" s="1458"/>
      <c r="I40" s="1214"/>
      <c r="J40" s="1214"/>
      <c r="K40" s="1214"/>
      <c r="L40" s="1214"/>
      <c r="M40" s="1214"/>
      <c r="N40" s="1454"/>
      <c r="O40" s="1394"/>
      <c r="P40" s="1456"/>
      <c r="Q40" s="573"/>
      <c r="R40" s="541" t="s">
        <v>8</v>
      </c>
      <c r="S40" s="7"/>
      <c r="T40" s="7"/>
      <c r="U40" s="7"/>
      <c r="V40" s="7"/>
      <c r="W40" s="7"/>
      <c r="Y40" s="7"/>
    </row>
    <row r="41" spans="1:25" ht="6.75" customHeight="1" thickBot="1">
      <c r="A41" s="7"/>
      <c r="B41" s="1399"/>
      <c r="C41" s="1399"/>
      <c r="D41" s="1394"/>
      <c r="E41" s="1454"/>
      <c r="F41" s="1454"/>
      <c r="G41" s="1217"/>
      <c r="H41" s="1214"/>
      <c r="I41" s="1217"/>
      <c r="J41" s="1214"/>
      <c r="K41" s="1217"/>
      <c r="L41" s="1214"/>
      <c r="M41" s="1217"/>
      <c r="N41" s="1454"/>
      <c r="O41" s="1394"/>
      <c r="P41" s="1456"/>
      <c r="Q41" s="573"/>
      <c r="R41" s="7"/>
      <c r="S41" s="7"/>
      <c r="T41" s="7"/>
      <c r="U41" s="7"/>
      <c r="V41" s="7"/>
      <c r="W41" s="7"/>
      <c r="Y41" s="7"/>
    </row>
    <row r="42" spans="1:25" ht="15.75" thickBot="1">
      <c r="A42" s="7"/>
      <c r="B42" s="1399"/>
      <c r="C42" s="1460"/>
      <c r="D42" s="1470" t="s">
        <v>992</v>
      </c>
      <c r="E42" s="1275"/>
      <c r="F42" s="1268"/>
      <c r="G42" s="1225"/>
      <c r="H42" s="1218"/>
      <c r="I42" s="1225"/>
      <c r="J42" s="1218"/>
      <c r="K42" s="1225"/>
      <c r="L42" s="1268"/>
      <c r="M42" s="1225"/>
      <c r="N42" s="6"/>
      <c r="O42" s="1394" t="s">
        <v>544</v>
      </c>
      <c r="P42" s="1404"/>
      <c r="Q42" s="7"/>
      <c r="R42" s="7"/>
      <c r="S42" s="7"/>
      <c r="T42" s="7"/>
      <c r="U42" s="7"/>
      <c r="V42" s="7"/>
      <c r="W42" s="7"/>
      <c r="Y42" s="7"/>
    </row>
    <row r="43" spans="1:25" ht="6.75" customHeight="1" thickBot="1">
      <c r="A43" s="7"/>
      <c r="B43" s="6"/>
      <c r="C43" s="6"/>
      <c r="D43" s="1394"/>
      <c r="E43" s="1454"/>
      <c r="F43" s="1454"/>
      <c r="G43" s="1219"/>
      <c r="H43" s="1457"/>
      <c r="I43" s="1219"/>
      <c r="J43" s="1219"/>
      <c r="K43" s="1219"/>
      <c r="L43" s="1219"/>
      <c r="M43" s="1219"/>
      <c r="N43" s="1454"/>
      <c r="O43" s="1394"/>
      <c r="P43" s="1456"/>
      <c r="Q43" s="7"/>
      <c r="R43" s="7"/>
      <c r="S43" s="7"/>
      <c r="T43" s="541"/>
      <c r="U43" s="7"/>
      <c r="V43" s="7"/>
      <c r="W43" s="7"/>
      <c r="Y43" s="7"/>
    </row>
    <row r="44" spans="1:25" ht="15.75" thickBot="1">
      <c r="A44" s="7"/>
      <c r="B44" s="1399"/>
      <c r="C44" s="1460" t="s">
        <v>1499</v>
      </c>
      <c r="D44" s="1470" t="s">
        <v>1878</v>
      </c>
      <c r="E44" s="1275"/>
      <c r="F44" s="1268"/>
      <c r="G44" s="2000"/>
      <c r="H44" s="2001"/>
      <c r="I44" s="2001"/>
      <c r="J44" s="2001"/>
      <c r="K44" s="2001"/>
      <c r="L44" s="2001"/>
      <c r="M44" s="2002"/>
      <c r="N44" s="6"/>
      <c r="O44" s="1394" t="s">
        <v>19</v>
      </c>
      <c r="P44" s="1404"/>
      <c r="Q44" s="7"/>
      <c r="R44" s="7"/>
      <c r="S44" s="7"/>
      <c r="T44" s="7"/>
      <c r="U44" s="7"/>
      <c r="V44" s="7"/>
      <c r="W44" s="7"/>
      <c r="Y44" s="7"/>
    </row>
    <row r="45" spans="1:25" ht="6.75" customHeight="1" thickBot="1">
      <c r="A45" s="7"/>
      <c r="B45" s="6"/>
      <c r="C45" s="6"/>
      <c r="D45" s="1394"/>
      <c r="E45" s="1454"/>
      <c r="F45" s="1454"/>
      <c r="G45" s="1219"/>
      <c r="H45" s="1457"/>
      <c r="I45" s="1219"/>
      <c r="J45" s="1219"/>
      <c r="K45" s="1219"/>
      <c r="L45" s="1219"/>
      <c r="M45" s="1219"/>
      <c r="N45" s="1454"/>
      <c r="O45" s="1394"/>
      <c r="P45" s="1456"/>
      <c r="Q45" s="7"/>
      <c r="R45" s="7"/>
      <c r="S45" s="7"/>
      <c r="T45" s="541"/>
      <c r="U45" s="7"/>
      <c r="V45" s="7"/>
      <c r="W45" s="7"/>
      <c r="Y45" s="7"/>
    </row>
    <row r="46" spans="1:25" ht="15.75" thickBot="1">
      <c r="A46" s="7"/>
      <c r="B46" s="1399"/>
      <c r="C46" s="1460"/>
      <c r="D46" s="1470" t="s">
        <v>1879</v>
      </c>
      <c r="E46" s="1275"/>
      <c r="F46" s="1268"/>
      <c r="G46" s="2000" t="s">
        <v>15</v>
      </c>
      <c r="H46" s="2001"/>
      <c r="I46" s="2001"/>
      <c r="J46" s="2001"/>
      <c r="K46" s="2001"/>
      <c r="L46" s="2001"/>
      <c r="M46" s="2002"/>
      <c r="N46" s="6"/>
      <c r="O46" s="1394"/>
      <c r="P46" s="1404"/>
      <c r="Q46" s="7"/>
      <c r="R46" s="7"/>
      <c r="S46" s="7"/>
      <c r="T46" s="7"/>
      <c r="U46" s="7"/>
      <c r="V46" s="7"/>
      <c r="W46" s="7"/>
      <c r="Y46" s="7"/>
    </row>
    <row r="47" spans="1:25" ht="6.75" customHeight="1">
      <c r="A47" s="7"/>
      <c r="B47" s="6"/>
      <c r="C47" s="6"/>
      <c r="D47" s="1394"/>
      <c r="E47" s="1454"/>
      <c r="F47" s="1454"/>
      <c r="G47" s="1219"/>
      <c r="H47" s="1457"/>
      <c r="I47" s="1219"/>
      <c r="J47" s="1219"/>
      <c r="K47" s="1219"/>
      <c r="L47" s="1219"/>
      <c r="M47" s="1219"/>
      <c r="N47" s="1454"/>
      <c r="O47" s="1394"/>
      <c r="P47" s="1456"/>
      <c r="Q47" s="7"/>
      <c r="R47" s="7"/>
      <c r="S47" s="7"/>
      <c r="T47" s="541"/>
      <c r="U47" s="7"/>
      <c r="V47" s="7"/>
      <c r="W47" s="7"/>
      <c r="Y47" s="7"/>
    </row>
    <row r="48" spans="1:25" ht="28.5" customHeight="1">
      <c r="A48" s="7"/>
      <c r="B48" s="1399"/>
      <c r="C48" s="1658" t="b">
        <v>1</v>
      </c>
      <c r="D48" s="2101" t="s">
        <v>1778</v>
      </c>
      <c r="E48" s="2101"/>
      <c r="F48" s="2101"/>
      <c r="G48" s="2101"/>
      <c r="H48" s="2101"/>
      <c r="I48" s="2101"/>
      <c r="J48" s="2101"/>
      <c r="K48" s="2101"/>
      <c r="L48" s="2101"/>
      <c r="M48" s="2101"/>
      <c r="N48" s="2101"/>
      <c r="O48" s="1394"/>
      <c r="P48" s="1404"/>
      <c r="Q48" s="7"/>
      <c r="R48" s="7"/>
      <c r="S48" s="7"/>
      <c r="T48" s="7"/>
      <c r="U48" s="7"/>
      <c r="V48" s="7"/>
      <c r="W48" s="7"/>
      <c r="Y48" s="7"/>
    </row>
    <row r="49" spans="1:25" ht="6.75" customHeight="1">
      <c r="A49" s="7"/>
      <c r="B49" s="6"/>
      <c r="C49" s="6"/>
      <c r="D49" s="1394"/>
      <c r="E49" s="1454"/>
      <c r="F49" s="1454"/>
      <c r="G49" s="1219"/>
      <c r="H49" s="1457"/>
      <c r="I49" s="1219"/>
      <c r="J49" s="1219"/>
      <c r="K49" s="1219"/>
      <c r="L49" s="1219"/>
      <c r="M49" s="1219"/>
      <c r="N49" s="1454"/>
      <c r="O49" s="1394"/>
      <c r="P49" s="1456"/>
      <c r="Q49" s="7"/>
      <c r="R49" s="7"/>
      <c r="S49" s="7"/>
      <c r="T49" s="541"/>
      <c r="U49" s="7"/>
      <c r="V49" s="7"/>
      <c r="W49" s="7"/>
      <c r="Y49" s="7"/>
    </row>
    <row r="50" spans="1:25">
      <c r="A50" s="7"/>
      <c r="B50" s="7"/>
      <c r="C50" s="7"/>
      <c r="D50" s="576"/>
      <c r="E50" s="576"/>
      <c r="F50" s="576"/>
      <c r="G50" s="7"/>
      <c r="H50" s="7"/>
      <c r="I50" s="7"/>
      <c r="J50" s="7"/>
      <c r="K50" s="7"/>
      <c r="L50" s="7"/>
      <c r="M50" s="7"/>
      <c r="N50" s="7"/>
      <c r="O50" s="573"/>
      <c r="P50" s="573"/>
      <c r="Q50" s="7"/>
      <c r="R50" s="7"/>
      <c r="S50" s="7"/>
      <c r="T50" s="7"/>
      <c r="U50" s="7"/>
      <c r="V50" s="7"/>
      <c r="W50" s="7"/>
      <c r="Y50" s="7"/>
    </row>
    <row r="51" spans="1:25">
      <c r="A51" s="7"/>
      <c r="B51" s="1382"/>
      <c r="C51" s="1448"/>
      <c r="D51" s="1383" t="s">
        <v>1745</v>
      </c>
      <c r="E51" s="1384"/>
      <c r="F51" s="1384"/>
      <c r="G51" s="1384"/>
      <c r="H51" s="1384"/>
      <c r="I51" s="1384"/>
      <c r="J51" s="1384"/>
      <c r="K51" s="1385"/>
      <c r="L51" s="1385"/>
      <c r="M51" s="1385"/>
      <c r="N51" s="1385"/>
      <c r="O51" s="1386"/>
      <c r="P51" s="1267"/>
      <c r="Q51" s="7"/>
      <c r="R51" s="7"/>
      <c r="S51" s="7"/>
      <c r="T51" s="7"/>
      <c r="U51" s="7"/>
      <c r="V51" s="7"/>
      <c r="W51" s="7"/>
      <c r="Y51" s="7"/>
    </row>
    <row r="52" spans="1:25" ht="6.75" customHeight="1">
      <c r="A52" s="7"/>
      <c r="B52" s="6"/>
      <c r="C52" s="6"/>
      <c r="D52" s="6"/>
      <c r="E52" s="6"/>
      <c r="F52" s="6"/>
      <c r="G52" s="6"/>
      <c r="H52" s="6"/>
      <c r="I52" s="6"/>
      <c r="J52" s="6"/>
      <c r="K52" s="6"/>
      <c r="L52" s="6"/>
      <c r="M52" s="6"/>
      <c r="N52" s="6"/>
      <c r="O52" s="6"/>
      <c r="P52" s="6"/>
      <c r="Q52" s="7"/>
      <c r="R52" s="7"/>
      <c r="S52" s="7"/>
      <c r="T52" s="7"/>
      <c r="U52" s="7"/>
      <c r="V52" s="7"/>
      <c r="W52" s="7"/>
      <c r="Y52" s="7"/>
    </row>
    <row r="53" spans="1:25">
      <c r="A53" s="7"/>
      <c r="B53" s="6"/>
      <c r="C53" s="6"/>
      <c r="D53" s="1284" t="s">
        <v>1746</v>
      </c>
      <c r="E53" s="6"/>
      <c r="F53" s="6"/>
      <c r="G53" s="1452"/>
      <c r="H53" s="1452"/>
      <c r="I53" s="1452"/>
      <c r="J53" s="1452"/>
      <c r="K53" s="1452"/>
      <c r="L53" s="1452"/>
      <c r="M53" s="1452"/>
      <c r="N53" s="6"/>
      <c r="O53" s="6"/>
      <c r="P53" s="6"/>
      <c r="Q53" s="7"/>
      <c r="R53" s="7"/>
      <c r="S53" s="7"/>
      <c r="T53" s="7"/>
      <c r="U53" s="7"/>
      <c r="V53" s="7"/>
      <c r="W53" s="7"/>
      <c r="Y53" s="7"/>
    </row>
    <row r="54" spans="1:25">
      <c r="A54" s="7"/>
      <c r="B54" s="6"/>
      <c r="C54" s="6"/>
      <c r="D54" s="1471" t="s">
        <v>1748</v>
      </c>
      <c r="E54" s="6"/>
      <c r="F54" s="6"/>
      <c r="G54" s="1452"/>
      <c r="H54" s="1452"/>
      <c r="I54" s="1452"/>
      <c r="J54" s="1452"/>
      <c r="K54" s="1452"/>
      <c r="L54" s="1452"/>
      <c r="M54" s="1452"/>
      <c r="N54" s="6"/>
      <c r="O54" s="6"/>
      <c r="P54" s="6"/>
      <c r="Q54" s="7"/>
      <c r="R54" s="7"/>
      <c r="S54" s="7"/>
      <c r="T54" s="7"/>
      <c r="U54" s="7"/>
      <c r="V54" s="7"/>
      <c r="W54" s="7"/>
      <c r="Y54" s="7"/>
    </row>
    <row r="55" spans="1:25">
      <c r="A55" s="7"/>
      <c r="B55" s="6"/>
      <c r="C55" s="6"/>
      <c r="D55" s="1471" t="s">
        <v>1749</v>
      </c>
      <c r="E55" s="6"/>
      <c r="F55" s="6"/>
      <c r="G55" s="1452"/>
      <c r="H55" s="1452"/>
      <c r="I55" s="1452"/>
      <c r="J55" s="1452"/>
      <c r="K55" s="1452"/>
      <c r="L55" s="1452"/>
      <c r="M55" s="1452"/>
      <c r="N55" s="6"/>
      <c r="O55" s="6"/>
      <c r="P55" s="6"/>
      <c r="Q55" s="7"/>
      <c r="R55" s="7"/>
      <c r="S55" s="7"/>
      <c r="T55" s="7"/>
      <c r="U55" s="7"/>
      <c r="V55" s="7"/>
      <c r="W55" s="7"/>
      <c r="Y55" s="7"/>
    </row>
    <row r="56" spans="1:25" ht="6.75" customHeight="1">
      <c r="A56" s="7"/>
      <c r="B56" s="6"/>
      <c r="C56" s="6"/>
      <c r="D56" s="6"/>
      <c r="E56" s="6"/>
      <c r="F56" s="6"/>
      <c r="G56" s="6"/>
      <c r="H56" s="6"/>
      <c r="I56" s="6"/>
      <c r="J56" s="6"/>
      <c r="K56" s="6"/>
      <c r="L56" s="6"/>
      <c r="M56" s="6"/>
      <c r="N56" s="6"/>
      <c r="O56" s="6"/>
      <c r="P56" s="6"/>
      <c r="Q56" s="7"/>
      <c r="R56" s="7"/>
      <c r="S56" s="7"/>
      <c r="T56" s="7"/>
      <c r="U56" s="7"/>
      <c r="V56" s="7"/>
      <c r="W56" s="7"/>
      <c r="Y56" s="7"/>
    </row>
    <row r="57" spans="1:25" ht="15" customHeight="1">
      <c r="A57" s="7"/>
      <c r="B57" s="6"/>
      <c r="C57" s="1472"/>
      <c r="D57" s="1473" t="s">
        <v>1787</v>
      </c>
      <c r="E57" s="1473"/>
      <c r="F57" s="1473"/>
      <c r="G57" s="1474"/>
      <c r="H57" s="1474"/>
      <c r="I57" s="1475"/>
      <c r="J57" s="1475"/>
      <c r="K57" s="1475"/>
      <c r="L57" s="1475"/>
      <c r="M57" s="1475"/>
      <c r="N57" s="1475"/>
      <c r="O57" s="1476"/>
      <c r="P57" s="1477"/>
      <c r="Q57" s="7"/>
      <c r="R57" s="7"/>
      <c r="S57" s="7"/>
      <c r="T57" s="7"/>
      <c r="U57" s="7"/>
      <c r="V57" s="7"/>
      <c r="W57" s="7"/>
      <c r="Y57" s="7"/>
    </row>
    <row r="58" spans="1:25" ht="6.75" customHeight="1">
      <c r="A58" s="7"/>
      <c r="B58" s="6"/>
      <c r="C58" s="1478"/>
      <c r="D58" s="1479"/>
      <c r="E58" s="1479"/>
      <c r="F58" s="1479"/>
      <c r="G58" s="1426"/>
      <c r="H58" s="1426"/>
      <c r="I58" s="1426"/>
      <c r="J58" s="1426"/>
      <c r="K58" s="1426"/>
      <c r="L58" s="1426"/>
      <c r="M58" s="1426"/>
      <c r="N58" s="1479"/>
      <c r="O58" s="1480"/>
      <c r="P58" s="1477"/>
      <c r="Q58" s="7"/>
      <c r="R58" s="541"/>
      <c r="S58" s="7"/>
      <c r="T58" s="7"/>
      <c r="U58" s="7"/>
      <c r="V58" s="7"/>
      <c r="W58" s="7"/>
      <c r="Y58" s="7"/>
    </row>
    <row r="59" spans="1:25" ht="15" customHeight="1">
      <c r="A59" s="7"/>
      <c r="B59" s="6"/>
      <c r="C59" s="1481"/>
      <c r="D59" s="1482" t="s">
        <v>1789</v>
      </c>
      <c r="E59" s="1479"/>
      <c r="F59" s="1479"/>
      <c r="G59" s="1483"/>
      <c r="H59" s="1483"/>
      <c r="I59" s="1483"/>
      <c r="J59" s="1483"/>
      <c r="K59" s="1483"/>
      <c r="L59" s="1483"/>
      <c r="M59" s="1483"/>
      <c r="N59" s="1479"/>
      <c r="O59" s="1480"/>
      <c r="P59" s="1477"/>
      <c r="Q59" s="7"/>
      <c r="R59" s="541"/>
      <c r="S59" s="7"/>
      <c r="T59" s="7"/>
      <c r="U59" s="7"/>
      <c r="V59" s="7"/>
      <c r="W59" s="7"/>
      <c r="Y59" s="7"/>
    </row>
    <row r="60" spans="1:25" ht="6.75" customHeight="1">
      <c r="A60" s="7"/>
      <c r="B60" s="6"/>
      <c r="C60" s="1484"/>
      <c r="D60" s="1482"/>
      <c r="E60" s="1479"/>
      <c r="F60" s="1479"/>
      <c r="G60" s="1483"/>
      <c r="H60" s="1483"/>
      <c r="I60" s="1483"/>
      <c r="J60" s="1483"/>
      <c r="K60" s="1483"/>
      <c r="L60" s="1483"/>
      <c r="M60" s="1483"/>
      <c r="N60" s="1479"/>
      <c r="O60" s="1480"/>
      <c r="P60" s="1477"/>
      <c r="Q60" s="7"/>
      <c r="R60" s="541"/>
      <c r="S60" s="7"/>
      <c r="T60" s="7"/>
      <c r="U60" s="7"/>
      <c r="V60" s="7"/>
      <c r="W60" s="7"/>
      <c r="Y60" s="7"/>
    </row>
    <row r="61" spans="1:25" ht="15" customHeight="1" thickBot="1">
      <c r="A61" s="7"/>
      <c r="B61" s="6"/>
      <c r="C61" s="1484"/>
      <c r="D61" s="1485" t="s">
        <v>1786</v>
      </c>
      <c r="E61" s="1486"/>
      <c r="F61" s="1479"/>
      <c r="G61" s="2039" t="str">
        <f>IF(SUM(G62,G64)&gt;4," /!\ Il ne peut pas y avoir plus d'économiseurs que de chaudières","")</f>
        <v/>
      </c>
      <c r="H61" s="2039"/>
      <c r="I61" s="2039"/>
      <c r="J61" s="2039"/>
      <c r="K61" s="2039"/>
      <c r="L61" s="2039"/>
      <c r="M61" s="2039"/>
      <c r="N61" s="1479"/>
      <c r="O61" s="1480"/>
      <c r="P61" s="1477"/>
      <c r="Q61" s="7"/>
      <c r="R61" s="541" t="s">
        <v>1413</v>
      </c>
      <c r="S61" s="7"/>
      <c r="T61" s="7"/>
      <c r="U61" s="7"/>
      <c r="V61" s="7"/>
      <c r="W61" s="7"/>
      <c r="Y61" s="7"/>
    </row>
    <row r="62" spans="1:25" ht="15" customHeight="1" thickBot="1">
      <c r="A62" s="7"/>
      <c r="B62" s="6"/>
      <c r="C62" s="1484"/>
      <c r="D62" s="1483"/>
      <c r="E62" s="1487" t="s">
        <v>1449</v>
      </c>
      <c r="F62" s="1483"/>
      <c r="G62" s="2003" t="s">
        <v>15</v>
      </c>
      <c r="H62" s="2004"/>
      <c r="I62" s="2004"/>
      <c r="J62" s="2004"/>
      <c r="K62" s="2004"/>
      <c r="L62" s="2004"/>
      <c r="M62" s="2005"/>
      <c r="N62" s="1483"/>
      <c r="O62" s="1488"/>
      <c r="P62" s="1477"/>
      <c r="Q62" s="7"/>
      <c r="R62" s="7"/>
      <c r="S62" s="7"/>
      <c r="T62" s="7"/>
      <c r="U62" s="7"/>
      <c r="V62" s="7"/>
      <c r="W62" s="7"/>
      <c r="Y62" s="7"/>
    </row>
    <row r="63" spans="1:25" ht="6.75" customHeight="1" thickBot="1">
      <c r="A63" s="7"/>
      <c r="B63" s="6"/>
      <c r="C63" s="1484"/>
      <c r="D63" s="1483"/>
      <c r="E63" s="1489"/>
      <c r="F63" s="1490"/>
      <c r="G63" s="1491"/>
      <c r="H63" s="1491"/>
      <c r="I63" s="1491"/>
      <c r="J63" s="1491"/>
      <c r="K63" s="1491"/>
      <c r="L63" s="1490"/>
      <c r="M63" s="1491"/>
      <c r="N63" s="1492"/>
      <c r="O63" s="1488"/>
      <c r="P63" s="1493"/>
      <c r="Q63" s="541"/>
      <c r="R63" s="7"/>
      <c r="S63" s="7"/>
      <c r="T63" s="7"/>
      <c r="U63" s="7"/>
      <c r="V63" s="7"/>
      <c r="W63" s="7"/>
      <c r="Y63" s="7"/>
    </row>
    <row r="64" spans="1:25" ht="15" customHeight="1" thickBot="1">
      <c r="A64" s="7"/>
      <c r="B64" s="6"/>
      <c r="C64" s="1484"/>
      <c r="D64" s="1494"/>
      <c r="E64" s="1487" t="s">
        <v>1530</v>
      </c>
      <c r="F64" s="1483"/>
      <c r="G64" s="2003" t="s">
        <v>15</v>
      </c>
      <c r="H64" s="2004"/>
      <c r="I64" s="2004"/>
      <c r="J64" s="2004"/>
      <c r="K64" s="2004"/>
      <c r="L64" s="2004"/>
      <c r="M64" s="2005"/>
      <c r="N64" s="1492"/>
      <c r="O64" s="1488"/>
      <c r="P64" s="1477"/>
      <c r="Q64" s="7"/>
      <c r="R64" s="7"/>
      <c r="S64" s="7"/>
      <c r="T64" s="7"/>
      <c r="U64" s="7"/>
      <c r="V64" s="7"/>
      <c r="W64" s="7"/>
      <c r="Y64" s="7"/>
    </row>
    <row r="65" spans="1:25" ht="6.75" customHeight="1">
      <c r="A65" s="7"/>
      <c r="B65" s="6"/>
      <c r="C65" s="1484"/>
      <c r="D65" s="1495"/>
      <c r="E65" s="1490"/>
      <c r="F65" s="1490"/>
      <c r="G65" s="1491"/>
      <c r="H65" s="1491"/>
      <c r="I65" s="1491"/>
      <c r="J65" s="1491"/>
      <c r="K65" s="1491"/>
      <c r="L65" s="1490"/>
      <c r="M65" s="1491"/>
      <c r="N65" s="1492"/>
      <c r="O65" s="1488"/>
      <c r="P65" s="1493"/>
      <c r="Q65" s="541"/>
      <c r="R65" s="7"/>
      <c r="S65" s="7"/>
      <c r="T65" s="7"/>
      <c r="U65" s="7"/>
      <c r="V65" s="7"/>
      <c r="W65" s="7"/>
      <c r="Y65" s="7"/>
    </row>
    <row r="66" spans="1:25" ht="15" customHeight="1">
      <c r="A66" s="7"/>
      <c r="B66" s="6"/>
      <c r="C66" s="1484"/>
      <c r="D66" s="1495"/>
      <c r="E66" s="1490"/>
      <c r="F66" s="1490"/>
      <c r="G66" s="1496" t="s">
        <v>1</v>
      </c>
      <c r="H66" s="1483"/>
      <c r="I66" s="1496" t="s">
        <v>2</v>
      </c>
      <c r="J66" s="1496"/>
      <c r="K66" s="1496" t="s">
        <v>3</v>
      </c>
      <c r="L66" s="1496"/>
      <c r="M66" s="1496" t="s">
        <v>4</v>
      </c>
      <c r="N66" s="1492"/>
      <c r="O66" s="1488"/>
      <c r="P66" s="1493"/>
      <c r="Q66" s="541"/>
      <c r="R66" s="7"/>
      <c r="S66" s="7"/>
      <c r="T66" s="7"/>
      <c r="U66" s="7"/>
      <c r="V66" s="7"/>
      <c r="W66" s="7"/>
      <c r="Y66" s="7"/>
    </row>
    <row r="67" spans="1:25" ht="6.75" customHeight="1" thickBot="1">
      <c r="A67" s="7"/>
      <c r="B67" s="6"/>
      <c r="C67" s="1484"/>
      <c r="D67" s="1495"/>
      <c r="E67" s="1490"/>
      <c r="F67" s="1490"/>
      <c r="G67" s="1491"/>
      <c r="H67" s="1491"/>
      <c r="I67" s="1491"/>
      <c r="J67" s="1491"/>
      <c r="K67" s="1491"/>
      <c r="L67" s="1490"/>
      <c r="M67" s="1491"/>
      <c r="N67" s="1492"/>
      <c r="O67" s="1488"/>
      <c r="P67" s="1493"/>
      <c r="Q67" s="541"/>
      <c r="R67" s="7"/>
      <c r="S67" s="7"/>
      <c r="T67" s="7"/>
      <c r="U67" s="7"/>
      <c r="V67" s="7"/>
      <c r="W67" s="7"/>
      <c r="Y67" s="7"/>
    </row>
    <row r="68" spans="1:25" ht="25.5" customHeight="1" thickBot="1">
      <c r="A68" s="7"/>
      <c r="B68" s="6"/>
      <c r="C68" s="1497" t="s">
        <v>1499</v>
      </c>
      <c r="D68" s="2107" t="s">
        <v>1788</v>
      </c>
      <c r="E68" s="2107"/>
      <c r="F68" s="1487"/>
      <c r="G68" s="1228" t="s">
        <v>15</v>
      </c>
      <c r="H68" s="1498"/>
      <c r="I68" s="1228" t="s">
        <v>15</v>
      </c>
      <c r="J68" s="1498"/>
      <c r="K68" s="1228" t="s">
        <v>15</v>
      </c>
      <c r="L68" s="1498"/>
      <c r="M68" s="1228" t="s">
        <v>15</v>
      </c>
      <c r="N68" s="1499"/>
      <c r="O68" s="1500"/>
      <c r="P68" s="1501"/>
      <c r="Q68" s="7"/>
      <c r="R68" s="7"/>
      <c r="S68" s="7"/>
      <c r="T68" s="7"/>
      <c r="U68" s="7"/>
      <c r="V68" s="7"/>
      <c r="W68" s="7"/>
      <c r="Y68" s="7"/>
    </row>
    <row r="69" spans="1:25" s="1414" customFormat="1" ht="15.75" hidden="1" customHeight="1">
      <c r="A69" s="508"/>
      <c r="B69" s="1502"/>
      <c r="C69" s="1503"/>
      <c r="D69" s="1504" t="s">
        <v>427</v>
      </c>
      <c r="E69" s="1505"/>
      <c r="F69" s="1506"/>
      <c r="G69" s="1507">
        <f>LOOKUP(G68,Cond_valid!$B$4:$B$13,Cond_valid!$C$4:$C$13)</f>
        <v>0</v>
      </c>
      <c r="H69" s="1507"/>
      <c r="I69" s="1507">
        <f>LOOKUP(I68,Cond_valid!$B$4:$B$13,Cond_valid!$C$4:$C$13)</f>
        <v>0</v>
      </c>
      <c r="J69" s="1507"/>
      <c r="K69" s="1507">
        <f>LOOKUP(K68,Cond_valid!$B$4:$B$13,Cond_valid!$C$4:$C$13)</f>
        <v>0</v>
      </c>
      <c r="L69" s="1507"/>
      <c r="M69" s="1507">
        <f>LOOKUP(M68,Cond_valid!$B$4:$B$13,Cond_valid!$C$4:$C$13)</f>
        <v>0</v>
      </c>
      <c r="N69" s="1507"/>
      <c r="O69" s="1508"/>
      <c r="P69" s="1509"/>
      <c r="Q69" s="508"/>
      <c r="R69" s="1510" t="s">
        <v>8</v>
      </c>
      <c r="S69" s="1511"/>
      <c r="T69" s="1512"/>
      <c r="U69" s="508"/>
      <c r="V69" s="508"/>
      <c r="W69" s="508"/>
      <c r="X69" s="508"/>
      <c r="Y69" s="508"/>
    </row>
    <row r="70" spans="1:25" ht="6.75" customHeight="1" thickBot="1">
      <c r="A70" s="7"/>
      <c r="B70" s="6"/>
      <c r="C70" s="1513"/>
      <c r="D70" s="1494"/>
      <c r="E70" s="1494"/>
      <c r="F70" s="1494"/>
      <c r="G70" s="1514"/>
      <c r="H70" s="1494"/>
      <c r="I70" s="1514"/>
      <c r="J70" s="1494"/>
      <c r="K70" s="1514"/>
      <c r="L70" s="1494"/>
      <c r="M70" s="1514"/>
      <c r="N70" s="1495"/>
      <c r="O70" s="1515"/>
      <c r="P70" s="1516"/>
      <c r="Q70" s="7"/>
      <c r="R70" s="7"/>
      <c r="S70" s="7"/>
      <c r="T70" s="7"/>
      <c r="U70" s="7"/>
      <c r="V70" s="7"/>
      <c r="W70" s="7"/>
      <c r="Y70" s="7"/>
    </row>
    <row r="71" spans="1:25" ht="15" customHeight="1" thickBot="1">
      <c r="A71" s="7"/>
      <c r="B71" s="6"/>
      <c r="C71" s="1497" t="s">
        <v>1499</v>
      </c>
      <c r="D71" s="1517" t="s">
        <v>1531</v>
      </c>
      <c r="E71" s="1495"/>
      <c r="F71" s="1495"/>
      <c r="G71" s="1223"/>
      <c r="H71" s="1495"/>
      <c r="I71" s="1223"/>
      <c r="J71" s="1495"/>
      <c r="K71" s="1223"/>
      <c r="L71" s="1495"/>
      <c r="M71" s="1223"/>
      <c r="N71" s="1518" t="s">
        <v>16</v>
      </c>
      <c r="O71" s="1515"/>
      <c r="P71" s="1501"/>
      <c r="Q71" s="541"/>
      <c r="R71" s="7"/>
      <c r="S71" s="532"/>
      <c r="T71" s="521"/>
      <c r="U71" s="7"/>
      <c r="V71" s="7"/>
      <c r="W71" s="7"/>
      <c r="Y71" s="7"/>
    </row>
    <row r="72" spans="1:25" ht="6.75" customHeight="1">
      <c r="A72" s="7"/>
      <c r="B72" s="6"/>
      <c r="C72" s="1513"/>
      <c r="D72" s="1495"/>
      <c r="E72" s="1490"/>
      <c r="F72" s="1490"/>
      <c r="G72" s="1491"/>
      <c r="H72" s="1491"/>
      <c r="I72" s="1491"/>
      <c r="J72" s="1491"/>
      <c r="K72" s="1491"/>
      <c r="L72" s="1490"/>
      <c r="M72" s="1491"/>
      <c r="N72" s="1492"/>
      <c r="O72" s="1488"/>
      <c r="P72" s="1493"/>
      <c r="Q72" s="541"/>
      <c r="R72" s="7"/>
      <c r="S72" s="7"/>
      <c r="T72" s="7"/>
      <c r="U72" s="7"/>
      <c r="V72" s="7"/>
      <c r="W72" s="7"/>
      <c r="Y72" s="7"/>
    </row>
    <row r="73" spans="1:25" s="1523" customFormat="1" ht="15" customHeight="1">
      <c r="A73" s="710"/>
      <c r="B73" s="1519"/>
      <c r="C73" s="1520"/>
      <c r="D73" s="1521" t="s">
        <v>1790</v>
      </c>
      <c r="E73" s="1522"/>
      <c r="F73" s="1522"/>
      <c r="G73" s="1220"/>
      <c r="H73" s="1221"/>
      <c r="I73" s="1220"/>
      <c r="J73" s="1221"/>
      <c r="K73" s="1220"/>
      <c r="L73" s="1522"/>
      <c r="M73" s="1220"/>
      <c r="N73" s="1492"/>
      <c r="O73" s="1488"/>
      <c r="P73" s="1493"/>
      <c r="Q73" s="710"/>
      <c r="R73" s="710"/>
      <c r="S73" s="710"/>
      <c r="T73" s="710"/>
      <c r="U73" s="710"/>
      <c r="V73" s="710"/>
      <c r="W73" s="710"/>
      <c r="X73" s="710"/>
      <c r="Y73" s="710"/>
    </row>
    <row r="74" spans="1:25" ht="6.75" customHeight="1" thickBot="1">
      <c r="A74" s="7"/>
      <c r="B74" s="6"/>
      <c r="C74" s="1513"/>
      <c r="D74" s="1495"/>
      <c r="E74" s="1522"/>
      <c r="F74" s="1490"/>
      <c r="G74" s="1220"/>
      <c r="H74" s="1221"/>
      <c r="I74" s="1220"/>
      <c r="J74" s="1221"/>
      <c r="K74" s="1220"/>
      <c r="L74" s="1490"/>
      <c r="M74" s="1220"/>
      <c r="N74" s="1492"/>
      <c r="O74" s="1488"/>
      <c r="P74" s="1493"/>
      <c r="Q74" s="7"/>
      <c r="R74" s="7"/>
      <c r="S74" s="7"/>
      <c r="T74" s="7"/>
      <c r="U74" s="7"/>
      <c r="V74" s="7"/>
      <c r="W74" s="7"/>
      <c r="Y74" s="7"/>
    </row>
    <row r="75" spans="1:25" ht="15" customHeight="1" thickBot="1">
      <c r="A75" s="7"/>
      <c r="B75" s="6"/>
      <c r="C75" s="1513"/>
      <c r="D75" s="1517" t="s">
        <v>1469</v>
      </c>
      <c r="E75" s="1522"/>
      <c r="F75" s="1490"/>
      <c r="G75" s="1225" t="s">
        <v>15</v>
      </c>
      <c r="H75" s="1487"/>
      <c r="I75" s="1225" t="s">
        <v>15</v>
      </c>
      <c r="J75" s="1487"/>
      <c r="K75" s="1225" t="s">
        <v>15</v>
      </c>
      <c r="L75" s="1487"/>
      <c r="M75" s="1225" t="s">
        <v>15</v>
      </c>
      <c r="N75" s="1492"/>
      <c r="O75" s="1488"/>
      <c r="P75" s="1493"/>
      <c r="Q75" s="7"/>
      <c r="R75" s="7"/>
      <c r="S75" s="7"/>
      <c r="T75" s="7"/>
      <c r="U75" s="7"/>
      <c r="V75" s="7"/>
      <c r="W75" s="7"/>
      <c r="Y75" s="7"/>
    </row>
    <row r="76" spans="1:25" ht="6.75" customHeight="1" thickBot="1">
      <c r="A76" s="7"/>
      <c r="B76" s="6"/>
      <c r="C76" s="1513"/>
      <c r="D76" s="1495"/>
      <c r="E76" s="1495"/>
      <c r="F76" s="1495"/>
      <c r="G76" s="1524"/>
      <c r="H76" s="1524"/>
      <c r="I76" s="1524"/>
      <c r="J76" s="1524"/>
      <c r="K76" s="1524"/>
      <c r="L76" s="1524"/>
      <c r="M76" s="1524"/>
      <c r="N76" s="1495"/>
      <c r="O76" s="1515"/>
      <c r="P76" s="1516"/>
      <c r="Q76" s="7"/>
      <c r="R76" s="7"/>
      <c r="S76" s="7"/>
      <c r="T76" s="7"/>
      <c r="U76" s="7"/>
      <c r="V76" s="7"/>
      <c r="W76" s="7"/>
      <c r="Y76" s="7"/>
    </row>
    <row r="77" spans="1:25" ht="74.25" customHeight="1" thickBot="1">
      <c r="A77" s="7"/>
      <c r="B77" s="6"/>
      <c r="C77" s="1497" t="s">
        <v>1499</v>
      </c>
      <c r="D77" s="2108" t="s">
        <v>1501</v>
      </c>
      <c r="E77" s="2108"/>
      <c r="F77" s="1525"/>
      <c r="G77" s="1226"/>
      <c r="H77" s="1526"/>
      <c r="I77" s="1227"/>
      <c r="J77" s="1526"/>
      <c r="K77" s="1227"/>
      <c r="L77" s="1526"/>
      <c r="M77" s="1227"/>
      <c r="N77" s="1495"/>
      <c r="O77" s="1515"/>
      <c r="P77" s="1516"/>
      <c r="Q77" s="7"/>
      <c r="R77" s="7"/>
      <c r="S77" s="7"/>
      <c r="T77" s="7"/>
      <c r="U77" s="7"/>
      <c r="V77" s="7"/>
      <c r="W77" s="7"/>
      <c r="Y77" s="7"/>
    </row>
    <row r="78" spans="1:25" ht="6.75" customHeight="1">
      <c r="A78" s="7"/>
      <c r="B78" s="6"/>
      <c r="C78" s="1520"/>
      <c r="D78" s="1495"/>
      <c r="E78" s="1490"/>
      <c r="F78" s="1490"/>
      <c r="G78" s="1491"/>
      <c r="H78" s="1491"/>
      <c r="I78" s="1491"/>
      <c r="J78" s="1491"/>
      <c r="K78" s="1491"/>
      <c r="L78" s="1490"/>
      <c r="M78" s="1491"/>
      <c r="N78" s="1492"/>
      <c r="O78" s="1488"/>
      <c r="P78" s="1493"/>
      <c r="Q78" s="541"/>
      <c r="R78" s="7"/>
      <c r="S78" s="7"/>
      <c r="T78" s="7"/>
      <c r="U78" s="7"/>
      <c r="V78" s="7"/>
      <c r="W78" s="7"/>
      <c r="Y78" s="7"/>
    </row>
    <row r="79" spans="1:25" ht="15" customHeight="1">
      <c r="A79" s="7"/>
      <c r="B79" s="6"/>
      <c r="C79" s="1520"/>
      <c r="D79" s="1521" t="s">
        <v>1791</v>
      </c>
      <c r="E79" s="1490"/>
      <c r="F79" s="1490"/>
      <c r="G79" s="1491"/>
      <c r="H79" s="1491"/>
      <c r="I79" s="1491"/>
      <c r="J79" s="1491"/>
      <c r="K79" s="1491"/>
      <c r="L79" s="1490"/>
      <c r="M79" s="1491"/>
      <c r="N79" s="1492"/>
      <c r="O79" s="1488"/>
      <c r="P79" s="1493"/>
      <c r="Q79" s="541"/>
      <c r="R79" s="7"/>
      <c r="S79" s="7"/>
      <c r="T79" s="7"/>
      <c r="U79" s="7"/>
      <c r="V79" s="7"/>
      <c r="W79" s="7"/>
      <c r="Y79" s="7"/>
    </row>
    <row r="80" spans="1:25" ht="6.75" customHeight="1" thickBot="1">
      <c r="A80" s="7"/>
      <c r="B80" s="6"/>
      <c r="C80" s="1513"/>
      <c r="D80" s="1527"/>
      <c r="E80" s="1495"/>
      <c r="F80" s="1495"/>
      <c r="G80" s="1528"/>
      <c r="H80" s="1527"/>
      <c r="I80" s="1528"/>
      <c r="J80" s="1527"/>
      <c r="K80" s="1528"/>
      <c r="L80" s="1527"/>
      <c r="M80" s="1528"/>
      <c r="N80" s="1495"/>
      <c r="O80" s="1515"/>
      <c r="P80" s="1501"/>
      <c r="Q80" s="541"/>
      <c r="R80" s="7"/>
      <c r="S80" s="7"/>
      <c r="T80" s="7"/>
      <c r="U80" s="7"/>
      <c r="V80" s="7"/>
      <c r="W80" s="7"/>
      <c r="Y80" s="7"/>
    </row>
    <row r="81" spans="1:25" ht="15" customHeight="1" thickBot="1">
      <c r="A81" s="7"/>
      <c r="B81" s="6"/>
      <c r="C81" s="1513"/>
      <c r="D81" s="1517" t="s">
        <v>1459</v>
      </c>
      <c r="E81" s="1522"/>
      <c r="F81" s="1490"/>
      <c r="G81" s="1225" t="s">
        <v>1451</v>
      </c>
      <c r="H81" s="1221"/>
      <c r="I81" s="1225" t="s">
        <v>15</v>
      </c>
      <c r="J81" s="1221"/>
      <c r="K81" s="1225" t="s">
        <v>15</v>
      </c>
      <c r="L81" s="1490"/>
      <c r="M81" s="1225" t="s">
        <v>15</v>
      </c>
      <c r="N81" s="1492"/>
      <c r="O81" s="1488"/>
      <c r="P81" s="1493"/>
      <c r="Q81" s="7"/>
      <c r="R81" s="7"/>
      <c r="S81" s="7"/>
      <c r="T81" s="7"/>
      <c r="U81" s="7"/>
      <c r="V81" s="7"/>
      <c r="W81" s="7"/>
      <c r="Y81" s="7"/>
    </row>
    <row r="82" spans="1:25" ht="6.75" customHeight="1" thickBot="1">
      <c r="A82" s="7"/>
      <c r="B82" s="6"/>
      <c r="C82" s="1513"/>
      <c r="D82" s="1495"/>
      <c r="E82" s="1495"/>
      <c r="F82" s="1495"/>
      <c r="G82" s="1495"/>
      <c r="H82" s="1495"/>
      <c r="I82" s="1495"/>
      <c r="J82" s="1495"/>
      <c r="K82" s="1495"/>
      <c r="L82" s="1495"/>
      <c r="M82" s="1495"/>
      <c r="N82" s="1495"/>
      <c r="O82" s="1515"/>
      <c r="P82" s="1516"/>
      <c r="Q82" s="7"/>
      <c r="R82" s="7"/>
      <c r="S82" s="7"/>
      <c r="T82" s="7"/>
      <c r="U82" s="7"/>
      <c r="V82" s="7"/>
      <c r="W82" s="7"/>
      <c r="Y82" s="7"/>
    </row>
    <row r="83" spans="1:25" ht="74.25" customHeight="1" thickBot="1">
      <c r="A83" s="7"/>
      <c r="B83" s="6"/>
      <c r="C83" s="1497" t="s">
        <v>1499</v>
      </c>
      <c r="D83" s="2108" t="s">
        <v>1502</v>
      </c>
      <c r="E83" s="2108"/>
      <c r="F83" s="1525"/>
      <c r="G83" s="1226"/>
      <c r="H83" s="1526"/>
      <c r="I83" s="1226"/>
      <c r="J83" s="1526"/>
      <c r="K83" s="1226"/>
      <c r="L83" s="1526"/>
      <c r="M83" s="1226"/>
      <c r="N83" s="1495"/>
      <c r="O83" s="1515"/>
      <c r="P83" s="1516"/>
      <c r="Q83" s="7"/>
      <c r="R83" s="7"/>
      <c r="S83" s="7"/>
      <c r="T83" s="7"/>
      <c r="U83" s="7"/>
      <c r="V83" s="7"/>
      <c r="W83" s="7"/>
      <c r="Y83" s="7"/>
    </row>
    <row r="84" spans="1:25" ht="6.75" customHeight="1">
      <c r="A84" s="7"/>
      <c r="B84" s="6"/>
      <c r="C84" s="1520"/>
      <c r="D84" s="1495"/>
      <c r="E84" s="1522"/>
      <c r="F84" s="1490"/>
      <c r="G84" s="1220"/>
      <c r="H84" s="1221"/>
      <c r="I84" s="1220"/>
      <c r="J84" s="1221"/>
      <c r="K84" s="1220"/>
      <c r="L84" s="1490"/>
      <c r="M84" s="1220"/>
      <c r="N84" s="1492"/>
      <c r="O84" s="1488"/>
      <c r="P84" s="1493"/>
      <c r="Q84" s="7"/>
      <c r="R84" s="7"/>
      <c r="S84" s="7"/>
      <c r="T84" s="7"/>
      <c r="U84" s="7"/>
      <c r="V84" s="7"/>
      <c r="W84" s="7"/>
      <c r="Y84" s="7"/>
    </row>
    <row r="85" spans="1:25" ht="15" customHeight="1">
      <c r="A85" s="7"/>
      <c r="B85" s="6"/>
      <c r="C85" s="1520"/>
      <c r="D85" s="1482" t="s">
        <v>1632</v>
      </c>
      <c r="E85" s="1490"/>
      <c r="F85" s="1490"/>
      <c r="G85" s="1491"/>
      <c r="H85" s="1491"/>
      <c r="I85" s="1491"/>
      <c r="J85" s="1491"/>
      <c r="K85" s="1491"/>
      <c r="L85" s="1490"/>
      <c r="M85" s="1491"/>
      <c r="N85" s="1492"/>
      <c r="O85" s="1488"/>
      <c r="P85" s="1493"/>
      <c r="Q85" s="541"/>
      <c r="R85" s="7"/>
      <c r="S85" s="7"/>
      <c r="T85" s="7"/>
      <c r="U85" s="7"/>
      <c r="V85" s="7"/>
      <c r="W85" s="7"/>
      <c r="Y85" s="7"/>
    </row>
    <row r="86" spans="1:25" ht="6.75" customHeight="1" thickBot="1">
      <c r="A86" s="7"/>
      <c r="B86" s="6"/>
      <c r="C86" s="1513"/>
      <c r="D86" s="1527"/>
      <c r="E86" s="1495"/>
      <c r="F86" s="1495"/>
      <c r="G86" s="1528"/>
      <c r="H86" s="1527"/>
      <c r="I86" s="1528"/>
      <c r="J86" s="1527"/>
      <c r="K86" s="1528"/>
      <c r="L86" s="1527"/>
      <c r="M86" s="1528"/>
      <c r="N86" s="1495"/>
      <c r="O86" s="1515"/>
      <c r="P86" s="1501"/>
      <c r="Q86" s="541"/>
      <c r="R86" s="7"/>
      <c r="S86" s="7"/>
      <c r="T86" s="7"/>
      <c r="U86" s="7"/>
      <c r="V86" s="7"/>
      <c r="W86" s="7"/>
      <c r="Y86" s="7"/>
    </row>
    <row r="87" spans="1:25" ht="39.75" customHeight="1" thickBot="1">
      <c r="A87" s="7"/>
      <c r="B87" s="6"/>
      <c r="C87" s="1497" t="s">
        <v>1499</v>
      </c>
      <c r="D87" s="2016" t="s">
        <v>1300</v>
      </c>
      <c r="E87" s="2016"/>
      <c r="F87" s="1495"/>
      <c r="G87" s="1228" t="s">
        <v>15</v>
      </c>
      <c r="H87" s="1527"/>
      <c r="I87" s="1228" t="s">
        <v>15</v>
      </c>
      <c r="J87" s="1527"/>
      <c r="K87" s="1228" t="s">
        <v>15</v>
      </c>
      <c r="L87" s="1527"/>
      <c r="M87" s="1228" t="s">
        <v>15</v>
      </c>
      <c r="N87" s="1495"/>
      <c r="O87" s="1515"/>
      <c r="P87" s="1501"/>
      <c r="Q87" s="541"/>
      <c r="R87" s="7"/>
      <c r="S87" s="7"/>
      <c r="T87" s="7"/>
      <c r="U87" s="7"/>
      <c r="V87" s="7"/>
      <c r="W87" s="7"/>
      <c r="Y87" s="7"/>
    </row>
    <row r="88" spans="1:25" ht="6.75" customHeight="1">
      <c r="A88" s="7"/>
      <c r="B88" s="6"/>
      <c r="C88" s="1529"/>
      <c r="D88" s="1530"/>
      <c r="E88" s="1530"/>
      <c r="F88" s="1530"/>
      <c r="G88" s="1531"/>
      <c r="H88" s="1531"/>
      <c r="I88" s="1531"/>
      <c r="J88" s="1531"/>
      <c r="K88" s="1531"/>
      <c r="L88" s="1531"/>
      <c r="M88" s="1531"/>
      <c r="N88" s="1530"/>
      <c r="O88" s="1532"/>
      <c r="P88" s="1501"/>
      <c r="Q88" s="541"/>
      <c r="R88" s="541"/>
      <c r="S88" s="532"/>
      <c r="T88" s="521"/>
      <c r="U88" s="7"/>
      <c r="V88" s="7"/>
      <c r="W88" s="7"/>
      <c r="Y88" s="7"/>
    </row>
    <row r="89" spans="1:25" ht="15" customHeight="1">
      <c r="A89" s="7"/>
      <c r="B89" s="6"/>
      <c r="C89" s="6"/>
      <c r="D89" s="6"/>
      <c r="E89" s="6"/>
      <c r="F89" s="6"/>
      <c r="G89" s="6"/>
      <c r="H89" s="6"/>
      <c r="I89" s="6"/>
      <c r="J89" s="6"/>
      <c r="K89" s="6"/>
      <c r="L89" s="6"/>
      <c r="M89" s="6"/>
      <c r="N89" s="6"/>
      <c r="O89" s="6"/>
      <c r="P89" s="6"/>
      <c r="Q89" s="541"/>
      <c r="R89" s="7"/>
      <c r="S89" s="7"/>
      <c r="T89" s="521"/>
      <c r="U89" s="7"/>
      <c r="V89" s="7"/>
      <c r="W89" s="7"/>
      <c r="Y89" s="7"/>
    </row>
    <row r="90" spans="1:25">
      <c r="A90" s="7"/>
      <c r="B90" s="6"/>
      <c r="C90" s="1472"/>
      <c r="D90" s="1473" t="s">
        <v>1747</v>
      </c>
      <c r="E90" s="1473"/>
      <c r="F90" s="1473"/>
      <c r="G90" s="1474"/>
      <c r="H90" s="1474"/>
      <c r="I90" s="1475"/>
      <c r="J90" s="1475"/>
      <c r="K90" s="1475"/>
      <c r="L90" s="1475"/>
      <c r="M90" s="1475"/>
      <c r="N90" s="1475"/>
      <c r="O90" s="1476"/>
      <c r="P90" s="1404"/>
      <c r="Q90" s="7"/>
      <c r="R90" s="7"/>
      <c r="S90" s="7"/>
      <c r="T90" s="521"/>
      <c r="U90" s="7"/>
      <c r="V90" s="7"/>
      <c r="W90" s="7"/>
      <c r="Y90" s="7"/>
    </row>
    <row r="91" spans="1:25" ht="6.75" customHeight="1">
      <c r="A91" s="7"/>
      <c r="B91" s="6"/>
      <c r="C91" s="1478"/>
      <c r="D91" s="1533"/>
      <c r="E91" s="1533"/>
      <c r="F91" s="1533"/>
      <c r="G91" s="1426"/>
      <c r="H91" s="1426"/>
      <c r="I91" s="1426"/>
      <c r="J91" s="1426"/>
      <c r="K91" s="1426"/>
      <c r="L91" s="1426"/>
      <c r="M91" s="1426"/>
      <c r="N91" s="1426"/>
      <c r="O91" s="1534"/>
      <c r="P91" s="1404"/>
      <c r="Q91" s="7"/>
      <c r="R91" s="7"/>
      <c r="S91" s="7"/>
      <c r="T91" s="521"/>
      <c r="U91" s="7"/>
      <c r="V91" s="7"/>
      <c r="W91" s="7"/>
      <c r="Y91" s="7"/>
    </row>
    <row r="92" spans="1:25" ht="15" customHeight="1">
      <c r="A92" s="7"/>
      <c r="B92" s="6"/>
      <c r="C92" s="1481"/>
      <c r="D92" s="1535"/>
      <c r="E92" s="1535"/>
      <c r="F92" s="1535"/>
      <c r="G92" s="1496" t="s">
        <v>1</v>
      </c>
      <c r="H92" s="1483"/>
      <c r="I92" s="1496" t="s">
        <v>2</v>
      </c>
      <c r="J92" s="1496"/>
      <c r="K92" s="1496" t="s">
        <v>3</v>
      </c>
      <c r="L92" s="1496"/>
      <c r="M92" s="1496" t="s">
        <v>4</v>
      </c>
      <c r="N92" s="1483"/>
      <c r="O92" s="1536"/>
      <c r="P92" s="1404"/>
      <c r="Q92" s="7"/>
      <c r="R92" s="7"/>
      <c r="S92" s="7"/>
      <c r="T92" s="521"/>
      <c r="U92" s="7"/>
      <c r="V92" s="7"/>
      <c r="W92" s="7"/>
      <c r="Y92" s="7"/>
    </row>
    <row r="93" spans="1:25" ht="6.75" customHeight="1" thickBot="1">
      <c r="A93" s="7"/>
      <c r="B93" s="6"/>
      <c r="C93" s="1481"/>
      <c r="D93" s="1535"/>
      <c r="E93" s="1535"/>
      <c r="F93" s="1535"/>
      <c r="G93" s="1483"/>
      <c r="H93" s="1483"/>
      <c r="I93" s="1483"/>
      <c r="J93" s="1483"/>
      <c r="K93" s="1483"/>
      <c r="L93" s="1483"/>
      <c r="M93" s="1483"/>
      <c r="N93" s="1483"/>
      <c r="O93" s="1536"/>
      <c r="P93" s="1404"/>
      <c r="Q93" s="7"/>
      <c r="R93" s="7"/>
      <c r="S93" s="7"/>
      <c r="T93" s="521"/>
      <c r="U93" s="7"/>
      <c r="V93" s="7"/>
      <c r="W93" s="7"/>
      <c r="Y93" s="7"/>
    </row>
    <row r="94" spans="1:25" ht="36" customHeight="1" thickBot="1">
      <c r="A94" s="7"/>
      <c r="B94" s="6"/>
      <c r="C94" s="1481"/>
      <c r="D94" s="1494" t="s">
        <v>1792</v>
      </c>
      <c r="E94" s="1535"/>
      <c r="F94" s="1535"/>
      <c r="G94" s="1229" t="s">
        <v>15</v>
      </c>
      <c r="H94" s="1537"/>
      <c r="I94" s="1229" t="s">
        <v>15</v>
      </c>
      <c r="J94" s="1537"/>
      <c r="K94" s="1229" t="s">
        <v>15</v>
      </c>
      <c r="L94" s="1528"/>
      <c r="M94" s="1229" t="s">
        <v>15</v>
      </c>
      <c r="N94" s="1538"/>
      <c r="O94" s="1536"/>
      <c r="P94" s="1404"/>
      <c r="Q94" s="7"/>
      <c r="R94" s="7"/>
      <c r="S94" s="7"/>
      <c r="T94" s="521"/>
      <c r="U94" s="7"/>
      <c r="V94" s="7"/>
      <c r="W94" s="7"/>
      <c r="Y94" s="7"/>
    </row>
    <row r="95" spans="1:25" ht="18" hidden="1" customHeight="1">
      <c r="A95" s="7"/>
      <c r="B95" s="6"/>
      <c r="C95" s="1481"/>
      <c r="D95" s="1539"/>
      <c r="E95" s="1535"/>
      <c r="F95" s="1535"/>
      <c r="G95" s="1540">
        <f>IF(G94="Sonde de O2",1,0)</f>
        <v>0</v>
      </c>
      <c r="H95" s="1540"/>
      <c r="I95" s="1540">
        <f>IF(I94="Sonde de O2",1,0)</f>
        <v>0</v>
      </c>
      <c r="J95" s="1540"/>
      <c r="K95" s="1540">
        <f>IF(K94="Sonde de O2",1,0)</f>
        <v>0</v>
      </c>
      <c r="L95" s="1540"/>
      <c r="M95" s="1540">
        <f>IF(M94="Sonde de O2",1,0)</f>
        <v>0</v>
      </c>
      <c r="N95" s="1538"/>
      <c r="O95" s="1536"/>
      <c r="P95" s="1404"/>
      <c r="Q95" s="7"/>
      <c r="R95" s="541" t="s">
        <v>8</v>
      </c>
      <c r="S95" s="7"/>
      <c r="T95" s="521"/>
      <c r="U95" s="7"/>
      <c r="V95" s="7"/>
      <c r="W95" s="7"/>
      <c r="Y95" s="7"/>
    </row>
    <row r="96" spans="1:25" ht="6.75" customHeight="1" thickBot="1">
      <c r="A96" s="7"/>
      <c r="B96" s="6"/>
      <c r="C96" s="1481"/>
      <c r="D96" s="1541"/>
      <c r="E96" s="1490"/>
      <c r="F96" s="1490"/>
      <c r="G96" s="1491"/>
      <c r="H96" s="1491"/>
      <c r="I96" s="1491"/>
      <c r="J96" s="1491"/>
      <c r="K96" s="1491"/>
      <c r="L96" s="1490"/>
      <c r="M96" s="1491"/>
      <c r="N96" s="1483"/>
      <c r="O96" s="1515"/>
      <c r="P96" s="1404"/>
      <c r="Q96" s="541"/>
      <c r="R96" s="7"/>
      <c r="S96" s="7"/>
      <c r="T96" s="7"/>
      <c r="U96" s="7"/>
      <c r="V96" s="7"/>
      <c r="W96" s="7"/>
      <c r="Y96" s="7"/>
    </row>
    <row r="97" spans="1:26" ht="16.5" customHeight="1" thickBot="1">
      <c r="A97" s="7"/>
      <c r="B97" s="6"/>
      <c r="C97" s="1542" t="s">
        <v>1499</v>
      </c>
      <c r="D97" s="1541" t="s">
        <v>1932</v>
      </c>
      <c r="E97" s="1490"/>
      <c r="F97" s="1490"/>
      <c r="G97" s="1230"/>
      <c r="H97" s="1543"/>
      <c r="I97" s="1230"/>
      <c r="J97" s="1543"/>
      <c r="K97" s="1230"/>
      <c r="L97" s="1544"/>
      <c r="M97" s="1230"/>
      <c r="N97" s="1483"/>
      <c r="O97" s="1515"/>
      <c r="P97" s="1404"/>
      <c r="Q97" s="541"/>
      <c r="R97" s="7"/>
      <c r="S97" s="7"/>
      <c r="T97" s="7"/>
      <c r="U97" s="7"/>
      <c r="V97" s="7"/>
      <c r="W97" s="7"/>
      <c r="Y97" s="7"/>
    </row>
    <row r="98" spans="1:26" ht="6.75" customHeight="1">
      <c r="A98" s="7"/>
      <c r="B98" s="1545"/>
      <c r="C98" s="1546"/>
      <c r="D98" s="1547"/>
      <c r="E98" s="1547"/>
      <c r="F98" s="1547"/>
      <c r="G98" s="1547"/>
      <c r="H98" s="1547"/>
      <c r="I98" s="1547"/>
      <c r="J98" s="1547"/>
      <c r="K98" s="1547"/>
      <c r="L98" s="1547"/>
      <c r="M98" s="1547"/>
      <c r="N98" s="1547"/>
      <c r="O98" s="1548"/>
      <c r="P98" s="1404"/>
      <c r="Q98" s="7"/>
      <c r="R98" s="7"/>
      <c r="S98" s="7"/>
      <c r="T98" s="7"/>
      <c r="U98" s="7"/>
      <c r="V98" s="7"/>
      <c r="W98" s="7"/>
      <c r="Y98" s="7"/>
    </row>
    <row r="99" spans="1:26" ht="12.75" hidden="1" customHeight="1" outlineLevel="1">
      <c r="A99" s="7"/>
      <c r="B99" s="6"/>
      <c r="C99" s="1399"/>
      <c r="D99" s="1549"/>
      <c r="E99" s="1549"/>
      <c r="F99" s="1549"/>
      <c r="G99" s="1549"/>
      <c r="H99" s="1549"/>
      <c r="I99" s="1549"/>
      <c r="J99" s="1549"/>
      <c r="K99" s="1549"/>
      <c r="L99" s="1549"/>
      <c r="M99" s="1549"/>
      <c r="N99" s="1549"/>
      <c r="O99" s="1549"/>
      <c r="P99" s="1404"/>
      <c r="Q99" s="7"/>
      <c r="R99" s="7"/>
      <c r="S99" s="7"/>
      <c r="T99" s="7"/>
      <c r="U99" s="7"/>
      <c r="V99" s="7"/>
      <c r="W99" s="7"/>
      <c r="Y99" s="7"/>
    </row>
    <row r="100" spans="1:26" hidden="1" outlineLevel="1">
      <c r="A100" s="7"/>
      <c r="B100" s="1382"/>
      <c r="C100" s="1448"/>
      <c r="D100" s="1383" t="s">
        <v>1940</v>
      </c>
      <c r="E100" s="1384"/>
      <c r="F100" s="1384"/>
      <c r="G100" s="1384"/>
      <c r="H100" s="1384"/>
      <c r="I100" s="1384"/>
      <c r="J100" s="1384"/>
      <c r="K100" s="1385"/>
      <c r="L100" s="1385"/>
      <c r="M100" s="1385"/>
      <c r="N100" s="1385"/>
      <c r="O100" s="1386"/>
      <c r="P100" s="1267"/>
      <c r="Q100" s="7"/>
      <c r="R100" s="541"/>
      <c r="S100" s="7"/>
      <c r="T100" s="7"/>
      <c r="U100" s="7"/>
      <c r="V100" s="7"/>
      <c r="W100" s="7"/>
      <c r="Y100" s="7"/>
      <c r="Z100" s="1419" t="s">
        <v>1692</v>
      </c>
    </row>
    <row r="101" spans="1:26" hidden="1" outlineLevel="1">
      <c r="A101" s="7"/>
      <c r="B101" s="1387"/>
      <c r="C101" s="1550"/>
      <c r="D101" s="1551" t="s">
        <v>1628</v>
      </c>
      <c r="E101" s="1389"/>
      <c r="F101" s="1389"/>
      <c r="G101" s="1389"/>
      <c r="H101" s="1389"/>
      <c r="I101" s="1389"/>
      <c r="J101" s="1389"/>
      <c r="K101" s="1390"/>
      <c r="L101" s="1390"/>
      <c r="M101" s="1390"/>
      <c r="N101" s="1390"/>
      <c r="O101" s="1391"/>
      <c r="P101" s="1392"/>
      <c r="Q101" s="7"/>
      <c r="R101" s="7"/>
      <c r="S101" s="7"/>
      <c r="T101" s="7"/>
      <c r="U101" s="7"/>
      <c r="V101" s="7"/>
      <c r="W101" s="7"/>
      <c r="Y101" s="7"/>
    </row>
    <row r="102" spans="1:26" hidden="1" outlineLevel="1">
      <c r="A102" s="7"/>
      <c r="B102" s="1387"/>
      <c r="C102" s="1966" t="s">
        <v>1629</v>
      </c>
      <c r="D102" s="1966"/>
      <c r="E102" s="1966"/>
      <c r="F102" s="1977"/>
      <c r="G102" s="1973" t="s">
        <v>1324</v>
      </c>
      <c r="H102" s="1975"/>
      <c r="I102" s="1973" t="s">
        <v>1325</v>
      </c>
      <c r="J102" s="1975"/>
      <c r="K102" s="1973" t="s">
        <v>1326</v>
      </c>
      <c r="L102" s="1975"/>
      <c r="M102" s="1973" t="s">
        <v>1327</v>
      </c>
      <c r="N102" s="1975"/>
      <c r="O102" s="6"/>
      <c r="P102" s="6"/>
      <c r="Q102" s="2121" t="s">
        <v>1692</v>
      </c>
      <c r="R102" s="2122"/>
      <c r="S102" s="7"/>
      <c r="T102" s="1552" t="s">
        <v>510</v>
      </c>
      <c r="U102" s="1553"/>
      <c r="V102" s="1553"/>
      <c r="W102" s="1553"/>
      <c r="X102" s="1554"/>
      <c r="Y102" s="7"/>
    </row>
    <row r="103" spans="1:26" hidden="1" outlineLevel="1">
      <c r="A103" s="7"/>
      <c r="B103" s="1387"/>
      <c r="C103" s="1966"/>
      <c r="D103" s="1966"/>
      <c r="E103" s="1966"/>
      <c r="F103" s="1977"/>
      <c r="G103" s="1976"/>
      <c r="H103" s="1977"/>
      <c r="I103" s="1976"/>
      <c r="J103" s="1977"/>
      <c r="K103" s="1976"/>
      <c r="L103" s="1977"/>
      <c r="M103" s="1976"/>
      <c r="N103" s="1977"/>
      <c r="O103" s="6"/>
      <c r="P103" s="6"/>
      <c r="Q103" s="2122"/>
      <c r="R103" s="2122"/>
      <c r="S103" s="7"/>
      <c r="T103" s="1555" t="s">
        <v>15</v>
      </c>
      <c r="U103" s="1555">
        <v>0</v>
      </c>
      <c r="V103" s="1555" t="s">
        <v>15</v>
      </c>
      <c r="W103" s="1555">
        <v>0</v>
      </c>
      <c r="X103" s="1556" t="s">
        <v>15</v>
      </c>
      <c r="Y103" s="7"/>
    </row>
    <row r="104" spans="1:26" hidden="1" outlineLevel="1">
      <c r="A104" s="7"/>
      <c r="B104" s="1387"/>
      <c r="C104" s="2041" t="s">
        <v>411</v>
      </c>
      <c r="D104" s="2042"/>
      <c r="E104" s="2042"/>
      <c r="F104" s="2043"/>
      <c r="G104" s="2024" t="str">
        <f>'3c. Calculateur MEÉ 2-3-4'!G68</f>
        <v>&lt; sélectionner &gt;</v>
      </c>
      <c r="H104" s="2025"/>
      <c r="I104" s="2024" t="str">
        <f>'3c. Calculateur MEÉ 2-3-4'!I68</f>
        <v>&lt; sélectionner &gt;</v>
      </c>
      <c r="J104" s="2025"/>
      <c r="K104" s="2024" t="str">
        <f>'3c. Calculateur MEÉ 2-3-4'!K68</f>
        <v>&lt; sélectionner &gt;</v>
      </c>
      <c r="L104" s="2025"/>
      <c r="M104" s="2024" t="str">
        <f>'3c. Calculateur MEÉ 2-3-4'!M68</f>
        <v>&lt; sélectionner &gt;</v>
      </c>
      <c r="N104" s="2072"/>
      <c r="O104" s="6"/>
      <c r="P104" s="6"/>
      <c r="Q104" s="2122"/>
      <c r="R104" s="2122"/>
      <c r="S104" s="7"/>
      <c r="T104" s="1555" t="s">
        <v>516</v>
      </c>
      <c r="U104" s="1555">
        <v>1</v>
      </c>
      <c r="V104" s="1555" t="s">
        <v>512</v>
      </c>
      <c r="W104" s="1555">
        <v>1</v>
      </c>
      <c r="X104" s="1556" t="s">
        <v>314</v>
      </c>
      <c r="Y104" s="7"/>
    </row>
    <row r="105" spans="1:26" ht="18" hidden="1" outlineLevel="1">
      <c r="A105" s="7"/>
      <c r="B105" s="1387"/>
      <c r="C105" s="2013" t="s">
        <v>914</v>
      </c>
      <c r="D105" s="2014"/>
      <c r="E105" s="2014"/>
      <c r="F105" s="2015"/>
      <c r="G105" s="2008">
        <f>LOOKUP(G104,$V$103:$V$111,$W$103:$W$111)</f>
        <v>0</v>
      </c>
      <c r="H105" s="2009"/>
      <c r="I105" s="2008">
        <f t="shared" ref="I105" si="0">LOOKUP(I104,$V$103:$V$111,$W$103:$W$111)</f>
        <v>0</v>
      </c>
      <c r="J105" s="2009"/>
      <c r="K105" s="2008">
        <f t="shared" ref="K105" si="1">LOOKUP(K104,$V$103:$V$111,$W$103:$W$111)</f>
        <v>0</v>
      </c>
      <c r="L105" s="2009"/>
      <c r="M105" s="2008">
        <f t="shared" ref="M105" si="2">LOOKUP(M104,$V$103:$V$111,$W$103:$W$111)</f>
        <v>0</v>
      </c>
      <c r="N105" s="2023"/>
      <c r="O105" s="1557"/>
      <c r="P105" s="6"/>
      <c r="Q105" s="2122"/>
      <c r="R105" s="2122"/>
      <c r="S105" s="7"/>
      <c r="T105" s="1555" t="s">
        <v>517</v>
      </c>
      <c r="U105" s="1555">
        <v>2</v>
      </c>
      <c r="V105" s="1555" t="s">
        <v>513</v>
      </c>
      <c r="W105" s="1555">
        <v>2</v>
      </c>
      <c r="X105" s="1556" t="s">
        <v>1216</v>
      </c>
      <c r="Y105" s="7"/>
    </row>
    <row r="106" spans="1:26" ht="18.75" hidden="1" outlineLevel="1" thickBot="1">
      <c r="A106" s="7"/>
      <c r="B106" s="1387"/>
      <c r="C106" s="2013" t="s">
        <v>310</v>
      </c>
      <c r="D106" s="2014"/>
      <c r="E106" s="2014"/>
      <c r="F106" s="2015"/>
      <c r="G106" s="2008">
        <f>LOOKUP(G104,$T$103:$T$111,$U$103:$U$111)</f>
        <v>0</v>
      </c>
      <c r="H106" s="2009"/>
      <c r="I106" s="2008">
        <f>LOOKUP(I104,$T$103:$T$111,$U$103:$U$111)</f>
        <v>0</v>
      </c>
      <c r="J106" s="2009"/>
      <c r="K106" s="2008">
        <f>LOOKUP(K104,$T$103:$T$111,$U$103:$U$111)</f>
        <v>0</v>
      </c>
      <c r="L106" s="2009"/>
      <c r="M106" s="2008">
        <f>LOOKUP(M104,$T$103:$T$111,$U$103:$U$111)</f>
        <v>0</v>
      </c>
      <c r="N106" s="2023"/>
      <c r="O106" s="6"/>
      <c r="P106" s="6"/>
      <c r="Q106" s="2122"/>
      <c r="R106" s="2122"/>
      <c r="S106" s="7"/>
      <c r="T106" s="1555" t="s">
        <v>518</v>
      </c>
      <c r="U106" s="1555">
        <v>3</v>
      </c>
      <c r="V106" s="1555" t="s">
        <v>514</v>
      </c>
      <c r="W106" s="1555">
        <v>3</v>
      </c>
      <c r="X106" s="1556" t="s">
        <v>1217</v>
      </c>
      <c r="Y106" s="7"/>
    </row>
    <row r="107" spans="1:26" ht="15.75" hidden="1" outlineLevel="1" thickBot="1">
      <c r="A107" s="7"/>
      <c r="B107" s="1387"/>
      <c r="C107" s="2020" t="s">
        <v>1303</v>
      </c>
      <c r="D107" s="2021"/>
      <c r="E107" s="2021"/>
      <c r="F107" s="2022"/>
      <c r="G107" s="2010">
        <f>IF(G106&gt;0,G75,0)</f>
        <v>0</v>
      </c>
      <c r="H107" s="2011"/>
      <c r="I107" s="2010">
        <f>IF(I106&gt;0,I75,0)</f>
        <v>0</v>
      </c>
      <c r="J107" s="2011"/>
      <c r="K107" s="2010">
        <f>IF(K106&gt;0,K75,0)</f>
        <v>0</v>
      </c>
      <c r="L107" s="2011"/>
      <c r="M107" s="2010">
        <f>IF(M106&gt;0,M75,0)</f>
        <v>0</v>
      </c>
      <c r="N107" s="2012"/>
      <c r="O107" s="6"/>
      <c r="P107" s="6"/>
      <c r="Q107" s="2122"/>
      <c r="R107" s="2122"/>
      <c r="S107" s="7"/>
      <c r="T107" s="1555"/>
      <c r="U107" s="1555"/>
      <c r="V107" s="1555"/>
      <c r="W107" s="1555"/>
      <c r="X107" s="1558"/>
      <c r="Y107" s="7"/>
    </row>
    <row r="108" spans="1:26" ht="15" hidden="1" customHeight="1" outlineLevel="1" thickBot="1">
      <c r="A108" s="7"/>
      <c r="B108" s="1387"/>
      <c r="C108" s="2017" t="s">
        <v>1323</v>
      </c>
      <c r="D108" s="2018"/>
      <c r="E108" s="2018"/>
      <c r="F108" s="2019"/>
      <c r="G108" s="2123" t="str">
        <f>'3c. Calculateur MEÉ 2-3-4'!G87</f>
        <v>&lt; sélectionner &gt;</v>
      </c>
      <c r="H108" s="2124"/>
      <c r="I108" s="2123" t="str">
        <f>'3c. Calculateur MEÉ 2-3-4'!I87</f>
        <v>&lt; sélectionner &gt;</v>
      </c>
      <c r="J108" s="2124"/>
      <c r="K108" s="2123" t="str">
        <f>'3c. Calculateur MEÉ 2-3-4'!K87</f>
        <v>&lt; sélectionner &gt;</v>
      </c>
      <c r="L108" s="2124"/>
      <c r="M108" s="2123" t="str">
        <f>'3c. Calculateur MEÉ 2-3-4'!M87</f>
        <v>&lt; sélectionner &gt;</v>
      </c>
      <c r="N108" s="2125"/>
      <c r="O108" s="6"/>
      <c r="P108" s="6"/>
      <c r="Q108" s="2122"/>
      <c r="R108" s="2122"/>
      <c r="S108" s="7"/>
      <c r="T108" s="1555" t="s">
        <v>519</v>
      </c>
      <c r="U108" s="1555">
        <v>4</v>
      </c>
      <c r="V108" s="1555" t="s">
        <v>515</v>
      </c>
      <c r="W108" s="1555">
        <v>4</v>
      </c>
      <c r="X108" s="1559"/>
      <c r="Y108" s="7"/>
    </row>
    <row r="109" spans="1:26" hidden="1" outlineLevel="1">
      <c r="A109" s="7"/>
      <c r="B109" s="1387"/>
      <c r="C109" s="2013" t="s">
        <v>914</v>
      </c>
      <c r="D109" s="2014"/>
      <c r="E109" s="2014"/>
      <c r="F109" s="2015"/>
      <c r="G109" s="2008">
        <f>LOOKUP(G108,$V$103:$V$111,$W$103:$W$111)</f>
        <v>0</v>
      </c>
      <c r="H109" s="2009"/>
      <c r="I109" s="2008">
        <f>LOOKUP(I108,$V$103:$V$111,$W$103:$W$111)</f>
        <v>0</v>
      </c>
      <c r="J109" s="2009"/>
      <c r="K109" s="2008">
        <f t="shared" ref="K109" si="3">LOOKUP(K108,$V$103:$V$111,$W$103:$W$111)</f>
        <v>0</v>
      </c>
      <c r="L109" s="2009"/>
      <c r="M109" s="2008">
        <f t="shared" ref="M109" si="4">LOOKUP(M108,$V$103:$V$111,$W$103:$W$111)</f>
        <v>0</v>
      </c>
      <c r="N109" s="2023"/>
      <c r="O109" s="6"/>
      <c r="P109" s="6"/>
      <c r="Q109" s="2122"/>
      <c r="R109" s="2122"/>
      <c r="S109" s="7"/>
      <c r="T109" s="1560" t="s">
        <v>520</v>
      </c>
      <c r="U109" s="1560">
        <v>0</v>
      </c>
      <c r="V109" s="1555" t="s">
        <v>337</v>
      </c>
      <c r="W109" s="1555">
        <v>0</v>
      </c>
      <c r="X109" s="1559"/>
      <c r="Y109" s="7"/>
    </row>
    <row r="110" spans="1:26" ht="15.75" hidden="1" outlineLevel="1" thickBot="1">
      <c r="A110" s="7"/>
      <c r="B110" s="1387"/>
      <c r="C110" s="2020" t="s">
        <v>1936</v>
      </c>
      <c r="D110" s="2021"/>
      <c r="E110" s="2021"/>
      <c r="F110" s="2022"/>
      <c r="G110" s="2010">
        <f>LOOKUP(G108,$T$103:$T$111,$U$103:$U$111)</f>
        <v>0</v>
      </c>
      <c r="H110" s="2011"/>
      <c r="I110" s="2010">
        <f t="shared" ref="I110" si="5">LOOKUP(I108,$T$103:$T$111,$U$103:$U$111)</f>
        <v>0</v>
      </c>
      <c r="J110" s="2011"/>
      <c r="K110" s="2010">
        <f t="shared" ref="K110" si="6">LOOKUP(K108,$T$103:$T$111,$U$103:$U$111)</f>
        <v>0</v>
      </c>
      <c r="L110" s="2011"/>
      <c r="M110" s="2010">
        <f>LOOKUP(M108,$T$103:$T$111,$U$103:$U$111)</f>
        <v>0</v>
      </c>
      <c r="N110" s="2012"/>
      <c r="O110" s="6"/>
      <c r="P110" s="6"/>
      <c r="Q110" s="2122"/>
      <c r="R110" s="2122"/>
      <c r="S110" s="7"/>
      <c r="T110" s="1560"/>
      <c r="U110" s="1560"/>
      <c r="V110" s="1555"/>
      <c r="W110" s="1555"/>
      <c r="X110" s="1559"/>
      <c r="Y110" s="7"/>
    </row>
    <row r="111" spans="1:26" ht="15" hidden="1" customHeight="1" outlineLevel="1">
      <c r="A111" s="7"/>
      <c r="B111" s="1387"/>
      <c r="C111" s="2044" t="s">
        <v>565</v>
      </c>
      <c r="D111" s="2045"/>
      <c r="E111" s="2045"/>
      <c r="F111" s="2046"/>
      <c r="G111" s="2024" t="str">
        <f>'3c. Calculateur MEÉ 2-3-4'!G94</f>
        <v>&lt; sélectionner &gt;</v>
      </c>
      <c r="H111" s="2025"/>
      <c r="I111" s="2024" t="str">
        <f>'3c. Calculateur MEÉ 2-3-4'!I94</f>
        <v>&lt; sélectionner &gt;</v>
      </c>
      <c r="J111" s="2025"/>
      <c r="K111" s="2024" t="str">
        <f>'3c. Calculateur MEÉ 2-3-4'!K94</f>
        <v>&lt; sélectionner &gt;</v>
      </c>
      <c r="L111" s="2025"/>
      <c r="M111" s="2024" t="str">
        <f>'3c. Calculateur MEÉ 2-3-4'!M94</f>
        <v>&lt; sélectionner &gt;</v>
      </c>
      <c r="N111" s="2072"/>
      <c r="O111" s="1561"/>
      <c r="P111" s="1561"/>
      <c r="Q111" s="2122"/>
      <c r="R111" s="2122"/>
      <c r="S111" s="7"/>
      <c r="T111" s="1555" t="s">
        <v>337</v>
      </c>
      <c r="U111" s="1555">
        <v>0</v>
      </c>
      <c r="V111" s="1555"/>
      <c r="W111" s="1555"/>
      <c r="X111" s="1562"/>
      <c r="Y111" s="7"/>
    </row>
    <row r="112" spans="1:26" hidden="1" outlineLevel="1">
      <c r="A112" s="7"/>
      <c r="B112" s="1387"/>
      <c r="C112" s="2032" t="s">
        <v>17</v>
      </c>
      <c r="D112" s="2033"/>
      <c r="E112" s="2033"/>
      <c r="F112" s="2034"/>
      <c r="G112" s="2008">
        <f>IF(G111=$X$104,1,0)</f>
        <v>0</v>
      </c>
      <c r="H112" s="2009"/>
      <c r="I112" s="2008">
        <f>IF(I111=$X$104,1,0)</f>
        <v>0</v>
      </c>
      <c r="J112" s="2009"/>
      <c r="K112" s="2008">
        <f>IF(K111=$X$104,1,0)</f>
        <v>0</v>
      </c>
      <c r="L112" s="2009"/>
      <c r="M112" s="2008">
        <f>IF(M111=$X$104,1,0)</f>
        <v>0</v>
      </c>
      <c r="N112" s="2023"/>
      <c r="O112" s="6"/>
      <c r="P112" s="6"/>
      <c r="Q112" s="2122"/>
      <c r="R112" s="2122"/>
      <c r="S112" s="7"/>
      <c r="T112" s="7"/>
      <c r="U112" s="7"/>
      <c r="V112" s="7"/>
      <c r="W112" s="7"/>
      <c r="Y112" s="7"/>
    </row>
    <row r="113" spans="1:26" hidden="1" outlineLevel="1">
      <c r="A113" s="7"/>
      <c r="B113" s="1387"/>
      <c r="C113" s="2032" t="s">
        <v>573</v>
      </c>
      <c r="D113" s="2033"/>
      <c r="E113" s="2033"/>
      <c r="F113" s="2034"/>
      <c r="G113" s="2008">
        <f>IF(G111=$X$105,1,0)</f>
        <v>0</v>
      </c>
      <c r="H113" s="2009"/>
      <c r="I113" s="2008">
        <f>IF(I111=$X$105,1,0)</f>
        <v>0</v>
      </c>
      <c r="J113" s="2009"/>
      <c r="K113" s="2008">
        <f>IF(K111=$X$105,1,0)</f>
        <v>0</v>
      </c>
      <c r="L113" s="2009"/>
      <c r="M113" s="2008">
        <f>IF(M111=$X$105,1,0)</f>
        <v>0</v>
      </c>
      <c r="N113" s="2023"/>
      <c r="O113" s="1391"/>
      <c r="P113" s="1392"/>
      <c r="Q113" s="2122"/>
      <c r="R113" s="2122"/>
      <c r="S113" s="7"/>
      <c r="T113" s="7"/>
      <c r="U113" s="7"/>
      <c r="V113" s="7"/>
      <c r="W113" s="7"/>
      <c r="Y113" s="7"/>
    </row>
    <row r="114" spans="1:26" ht="15" hidden="1" customHeight="1" outlineLevel="1" thickBot="1">
      <c r="A114" s="7"/>
      <c r="B114" s="1387"/>
      <c r="C114" s="2029" t="s">
        <v>905</v>
      </c>
      <c r="D114" s="2030"/>
      <c r="E114" s="2030"/>
      <c r="F114" s="2031"/>
      <c r="G114" s="2010">
        <f>IF(G111=$X$106,1,0)</f>
        <v>0</v>
      </c>
      <c r="H114" s="2011"/>
      <c r="I114" s="2010">
        <f>IF(I111=$X$106,1,0)</f>
        <v>0</v>
      </c>
      <c r="J114" s="2011"/>
      <c r="K114" s="2010">
        <f>IF(K111=$X$106,1,0)</f>
        <v>0</v>
      </c>
      <c r="L114" s="2011"/>
      <c r="M114" s="2010">
        <f>IF(M111=$X$106,1,0)</f>
        <v>0</v>
      </c>
      <c r="N114" s="2012"/>
      <c r="O114" s="1391"/>
      <c r="P114" s="1392"/>
      <c r="Q114" s="2122"/>
      <c r="R114" s="2122"/>
      <c r="S114" s="7"/>
      <c r="T114" s="2113"/>
      <c r="U114" s="2113"/>
      <c r="V114" s="2113"/>
      <c r="W114" s="2113"/>
      <c r="X114" s="2113"/>
      <c r="Y114" s="7"/>
    </row>
    <row r="115" spans="1:26" ht="15" hidden="1" customHeight="1" outlineLevel="1">
      <c r="A115" s="7"/>
      <c r="B115" s="1387"/>
      <c r="C115" s="1563"/>
      <c r="D115" s="1389"/>
      <c r="E115" s="1389"/>
      <c r="F115" s="1389"/>
      <c r="G115" s="1390"/>
      <c r="H115" s="1390"/>
      <c r="I115" s="1390"/>
      <c r="J115" s="1390"/>
      <c r="K115" s="1390"/>
      <c r="L115" s="1390"/>
      <c r="M115" s="1390"/>
      <c r="N115" s="1390"/>
      <c r="O115" s="1391"/>
      <c r="P115" s="1392"/>
      <c r="Q115" s="1564"/>
      <c r="R115" s="1565"/>
      <c r="S115" s="7"/>
      <c r="T115" s="2113"/>
      <c r="U115" s="7"/>
      <c r="V115" s="7"/>
      <c r="W115" s="7"/>
      <c r="Y115" s="7"/>
    </row>
    <row r="116" spans="1:26" ht="15" hidden="1" customHeight="1" outlineLevel="1">
      <c r="A116" s="7"/>
      <c r="B116" s="1387"/>
      <c r="C116" s="2040" t="s">
        <v>1629</v>
      </c>
      <c r="D116" s="2040"/>
      <c r="E116" s="2040"/>
      <c r="F116" s="2040"/>
      <c r="G116" s="2040" t="s">
        <v>1</v>
      </c>
      <c r="H116" s="2040"/>
      <c r="I116" s="2040" t="s">
        <v>2</v>
      </c>
      <c r="J116" s="2040"/>
      <c r="K116" s="2040" t="s">
        <v>3</v>
      </c>
      <c r="L116" s="2040"/>
      <c r="M116" s="2040" t="s">
        <v>4</v>
      </c>
      <c r="N116" s="2040"/>
      <c r="O116" s="6"/>
      <c r="P116" s="6"/>
      <c r="Q116" s="1565"/>
      <c r="R116" s="1567" t="s">
        <v>1759</v>
      </c>
      <c r="S116" s="7"/>
      <c r="T116" s="2117" t="s">
        <v>1937</v>
      </c>
      <c r="U116" s="2114" t="s">
        <v>1938</v>
      </c>
      <c r="V116" s="2115"/>
      <c r="W116" s="2115"/>
      <c r="X116" s="2116"/>
      <c r="Y116" s="7"/>
    </row>
    <row r="117" spans="1:26" hidden="1" outlineLevel="1">
      <c r="A117" s="7"/>
      <c r="B117" s="1387"/>
      <c r="C117" s="2040"/>
      <c r="D117" s="2040"/>
      <c r="E117" s="2040"/>
      <c r="F117" s="2040"/>
      <c r="G117" s="2040"/>
      <c r="H117" s="2040"/>
      <c r="I117" s="2040"/>
      <c r="J117" s="2040"/>
      <c r="K117" s="2040"/>
      <c r="L117" s="2040"/>
      <c r="M117" s="2040"/>
      <c r="N117" s="2040"/>
      <c r="O117" s="6"/>
      <c r="P117" s="6"/>
      <c r="Q117" s="1565"/>
      <c r="R117" s="1565"/>
      <c r="S117" s="7"/>
      <c r="T117" s="2118"/>
      <c r="U117" s="1568">
        <v>1</v>
      </c>
      <c r="V117" s="1568">
        <v>2</v>
      </c>
      <c r="W117" s="1568">
        <v>3</v>
      </c>
      <c r="X117" s="1568">
        <v>4</v>
      </c>
      <c r="Y117" s="7"/>
    </row>
    <row r="118" spans="1:26" s="1523" customFormat="1" ht="31.5" hidden="1" customHeight="1" outlineLevel="1">
      <c r="A118" s="710"/>
      <c r="B118" s="1569"/>
      <c r="C118" s="2006" t="s">
        <v>17</v>
      </c>
      <c r="D118" s="2006"/>
      <c r="E118" s="2006"/>
      <c r="F118" s="2006"/>
      <c r="G118" s="2007">
        <f>IF(OR($G$112&gt;0,$G$114&gt;0),"X",0)</f>
        <v>0</v>
      </c>
      <c r="H118" s="2007"/>
      <c r="I118" s="2007">
        <f>IF(OR($I$112&gt;0,$I$114&gt;0),"X",0)</f>
        <v>0</v>
      </c>
      <c r="J118" s="2007"/>
      <c r="K118" s="2007">
        <f>IF(OR($K$112&gt;0,$K$114&gt;0),"X",0)</f>
        <v>0</v>
      </c>
      <c r="L118" s="2007"/>
      <c r="M118" s="2007">
        <f>IF(OR($M$112&gt;0,$M$114&gt;0),"X",0)</f>
        <v>0</v>
      </c>
      <c r="N118" s="2007"/>
      <c r="O118" s="1519"/>
      <c r="P118" s="1519"/>
      <c r="Q118" s="1565"/>
      <c r="R118" s="574">
        <f>IF(COUNTIF(G118:N118,0)=4,0,"X")</f>
        <v>0</v>
      </c>
      <c r="S118" s="710"/>
      <c r="T118" s="2119"/>
      <c r="U118" s="1570" t="str">
        <f>G104</f>
        <v>&lt; sélectionner &gt;</v>
      </c>
      <c r="V118" s="1570" t="str">
        <f>I104</f>
        <v>&lt; sélectionner &gt;</v>
      </c>
      <c r="W118" s="1570" t="str">
        <f>K104</f>
        <v>&lt; sélectionner &gt;</v>
      </c>
      <c r="X118" s="1570" t="str">
        <f>M104</f>
        <v>&lt; sélectionner &gt;</v>
      </c>
      <c r="Y118" s="710"/>
    </row>
    <row r="119" spans="1:26" s="1523" customFormat="1" ht="31.5" hidden="1" customHeight="1" outlineLevel="1">
      <c r="A119" s="710"/>
      <c r="B119" s="1569"/>
      <c r="C119" s="2006" t="s">
        <v>1416</v>
      </c>
      <c r="D119" s="2006"/>
      <c r="E119" s="2006"/>
      <c r="F119" s="2006"/>
      <c r="G119" s="2007">
        <f>IF(OR($G$113&gt;0,$G$114&gt;0),"X",0)</f>
        <v>0</v>
      </c>
      <c r="H119" s="2007"/>
      <c r="I119" s="2007">
        <f>IF(OR($I$113&gt;0,$I$114&gt;0),"X",0)</f>
        <v>0</v>
      </c>
      <c r="J119" s="2007"/>
      <c r="K119" s="2007">
        <f>IF(OR($K$113&gt;0,$K$114&gt;0),"X",0)</f>
        <v>0</v>
      </c>
      <c r="L119" s="2007"/>
      <c r="M119" s="2007">
        <f>IF(OR($M$113&gt;0,$M$114&gt;0),"X",0)</f>
        <v>0</v>
      </c>
      <c r="N119" s="2007"/>
      <c r="O119" s="1571"/>
      <c r="P119" s="1572"/>
      <c r="Q119" s="1565"/>
      <c r="R119" s="574">
        <f>IF(COUNTIF(G119:N119,0)=4,0,"X")</f>
        <v>0</v>
      </c>
      <c r="S119" s="710"/>
      <c r="T119" s="1573">
        <v>1</v>
      </c>
      <c r="U119" s="717" t="str">
        <f>IF($G$108=$U$118,"n°"&amp;$T$119,"")</f>
        <v>n°1</v>
      </c>
      <c r="V119" s="717" t="str">
        <f>IF($G$108=$V$118,"n°"&amp;$T$119,"")</f>
        <v>n°1</v>
      </c>
      <c r="W119" s="717" t="str">
        <f>IF($G$108=$W$118,"n°"&amp;$T$119,"")</f>
        <v>n°1</v>
      </c>
      <c r="X119" s="717" t="str">
        <f>IF($G$108=$X$118,"n°"&amp;$T$119,"")</f>
        <v>n°1</v>
      </c>
      <c r="Y119" s="710"/>
    </row>
    <row r="120" spans="1:26" s="1523" customFormat="1" ht="31.5" hidden="1" customHeight="1" outlineLevel="1">
      <c r="A120" s="710"/>
      <c r="B120" s="1569"/>
      <c r="C120" s="2035" t="s">
        <v>25</v>
      </c>
      <c r="D120" s="2035"/>
      <c r="E120" s="2035"/>
      <c r="F120" s="2035"/>
      <c r="G120" s="2036">
        <f>IF($G$105=0,0,CONCATENATE("X",CHAR(10),U126))</f>
        <v>0</v>
      </c>
      <c r="H120" s="2036"/>
      <c r="I120" s="2037">
        <f>IF($I$105=0,0,CONCATENATE("X",CHAR(10),V126))</f>
        <v>0</v>
      </c>
      <c r="J120" s="2038"/>
      <c r="K120" s="2037">
        <f>IF($K$105=0,0,CONCATENATE("X",CHAR(10),W126))</f>
        <v>0</v>
      </c>
      <c r="L120" s="2038"/>
      <c r="M120" s="2037">
        <f>IF($M$105=0,0,CONCATENATE("X",CHAR(10),X126))</f>
        <v>0</v>
      </c>
      <c r="N120" s="2038"/>
      <c r="O120" s="1519"/>
      <c r="P120" s="1519"/>
      <c r="Q120" s="1565"/>
      <c r="R120" s="574">
        <f>IF(COUNTIF(G120:N120,0)=4,0,"X")</f>
        <v>0</v>
      </c>
      <c r="S120" s="710"/>
      <c r="T120" s="1573" t="s">
        <v>1939</v>
      </c>
      <c r="U120" s="717" t="str" cm="1">
        <f t="array" ref="U120">IF(AND(SUM(LEN(U121:U125))&gt;0,$G$108=$U$118),", ","")</f>
        <v xml:space="preserve">, </v>
      </c>
      <c r="V120" s="717" t="str" cm="1">
        <f t="array" ref="V120">IF(AND(SUM(LEN(V121:V125))&gt;0,$G$108=$V$118),", ","")</f>
        <v xml:space="preserve">, </v>
      </c>
      <c r="W120" s="717" t="str" cm="1">
        <f t="array" ref="W120">IF(AND(SUM(LEN(W121:W125))&gt;0,$G$108=$W$118),", ","")</f>
        <v xml:space="preserve">, </v>
      </c>
      <c r="X120" s="717" t="str" cm="1">
        <f t="array" ref="X120">IF(AND(SUM(LEN(X121:X125))&gt;0,$G$108=$X$118),", ","")</f>
        <v xml:space="preserve">, </v>
      </c>
      <c r="Y120" s="710"/>
    </row>
    <row r="121" spans="1:26" s="1523" customFormat="1" ht="31.5" hidden="1" customHeight="1" outlineLevel="1">
      <c r="A121" s="710"/>
      <c r="B121" s="1569"/>
      <c r="C121" s="2006" t="s">
        <v>1319</v>
      </c>
      <c r="D121" s="2006"/>
      <c r="E121" s="2006"/>
      <c r="F121" s="2006"/>
      <c r="G121" s="2083">
        <f>IF(AND($G$106&gt;0,$G$107=1),"X",0)</f>
        <v>0</v>
      </c>
      <c r="H121" s="2083"/>
      <c r="I121" s="2083">
        <f>IF(AND($I$106&gt;0,$I$107=1),"X",0)</f>
        <v>0</v>
      </c>
      <c r="J121" s="2083"/>
      <c r="K121" s="2083">
        <f>IF(AND($K$106&gt;0,$K$107=1),"X",0)</f>
        <v>0</v>
      </c>
      <c r="L121" s="2083"/>
      <c r="M121" s="2083">
        <f>IF(AND($M$106&gt;0,$M$107=1),"X",0)</f>
        <v>0</v>
      </c>
      <c r="N121" s="2083"/>
      <c r="O121" s="1519"/>
      <c r="P121" s="1519"/>
      <c r="Q121" s="1565"/>
      <c r="R121" s="574">
        <f>IF(COUNTIF(G121:N121,0)=4,0,"X")</f>
        <v>0</v>
      </c>
      <c r="S121" s="710"/>
      <c r="T121" s="1573">
        <v>2</v>
      </c>
      <c r="U121" s="717" t="str">
        <f>IF($I$108=$U$118,"n°"&amp;$T$121,"")</f>
        <v>n°2</v>
      </c>
      <c r="V121" s="717" t="str">
        <f>IF($I$108=$V$118,"n°"&amp;$T$121,"")</f>
        <v>n°2</v>
      </c>
      <c r="W121" s="717" t="str">
        <f>IF($I$108=$W$118,"n°"&amp;$T$121,"")</f>
        <v>n°2</v>
      </c>
      <c r="X121" s="717" t="str">
        <f>IF($I$108=$X$118,"n°"&amp;$T$121,"")</f>
        <v>n°2</v>
      </c>
      <c r="Y121" s="710"/>
    </row>
    <row r="122" spans="1:26" s="1523" customFormat="1" ht="31.5" hidden="1" customHeight="1" outlineLevel="1">
      <c r="A122" s="710"/>
      <c r="B122" s="1569"/>
      <c r="C122" s="2006" t="s">
        <v>1320</v>
      </c>
      <c r="D122" s="2006"/>
      <c r="E122" s="2006"/>
      <c r="F122" s="2006"/>
      <c r="G122" s="2036">
        <f>IF(AND($G$106&gt;0,$G$107=2),CONCATENATE("X",CHAR(10),U126),0)</f>
        <v>0</v>
      </c>
      <c r="H122" s="2036"/>
      <c r="I122" s="2036">
        <f>IF(AND($I$106&gt;0,$I$107=2),CONCATENATE("X",CHAR(10),V126),0)</f>
        <v>0</v>
      </c>
      <c r="J122" s="2036"/>
      <c r="K122" s="2036">
        <f>IF(AND($K$106&gt;0,$K$107=2),CONCATENATE("X",CHAR(10),W126),0)</f>
        <v>0</v>
      </c>
      <c r="L122" s="2036"/>
      <c r="M122" s="2036">
        <f>IF(AND($M$106&gt;0,$M$107=2),CONCATENATE("X",CHAR(10),X126),0)</f>
        <v>0</v>
      </c>
      <c r="N122" s="2036"/>
      <c r="O122" s="1519"/>
      <c r="P122" s="1519"/>
      <c r="Q122" s="1565"/>
      <c r="R122" s="574">
        <f>IF(COUNTIF(G122:N122,0)=4,0,"X")</f>
        <v>0</v>
      </c>
      <c r="S122" s="710"/>
      <c r="T122" s="1573" t="s">
        <v>1939</v>
      </c>
      <c r="U122" s="717" t="str" cm="1">
        <f t="array" ref="U122">IF(AND(SUM(LEN(U123:U125))&gt;0,$I$108=$U$118),", ","")</f>
        <v xml:space="preserve">, </v>
      </c>
      <c r="V122" s="717" t="str" cm="1">
        <f t="array" ref="V122">IF(AND(SUM(LEN(V123:V125))&gt;0,$I$108=$V$118),", ","")</f>
        <v xml:space="preserve">, </v>
      </c>
      <c r="W122" s="717" t="str" cm="1">
        <f t="array" ref="W122">IF(AND(SUM(LEN(W123:W125))&gt;0,$I$108=$W$118),", ","")</f>
        <v xml:space="preserve">, </v>
      </c>
      <c r="X122" s="717" t="str" cm="1">
        <f t="array" ref="X122">IF(AND(SUM(LEN(X123:X125))&gt;0,$I$108=$X$118),", ","")</f>
        <v xml:space="preserve">, </v>
      </c>
      <c r="Y122" s="710"/>
    </row>
    <row r="123" spans="1:26" hidden="1" outlineLevel="1">
      <c r="A123" s="7"/>
      <c r="B123" s="6"/>
      <c r="C123" s="6"/>
      <c r="D123" s="6"/>
      <c r="E123" s="6"/>
      <c r="F123" s="6"/>
      <c r="G123" s="6"/>
      <c r="H123" s="6"/>
      <c r="I123" s="6"/>
      <c r="J123" s="6"/>
      <c r="K123" s="6"/>
      <c r="L123" s="6"/>
      <c r="M123" s="6"/>
      <c r="N123" s="6"/>
      <c r="O123" s="6"/>
      <c r="P123" s="6"/>
      <c r="Q123" s="1565"/>
      <c r="R123" s="1565"/>
      <c r="S123" s="7"/>
      <c r="T123" s="1573">
        <v>3</v>
      </c>
      <c r="U123" s="717" t="str">
        <f>IF($K$108=$U$118,"n°"&amp;$T$123,"")</f>
        <v>n°3</v>
      </c>
      <c r="V123" s="717" t="str">
        <f>IF($K$108=$V$118,"n°"&amp;$T$123,"")</f>
        <v>n°3</v>
      </c>
      <c r="W123" s="717" t="str">
        <f>IF($K$108=$W$118,"n°"&amp;$T$123,"")</f>
        <v>n°3</v>
      </c>
      <c r="X123" s="717" t="str">
        <f>IF($K$108=$X$118,"n°"&amp;$T$123,"")</f>
        <v>n°3</v>
      </c>
      <c r="Y123" s="7"/>
    </row>
    <row r="124" spans="1:26" hidden="1" outlineLevel="1">
      <c r="A124" s="7"/>
      <c r="B124" s="7"/>
      <c r="C124" s="7"/>
      <c r="D124" s="576"/>
      <c r="E124" s="576"/>
      <c r="F124" s="576"/>
      <c r="G124" s="7"/>
      <c r="H124" s="7"/>
      <c r="I124" s="7"/>
      <c r="J124" s="7"/>
      <c r="K124" s="7"/>
      <c r="L124" s="7"/>
      <c r="M124" s="7"/>
      <c r="N124" s="7"/>
      <c r="O124" s="525"/>
      <c r="P124" s="7"/>
      <c r="Q124" s="1565"/>
      <c r="R124" s="1565"/>
      <c r="S124" s="7"/>
      <c r="T124" s="1573" t="s">
        <v>1939</v>
      </c>
      <c r="U124" s="717" t="str">
        <f>IF(AND(LEN(U125)&gt;0,$K$108=$U$118),", ","")</f>
        <v xml:space="preserve">, </v>
      </c>
      <c r="V124" s="717" t="str">
        <f>IF(AND(LEN(V125)&gt;0,$K$108=$V$118),", ","")</f>
        <v xml:space="preserve">, </v>
      </c>
      <c r="W124" s="717" t="str">
        <f>IF(AND(LEN(W125)&gt;0,$K$108=$W$118),", ","")</f>
        <v xml:space="preserve">, </v>
      </c>
      <c r="X124" s="717" t="str">
        <f>IF(AND(LEN(X125)&gt;0,$K$108=$X$118),", ","")</f>
        <v xml:space="preserve">, </v>
      </c>
      <c r="Y124" s="7"/>
    </row>
    <row r="125" spans="1:26" hidden="1" outlineLevel="1">
      <c r="A125" s="7"/>
      <c r="B125" s="1411"/>
      <c r="C125" s="1448"/>
      <c r="D125" s="1383" t="s">
        <v>1693</v>
      </c>
      <c r="E125" s="1384"/>
      <c r="F125" s="1384"/>
      <c r="G125" s="1384"/>
      <c r="H125" s="1384"/>
      <c r="I125" s="1384"/>
      <c r="J125" s="1384"/>
      <c r="K125" s="1385"/>
      <c r="L125" s="1385"/>
      <c r="M125" s="1385"/>
      <c r="N125" s="1385"/>
      <c r="O125" s="1386"/>
      <c r="P125" s="1267"/>
      <c r="Q125" s="1565"/>
      <c r="R125" s="541" t="s">
        <v>1692</v>
      </c>
      <c r="S125" s="7"/>
      <c r="T125" s="1573">
        <v>4</v>
      </c>
      <c r="U125" s="717" t="str">
        <f>IF($M$108=$U$118,"n°"&amp;$T$125,"")</f>
        <v>n°4</v>
      </c>
      <c r="V125" s="717" t="str">
        <f>IF($M$108=$V$118,"n°"&amp;$T$125,"")</f>
        <v>n°4</v>
      </c>
      <c r="W125" s="717" t="str">
        <f>IF($M$108=$W$118,"n°"&amp;$T$125,"")</f>
        <v>n°4</v>
      </c>
      <c r="X125" s="717" t="str">
        <f>IF($M$108=$X$118,"n°"&amp;$T$125,"")</f>
        <v>n°4</v>
      </c>
      <c r="Y125" s="7"/>
      <c r="Z125" s="1419" t="s">
        <v>1692</v>
      </c>
    </row>
    <row r="126" spans="1:26" ht="6.75" hidden="1" customHeight="1" outlineLevel="1">
      <c r="A126" s="7"/>
      <c r="B126" s="6"/>
      <c r="C126" s="6"/>
      <c r="D126" s="6"/>
      <c r="E126" s="6"/>
      <c r="F126" s="6"/>
      <c r="G126" s="6"/>
      <c r="H126" s="6"/>
      <c r="I126" s="6"/>
      <c r="J126" s="6"/>
      <c r="K126" s="6"/>
      <c r="L126" s="6"/>
      <c r="M126" s="6"/>
      <c r="N126" s="6"/>
      <c r="O126" s="6"/>
      <c r="P126" s="6"/>
      <c r="Q126" s="1565"/>
      <c r="R126" s="1565"/>
      <c r="S126" s="7"/>
      <c r="T126" s="1574"/>
      <c r="U126" s="1574" t="str">
        <f>"préchauffe chaudière "&amp;U119&amp;U120&amp;U121&amp;U122&amp;U123&amp;U124&amp;U125</f>
        <v>préchauffe chaudière n°1, n°2, n°3, n°4</v>
      </c>
      <c r="V126" s="1574" t="str">
        <f t="shared" ref="V126:X126" si="7">"préchauffe chaudière "&amp;V119&amp;V120&amp;V121&amp;V122&amp;V123&amp;V124&amp;V125</f>
        <v>préchauffe chaudière n°1, n°2, n°3, n°4</v>
      </c>
      <c r="W126" s="1574" t="str">
        <f t="shared" si="7"/>
        <v>préchauffe chaudière n°1, n°2, n°3, n°4</v>
      </c>
      <c r="X126" s="1574" t="str">
        <f t="shared" si="7"/>
        <v>préchauffe chaudière n°1, n°2, n°3, n°4</v>
      </c>
      <c r="Y126" s="7"/>
    </row>
    <row r="127" spans="1:26" s="1414" customFormat="1" ht="15" hidden="1" customHeight="1" outlineLevel="1">
      <c r="A127" s="508"/>
      <c r="B127" s="1412"/>
      <c r="C127" s="1413"/>
      <c r="D127" s="1961" t="s">
        <v>1719</v>
      </c>
      <c r="E127" s="1961"/>
      <c r="F127" s="1961"/>
      <c r="G127" s="1961"/>
      <c r="H127" s="1961"/>
      <c r="I127" s="1961"/>
      <c r="J127" s="1961"/>
      <c r="K127" s="1961"/>
      <c r="L127" s="1961"/>
      <c r="M127" s="1961"/>
      <c r="N127" s="1961"/>
      <c r="O127" s="1962"/>
      <c r="P127" s="1412"/>
      <c r="Q127" s="508"/>
      <c r="R127" s="508"/>
      <c r="S127" s="508"/>
      <c r="T127" s="508"/>
      <c r="U127" s="508"/>
      <c r="V127" s="508"/>
      <c r="W127" s="508"/>
      <c r="X127" s="508"/>
      <c r="Y127" s="508"/>
    </row>
    <row r="128" spans="1:26" s="1414" customFormat="1" ht="15" hidden="1" customHeight="1" outlineLevel="1">
      <c r="A128" s="508"/>
      <c r="B128" s="1412"/>
      <c r="C128" s="1575"/>
      <c r="D128" s="1963"/>
      <c r="E128" s="1963"/>
      <c r="F128" s="1963"/>
      <c r="G128" s="1963"/>
      <c r="H128" s="1963"/>
      <c r="I128" s="1963"/>
      <c r="J128" s="1963"/>
      <c r="K128" s="1963"/>
      <c r="L128" s="1963"/>
      <c r="M128" s="1963"/>
      <c r="N128" s="1963"/>
      <c r="O128" s="1964"/>
      <c r="P128" s="1412"/>
      <c r="Q128" s="508"/>
      <c r="R128" s="508"/>
      <c r="S128" s="508"/>
      <c r="T128" s="508"/>
      <c r="U128" s="508"/>
      <c r="V128" s="508"/>
      <c r="W128" s="508"/>
      <c r="X128" s="508"/>
      <c r="Y128" s="508"/>
    </row>
    <row r="129" spans="1:25" ht="14.25" hidden="1" customHeight="1" outlineLevel="1">
      <c r="A129" s="7"/>
      <c r="B129" s="6"/>
      <c r="C129" s="1417"/>
      <c r="D129" s="1417"/>
      <c r="E129" s="1417"/>
      <c r="F129" s="1417"/>
      <c r="G129" s="1417"/>
      <c r="H129" s="1417"/>
      <c r="I129" s="1417"/>
      <c r="J129" s="1417"/>
      <c r="K129" s="1417"/>
      <c r="L129" s="1417"/>
      <c r="M129" s="1417"/>
      <c r="N129" s="1417"/>
      <c r="O129" s="1417"/>
      <c r="P129" s="6"/>
      <c r="Q129" s="7"/>
      <c r="R129" s="7"/>
      <c r="S129" s="7"/>
      <c r="T129" s="7"/>
      <c r="U129" s="7"/>
      <c r="V129" s="7"/>
      <c r="W129" s="7"/>
      <c r="Y129" s="7"/>
    </row>
    <row r="130" spans="1:25" hidden="1" outlineLevel="1">
      <c r="A130" s="7"/>
      <c r="B130" s="6"/>
      <c r="C130" s="1576" t="s">
        <v>1348</v>
      </c>
      <c r="D130" s="1417"/>
      <c r="E130" s="1417"/>
      <c r="F130" s="1417"/>
      <c r="G130" s="1417"/>
      <c r="H130" s="1417"/>
      <c r="I130" s="1417"/>
      <c r="J130" s="1417"/>
      <c r="K130" s="1417"/>
      <c r="L130" s="1417"/>
      <c r="M130" s="1417"/>
      <c r="N130" s="1417"/>
      <c r="O130" s="1417"/>
      <c r="P130" s="6"/>
      <c r="Q130" s="7"/>
      <c r="R130" s="7"/>
      <c r="S130" s="7"/>
      <c r="T130" s="7"/>
      <c r="U130" s="7"/>
      <c r="V130" s="7"/>
      <c r="W130" s="7"/>
      <c r="Y130" s="7"/>
    </row>
    <row r="131" spans="1:25" ht="15" hidden="1" customHeight="1" outlineLevel="1">
      <c r="A131" s="7"/>
      <c r="B131" s="6"/>
      <c r="C131" s="1952" t="s">
        <v>24</v>
      </c>
      <c r="D131" s="1953"/>
      <c r="E131" s="1953"/>
      <c r="F131" s="1954"/>
      <c r="G131" s="1869" t="s">
        <v>1347</v>
      </c>
      <c r="H131" s="1870"/>
      <c r="I131" s="1870"/>
      <c r="J131" s="1870"/>
      <c r="K131" s="1870"/>
      <c r="L131" s="1870"/>
      <c r="M131" s="1870"/>
      <c r="N131" s="1870"/>
      <c r="O131" s="1434"/>
      <c r="P131" s="6"/>
      <c r="Q131" s="2059"/>
      <c r="R131" s="2059"/>
      <c r="S131" s="7"/>
      <c r="T131" s="7"/>
      <c r="U131" s="7"/>
      <c r="V131" s="7"/>
      <c r="W131" s="7"/>
      <c r="Y131" s="7"/>
    </row>
    <row r="132" spans="1:25" hidden="1" outlineLevel="1">
      <c r="A132" s="7"/>
      <c r="B132" s="6"/>
      <c r="C132" s="1958"/>
      <c r="D132" s="1959"/>
      <c r="E132" s="1959"/>
      <c r="F132" s="1960"/>
      <c r="G132" s="2080" t="s">
        <v>1</v>
      </c>
      <c r="H132" s="2081"/>
      <c r="I132" s="2080" t="s">
        <v>2</v>
      </c>
      <c r="J132" s="2081"/>
      <c r="K132" s="2080" t="s">
        <v>3</v>
      </c>
      <c r="L132" s="2081"/>
      <c r="M132" s="2080" t="s">
        <v>4</v>
      </c>
      <c r="N132" s="2110"/>
      <c r="O132" s="1577"/>
      <c r="P132" s="6"/>
      <c r="Q132" s="2059"/>
      <c r="R132" s="2059"/>
      <c r="S132" s="7"/>
      <c r="T132" s="7"/>
      <c r="U132" s="7"/>
      <c r="V132" s="7"/>
      <c r="W132" s="7"/>
      <c r="Y132" s="7"/>
    </row>
    <row r="133" spans="1:25" hidden="1" outlineLevel="1">
      <c r="A133" s="7"/>
      <c r="B133" s="6"/>
      <c r="C133" s="1987" t="s">
        <v>303</v>
      </c>
      <c r="D133" s="1988"/>
      <c r="E133" s="1988"/>
      <c r="F133" s="1988"/>
      <c r="G133" s="1988"/>
      <c r="H133" s="1988"/>
      <c r="I133" s="1988"/>
      <c r="J133" s="1988"/>
      <c r="K133" s="1988"/>
      <c r="L133" s="1988"/>
      <c r="M133" s="1988"/>
      <c r="N133" s="2109"/>
      <c r="O133" s="1578"/>
      <c r="P133" s="6"/>
      <c r="Q133" s="2059"/>
      <c r="R133" s="2059"/>
      <c r="S133" s="7"/>
      <c r="T133" s="7"/>
      <c r="U133" s="7"/>
      <c r="V133" s="7"/>
      <c r="W133" s="7"/>
      <c r="Y133" s="7"/>
    </row>
    <row r="134" spans="1:25" hidden="1" outlineLevel="1">
      <c r="A134" s="7"/>
      <c r="B134" s="6"/>
      <c r="C134" s="2102" t="s">
        <v>1343</v>
      </c>
      <c r="D134" s="2102"/>
      <c r="E134" s="2102"/>
      <c r="F134" s="2102"/>
      <c r="G134" s="2078" t="str">
        <f>IF(G81="Intégré à la chaudière","i","n-i")</f>
        <v>i</v>
      </c>
      <c r="H134" s="2078"/>
      <c r="I134" s="2078" t="str">
        <f>IF(I81="Intégré à la chaudière","i","n-i")</f>
        <v>n-i</v>
      </c>
      <c r="J134" s="2078"/>
      <c r="K134" s="2078" t="str">
        <f>IF(K81="Intégré à la chaudière","i","n-i")</f>
        <v>n-i</v>
      </c>
      <c r="L134" s="2078"/>
      <c r="M134" s="2078" t="str">
        <f>IF(M81="Intégré à la chaudière","i","n-i")</f>
        <v>n-i</v>
      </c>
      <c r="N134" s="2103"/>
      <c r="O134" s="1578"/>
      <c r="P134" s="6"/>
      <c r="Q134" s="2059"/>
      <c r="R134" s="2059"/>
      <c r="S134" s="7"/>
      <c r="T134" s="7"/>
      <c r="U134" s="7"/>
      <c r="V134" s="7"/>
      <c r="W134" s="7"/>
      <c r="Y134" s="7"/>
    </row>
    <row r="135" spans="1:25" hidden="1" outlineLevel="1">
      <c r="A135" s="7"/>
      <c r="B135" s="6"/>
      <c r="C135" s="2102" t="s">
        <v>1344</v>
      </c>
      <c r="D135" s="2102"/>
      <c r="E135" s="2102"/>
      <c r="F135" s="2102"/>
      <c r="G135" s="2078" t="str">
        <f>IF(G23&lt;150,"bas",IF(G23&gt;300,"haut","moy"))</f>
        <v>bas</v>
      </c>
      <c r="H135" s="2078"/>
      <c r="I135" s="2078" t="str">
        <f>IF(I23&lt;150,"bas",IF(I23&gt;300,"haut","moy"))</f>
        <v>bas</v>
      </c>
      <c r="J135" s="2078"/>
      <c r="K135" s="2078" t="str">
        <f>IF(K23&lt;150,"bas",IF(K23&gt;300,"haut","moy"))</f>
        <v>bas</v>
      </c>
      <c r="L135" s="2078"/>
      <c r="M135" s="2078" t="str">
        <f>IF(M23&lt;150,"bas",IF(M23&gt;300,"haut","moy"))</f>
        <v>bas</v>
      </c>
      <c r="N135" s="2103"/>
      <c r="O135" s="1578"/>
      <c r="P135" s="6"/>
      <c r="Q135" s="2059"/>
      <c r="R135" s="2059"/>
      <c r="S135" s="7"/>
      <c r="T135" s="7"/>
      <c r="U135" s="7"/>
      <c r="V135" s="7"/>
      <c r="W135" s="7"/>
      <c r="Y135" s="7"/>
    </row>
    <row r="136" spans="1:25" hidden="1" outlineLevel="1">
      <c r="A136" s="7"/>
      <c r="B136" s="6"/>
      <c r="C136" s="2102" t="s">
        <v>1345</v>
      </c>
      <c r="D136" s="2102"/>
      <c r="E136" s="2102"/>
      <c r="F136" s="2102"/>
      <c r="G136" s="2078">
        <f>G69</f>
        <v>0</v>
      </c>
      <c r="H136" s="2078"/>
      <c r="I136" s="2078">
        <f>I69</f>
        <v>0</v>
      </c>
      <c r="J136" s="2078"/>
      <c r="K136" s="2078">
        <f>K69</f>
        <v>0</v>
      </c>
      <c r="L136" s="2078"/>
      <c r="M136" s="2078">
        <f>M69</f>
        <v>0</v>
      </c>
      <c r="N136" s="2103"/>
      <c r="O136" s="1578"/>
      <c r="P136" s="6"/>
      <c r="Q136" s="2059"/>
      <c r="R136" s="2059"/>
      <c r="S136" s="7"/>
      <c r="T136" s="7"/>
      <c r="U136" s="7"/>
      <c r="V136" s="7"/>
      <c r="W136" s="7"/>
      <c r="Y136" s="7"/>
    </row>
    <row r="137" spans="1:25" hidden="1" outlineLevel="1">
      <c r="A137" s="7"/>
      <c r="B137" s="6"/>
      <c r="C137" s="2095" t="s">
        <v>1346</v>
      </c>
      <c r="D137" s="2095"/>
      <c r="E137" s="2095"/>
      <c r="F137" s="2095"/>
      <c r="G137" s="2097" t="str">
        <f>G134&amp;"_"&amp;G135&amp;"_"&amp;G136</f>
        <v>i_bas_0</v>
      </c>
      <c r="H137" s="2097"/>
      <c r="I137" s="2097" t="str">
        <f t="shared" ref="I137" si="8">I134&amp;"_"&amp;I135&amp;"_"&amp;I136</f>
        <v>n-i_bas_0</v>
      </c>
      <c r="J137" s="2097"/>
      <c r="K137" s="2097" t="str">
        <f t="shared" ref="K137" si="9">K134&amp;"_"&amp;K135&amp;"_"&amp;K136</f>
        <v>n-i_bas_0</v>
      </c>
      <c r="L137" s="2097"/>
      <c r="M137" s="2097" t="str">
        <f t="shared" ref="M137" si="10">M134&amp;"_"&amp;M135&amp;"_"&amp;M136</f>
        <v>n-i_bas_0</v>
      </c>
      <c r="N137" s="2097"/>
      <c r="O137" s="1578"/>
      <c r="P137" s="6"/>
      <c r="Q137" s="2059"/>
      <c r="R137" s="2059"/>
      <c r="S137" s="7"/>
      <c r="T137" s="7"/>
      <c r="U137" s="7"/>
      <c r="V137" s="7"/>
      <c r="W137" s="7"/>
      <c r="Y137" s="7"/>
    </row>
    <row r="138" spans="1:25" hidden="1" outlineLevel="1">
      <c r="A138" s="7"/>
      <c r="B138" s="6"/>
      <c r="C138" s="2095" t="s">
        <v>1471</v>
      </c>
      <c r="D138" s="2095"/>
      <c r="E138" s="2095"/>
      <c r="F138" s="2095"/>
      <c r="G138" s="2096">
        <f>G23</f>
        <v>0</v>
      </c>
      <c r="H138" s="2096"/>
      <c r="I138" s="2096">
        <f>I23</f>
        <v>0</v>
      </c>
      <c r="J138" s="2096"/>
      <c r="K138" s="2096">
        <f>K23</f>
        <v>0</v>
      </c>
      <c r="L138" s="2096"/>
      <c r="M138" s="2096">
        <f>M23</f>
        <v>0</v>
      </c>
      <c r="N138" s="2096"/>
      <c r="O138" s="1438"/>
      <c r="P138" s="6"/>
      <c r="Q138" s="2059"/>
      <c r="R138" s="2059"/>
      <c r="S138" s="7"/>
      <c r="T138" s="7"/>
      <c r="U138" s="7"/>
      <c r="V138" s="7"/>
      <c r="W138" s="7"/>
      <c r="Y138" s="7"/>
    </row>
    <row r="139" spans="1:25" hidden="1" outlineLevel="1">
      <c r="A139" s="7"/>
      <c r="B139" s="6"/>
      <c r="C139" s="2095" t="s">
        <v>1472</v>
      </c>
      <c r="D139" s="2095"/>
      <c r="E139" s="2095"/>
      <c r="F139" s="2095"/>
      <c r="G139" s="2120" t="e">
        <f>VLOOKUP(G137,Subvention!$B$39:$C$50,2,FALSE)*G138</f>
        <v>#N/A</v>
      </c>
      <c r="H139" s="2120"/>
      <c r="I139" s="2120" t="e">
        <f>VLOOKUP(I137,Subvention!$B$39:$C$50,2,FALSE)*I138</f>
        <v>#N/A</v>
      </c>
      <c r="J139" s="2120"/>
      <c r="K139" s="2120" t="e">
        <f>VLOOKUP(K137,Subvention!$B$39:$C$50,2,FALSE)*K138</f>
        <v>#N/A</v>
      </c>
      <c r="L139" s="2120"/>
      <c r="M139" s="2120" t="e">
        <f>VLOOKUP(M137,Subvention!$B$39:$C$50,2,FALSE)*M138</f>
        <v>#N/A</v>
      </c>
      <c r="N139" s="2120"/>
      <c r="O139" s="1438"/>
      <c r="P139" s="6"/>
      <c r="Q139" s="2059"/>
      <c r="R139" s="2059"/>
      <c r="S139" s="7"/>
      <c r="T139" s="7"/>
      <c r="U139" s="7"/>
      <c r="V139" s="7"/>
      <c r="W139" s="7"/>
      <c r="Y139" s="7"/>
    </row>
    <row r="140" spans="1:25" hidden="1" outlineLevel="1">
      <c r="A140" s="7"/>
      <c r="B140" s="6"/>
      <c r="C140" s="6"/>
      <c r="D140" s="1284"/>
      <c r="E140" s="6"/>
      <c r="F140" s="6"/>
      <c r="G140" s="1452"/>
      <c r="H140" s="1452"/>
      <c r="I140" s="1452"/>
      <c r="J140" s="1452"/>
      <c r="K140" s="1452"/>
      <c r="L140" s="1452"/>
      <c r="M140" s="1452"/>
      <c r="N140" s="6"/>
      <c r="O140" s="6"/>
      <c r="P140" s="6"/>
      <c r="Q140" s="1565"/>
      <c r="R140" s="1565"/>
      <c r="S140" s="7"/>
      <c r="T140" s="7"/>
      <c r="U140" s="7"/>
      <c r="V140" s="7"/>
      <c r="W140" s="7"/>
      <c r="Y140" s="7"/>
    </row>
    <row r="141" spans="1:25" hidden="1" outlineLevel="1">
      <c r="A141" s="7"/>
      <c r="B141" s="6"/>
      <c r="C141" s="1952" t="s">
        <v>24</v>
      </c>
      <c r="D141" s="1953"/>
      <c r="E141" s="1953"/>
      <c r="F141" s="1954"/>
      <c r="G141" s="1869" t="s">
        <v>1532</v>
      </c>
      <c r="H141" s="1870"/>
      <c r="I141" s="1870"/>
      <c r="J141" s="1870"/>
      <c r="K141" s="1870"/>
      <c r="L141" s="1870"/>
      <c r="M141" s="1870"/>
      <c r="N141" s="1870"/>
      <c r="O141" s="1477"/>
      <c r="P141" s="6"/>
      <c r="Q141" s="1565"/>
      <c r="R141" s="1565"/>
      <c r="S141" s="7"/>
      <c r="T141" s="7"/>
      <c r="U141" s="7"/>
      <c r="V141" s="7"/>
      <c r="W141" s="7"/>
      <c r="Y141" s="7"/>
    </row>
    <row r="142" spans="1:25" hidden="1" outlineLevel="1">
      <c r="A142" s="7"/>
      <c r="B142" s="6"/>
      <c r="C142" s="1958"/>
      <c r="D142" s="1959"/>
      <c r="E142" s="1959"/>
      <c r="F142" s="1960"/>
      <c r="G142" s="2080" t="s">
        <v>1</v>
      </c>
      <c r="H142" s="2081"/>
      <c r="I142" s="2080" t="s">
        <v>2</v>
      </c>
      <c r="J142" s="2081"/>
      <c r="K142" s="2080" t="s">
        <v>3</v>
      </c>
      <c r="L142" s="2081"/>
      <c r="M142" s="2080" t="s">
        <v>4</v>
      </c>
      <c r="N142" s="2081"/>
      <c r="O142" s="1477"/>
      <c r="P142" s="6"/>
      <c r="Q142" s="1565"/>
      <c r="R142" s="1565"/>
      <c r="S142" s="7"/>
      <c r="T142" s="7"/>
      <c r="U142" s="7"/>
      <c r="V142" s="7"/>
      <c r="W142" s="7"/>
      <c r="Y142" s="7"/>
    </row>
    <row r="143" spans="1:25" hidden="1" outlineLevel="1">
      <c r="A143" s="7"/>
      <c r="B143" s="6"/>
      <c r="C143" s="2087" t="s">
        <v>25</v>
      </c>
      <c r="D143" s="2088"/>
      <c r="E143" s="2088"/>
      <c r="F143" s="2089"/>
      <c r="G143" s="2076">
        <f>IF(G34&lt;2000,0,IF(G120&lt;&gt;0,G139,0))</f>
        <v>0</v>
      </c>
      <c r="H143" s="2076"/>
      <c r="I143" s="2076">
        <f>IF(I34&lt;2000,0,IF(I120&lt;&gt;0,I139,0))</f>
        <v>0</v>
      </c>
      <c r="J143" s="2076"/>
      <c r="K143" s="2076">
        <f>IF(K34&lt;2000,0,IF(K120&lt;&gt;0,K139,0))</f>
        <v>0</v>
      </c>
      <c r="L143" s="2076"/>
      <c r="M143" s="2076">
        <f>IF(M34&lt;2000,0,IF(M120&lt;&gt;0,M139,0))</f>
        <v>0</v>
      </c>
      <c r="N143" s="2076"/>
      <c r="O143" s="1477"/>
      <c r="P143" s="6"/>
      <c r="Q143" s="1565"/>
      <c r="R143" s="1565"/>
      <c r="S143" s="7"/>
      <c r="T143" s="7"/>
      <c r="U143" s="7"/>
      <c r="V143" s="7"/>
      <c r="W143" s="7"/>
      <c r="Y143" s="7"/>
    </row>
    <row r="144" spans="1:25" ht="10.5" hidden="1" customHeight="1" outlineLevel="1">
      <c r="A144" s="7"/>
      <c r="B144" s="6"/>
      <c r="C144" s="2090"/>
      <c r="D144" s="2091"/>
      <c r="E144" s="2091"/>
      <c r="F144" s="2092"/>
      <c r="G144" s="2093" t="str" cm="1">
        <f t="array" ref="G144">IF(G105=0,"",IF(ISBLANK(G34)=TRUE,"",_xlfn.IFS(G34&lt;2000,"Note 1",AND(G34&lt;4000,G34&gt;=2000),"Note 2",G34&gt;=4000,"")))</f>
        <v/>
      </c>
      <c r="H144" s="2093"/>
      <c r="I144" s="2077" t="str" cm="1">
        <f t="array" ref="I144">IF(I105=0,"",IF(ISBLANK(I34)=TRUE,"",_xlfn.IFS(I34&lt;2000,"Note 1",AND(I34&lt;4000,I34&gt;=2000),"Note 2",I34&gt;=4000,"")))</f>
        <v/>
      </c>
      <c r="J144" s="2077"/>
      <c r="K144" s="2077" t="str" cm="1">
        <f t="array" ref="K144">IF(K105=0,"",IF(ISBLANK(K34)=TRUE,"",_xlfn.IFS(K34&lt;2000,"Note 1",AND(K34&lt;4000,K34&gt;=2000),"Note 2",K34&gt;=4000,"")))</f>
        <v/>
      </c>
      <c r="L144" s="2077"/>
      <c r="M144" s="2077" t="str" cm="1">
        <f t="array" ref="M144">IF(M105=0,"",IF(ISBLANK(M34)=TRUE,"",_xlfn.IFS(M34&lt;2000,"Note 1",AND(M34&lt;4000,M34&gt;=2000),"Note 2",M34&gt;=4000,"")))</f>
        <v/>
      </c>
      <c r="N144" s="2077"/>
      <c r="O144" s="1477"/>
      <c r="P144" s="6"/>
      <c r="Q144" s="1565"/>
      <c r="R144" s="1565"/>
      <c r="S144" s="7"/>
      <c r="T144" s="7"/>
      <c r="U144" s="7"/>
      <c r="V144" s="7"/>
      <c r="W144" s="7"/>
      <c r="Y144" s="7"/>
    </row>
    <row r="145" spans="1:25" hidden="1" outlineLevel="1">
      <c r="A145" s="7"/>
      <c r="B145" s="6"/>
      <c r="C145" s="2087" t="s">
        <v>1328</v>
      </c>
      <c r="D145" s="2088"/>
      <c r="E145" s="2088"/>
      <c r="F145" s="2089"/>
      <c r="G145" s="2076">
        <f>IF(G34&lt;2000,0,IF(OR(G122&lt;&gt;0,G121&lt;&gt;0),G139,0))</f>
        <v>0</v>
      </c>
      <c r="H145" s="2076"/>
      <c r="I145" s="2076">
        <f>IF(I34&lt;2000,0,IF(OR(I122&lt;&gt;0,I121&lt;&gt;0),I139,0))</f>
        <v>0</v>
      </c>
      <c r="J145" s="2076"/>
      <c r="K145" s="2076">
        <f>IF(K34&lt;2000,0,IF(OR(K122&lt;&gt;0,K121&lt;&gt;0),K139,0))</f>
        <v>0</v>
      </c>
      <c r="L145" s="2076"/>
      <c r="M145" s="2076">
        <f>IF(M34&lt;2000,0,IF(OR(M122&lt;&gt;0,M121&lt;&gt;0),M139,0))</f>
        <v>0</v>
      </c>
      <c r="N145" s="2076"/>
      <c r="O145" s="1477"/>
      <c r="P145" s="6"/>
      <c r="Q145" s="1565"/>
      <c r="R145" s="7"/>
      <c r="S145" s="7"/>
      <c r="T145" s="7"/>
      <c r="U145" s="7"/>
      <c r="V145" s="7"/>
      <c r="W145" s="7"/>
      <c r="Y145" s="7"/>
    </row>
    <row r="146" spans="1:25" ht="9.75" hidden="1" customHeight="1" outlineLevel="1">
      <c r="A146" s="7"/>
      <c r="B146" s="6"/>
      <c r="C146" s="2090"/>
      <c r="D146" s="2091"/>
      <c r="E146" s="2091"/>
      <c r="F146" s="2092"/>
      <c r="G146" s="2093" t="str" cm="1">
        <f t="array" ref="G146">IF(G106=0,"",IF(ISBLANK(G34)=TRUE,"",_xlfn.IFS(G34&lt;2000,"Note 1",AND(G34&lt;4000,G34&gt;=2000),"Note 2",G34&gt;=4000,"")))</f>
        <v/>
      </c>
      <c r="H146" s="2093"/>
      <c r="I146" s="2077" t="str" cm="1">
        <f t="array" ref="I146">IF(I106=0,"",IF(ISBLANK(I34)=TRUE,"",_xlfn.IFS(I34&lt;2000,"Note 1",AND(I34&lt;4000,I34&gt;=2000),"Note 2",I34&gt;=4000,"")))</f>
        <v/>
      </c>
      <c r="J146" s="2077"/>
      <c r="K146" s="2077" t="str" cm="1">
        <f t="array" ref="K146">IF(K106=0,"",IF(ISBLANK(K34)=TRUE,"",_xlfn.IFS(K34&lt;2000,"Note 1",AND(K34&lt;4000,K34&gt;=2000),"Note 2",K34&gt;=4000,"")))</f>
        <v/>
      </c>
      <c r="L146" s="2077"/>
      <c r="M146" s="2077" t="str" cm="1">
        <f t="array" ref="M146">IF(M106=0,"",IF(ISBLANK(M34)=TRUE,"",_xlfn.IFS(M34&lt;2000,"Note 1",AND(M34&lt;4000,M34&gt;=2000),"Note 2",M34&gt;=4000,"")))</f>
        <v/>
      </c>
      <c r="N146" s="2077"/>
      <c r="O146" s="1477"/>
      <c r="P146" s="6"/>
      <c r="Q146" s="1565"/>
      <c r="R146" s="7"/>
      <c r="S146" s="7"/>
      <c r="T146" s="7"/>
      <c r="U146" s="7"/>
      <c r="V146" s="7"/>
      <c r="W146" s="7"/>
      <c r="Y146" s="7"/>
    </row>
    <row r="147" spans="1:25" hidden="1" outlineLevel="1">
      <c r="A147" s="7"/>
      <c r="B147" s="6"/>
      <c r="C147" s="2087" t="s">
        <v>17</v>
      </c>
      <c r="D147" s="2088"/>
      <c r="E147" s="2088"/>
      <c r="F147" s="2089"/>
      <c r="G147" s="2076">
        <f>IF(OR(G34&lt;2000,G42&lt;Hypothèses!$D$99),0,IF(OR(G112=1,G114=1),Subvention!$E$14,0))</f>
        <v>0</v>
      </c>
      <c r="H147" s="2076"/>
      <c r="I147" s="2076">
        <f>IF(OR(I34&lt;2000,I42&lt;Hypothèses!$D$99),0,IF(OR(I112=1,I114=1),Subvention!$E$14,0))</f>
        <v>0</v>
      </c>
      <c r="J147" s="2076"/>
      <c r="K147" s="2076">
        <f>IF(OR(K34&lt;2000,K42&lt;Hypothèses!$D$99),0,IF(OR(K112=1,K114=1),Subvention!$E$14,0))</f>
        <v>0</v>
      </c>
      <c r="L147" s="2076"/>
      <c r="M147" s="2076">
        <f>IF(OR(M34&lt;2000,M42&lt;Hypothèses!$D$99),0,IF(OR(M112=1,M114=1),Subvention!$E$14,0))</f>
        <v>0</v>
      </c>
      <c r="N147" s="2076"/>
      <c r="O147" s="1477"/>
      <c r="P147" s="6"/>
      <c r="Q147" s="7"/>
      <c r="R147" s="7"/>
      <c r="S147" s="7"/>
      <c r="T147" s="7"/>
      <c r="U147" s="7"/>
      <c r="V147" s="7"/>
      <c r="W147" s="7"/>
      <c r="Y147" s="7"/>
    </row>
    <row r="148" spans="1:25" ht="8.25" hidden="1" customHeight="1" outlineLevel="1">
      <c r="A148" s="7"/>
      <c r="B148" s="6"/>
      <c r="C148" s="2090"/>
      <c r="D148" s="2091"/>
      <c r="E148" s="2091"/>
      <c r="F148" s="2092"/>
      <c r="G148" s="2093" t="str" cm="1">
        <f t="array" ref="G148">_xlfn.IFS(
    AND(G112=0,G114=0), "",
    OR(ISBLANK(G34), ISBLANK(G42)), "",
    AND(G34&lt;2000, G42&lt;Hypothèses!$D$99), "Note 1, Note 3",
    AND(G34&lt;2000, G42&gt;=Hypothèses!$D$99), "Note 1",
    AND(G34&gt;4000, G42&lt;Hypothèses!$D$99), "Note 3",
    AND(G34&gt;4000, G42&gt;=Hypothèses!$D$99), "",
    AND(G34&gt;=2000, G34&lt;=4000, G42&gt;=Hypothèses!$D$99), "Note 2",
    AND(G34&gt;=2000, G34&lt;=4000, G42&lt;Hypothèses!$D$99), "Note 2, Note 3"
)</f>
        <v/>
      </c>
      <c r="H148" s="2093"/>
      <c r="I148" s="2077" t="str" cm="1">
        <f t="array" ref="I148">_xlfn.IFS(
    AND(I112=0,I114=0), "",
    OR(ISBLANK(I34), ISBLANK(I42)), "",
    AND(I34&lt;2000, I42&lt;Hypothèses!$D$99), "Note 1, Note 3",
    AND(I34&lt;2000, I42&gt;=Hypothèses!$D$99), "Note 1",
    AND(I34&gt;4000, I42&lt;Hypothèses!$D$99), "Note 3",
    AND(I34&gt;4000, I42&gt;=Hypothèses!$D$99), "",
    AND(I34&gt;=2000, I34&lt;=4000, I42&gt;=Hypothèses!$D$99), "Note 2",
    AND(I34&gt;=2000, I34&lt;=4000, I42&lt;Hypothèses!$D$99), "Note 2, Note 3"
)</f>
        <v/>
      </c>
      <c r="J148" s="2077"/>
      <c r="K148" s="2077" t="str" cm="1">
        <f t="array" ref="K148">_xlfn.IFS(
    AND(K112=0,K114=0), "",
    OR(ISBLANK(K34), ISBLANK(K42)), "",
    AND(K34&lt;2000, K42&lt;Hypothèses!$D$99), "Note 1, Note 3",
    AND(K34&lt;2000, K42&gt;=Hypothèses!$D$99), "Note 1",
    AND(K34&gt;4000, K42&lt;Hypothèses!$D$99), "Note 3",
    AND(K34&gt;4000, K42&gt;=Hypothèses!$D$99), "",
    AND(K34&gt;=2000, K34&lt;=4000, K42&gt;=Hypothèses!$D$99), "Note 2",
    AND(K34&gt;=2000, K34&lt;=4000, K42&lt;Hypothèses!$D$99), "Note 2, Note 3"
)</f>
        <v/>
      </c>
      <c r="L148" s="2077"/>
      <c r="M148" s="2077" t="str" cm="1">
        <f t="array" ref="M148">_xlfn.IFS(
    AND(M112=0,M114=0), "",
    OR(ISBLANK(M34), ISBLANK(M42)), "",
    AND(M34&lt;2000, M42&lt;Hypothèses!$D$99), "Note 1, Note 3",
    AND(M34&lt;2000, M42&gt;=Hypothèses!$D$99), "Note 1",
    AND(M34&gt;4000, M42&lt;Hypothèses!$D$99), "Note 3",
    AND(M34&gt;4000, M42&gt;=Hypothèses!$D$99), "",
    AND(M34&gt;=2000, M34&lt;=4000, M42&gt;=Hypothèses!$D$99), "Note 2",
    AND(M34&gt;=2000, M34&lt;=4000, M42&lt;Hypothèses!$D$99), "Note 2, Note 3"
)</f>
        <v/>
      </c>
      <c r="N148" s="2077"/>
      <c r="O148" s="1477"/>
      <c r="P148" s="6"/>
      <c r="Q148" s="7"/>
      <c r="R148" s="7"/>
      <c r="S148" s="7"/>
      <c r="T148" s="7"/>
      <c r="U148" s="7"/>
      <c r="V148" s="7"/>
      <c r="W148" s="7"/>
      <c r="Y148" s="7"/>
    </row>
    <row r="149" spans="1:25" ht="15" hidden="1" customHeight="1" outlineLevel="1">
      <c r="A149" s="7"/>
      <c r="B149" s="6"/>
      <c r="C149" s="2088" t="s">
        <v>28</v>
      </c>
      <c r="D149" s="2088"/>
      <c r="E149" s="2088"/>
      <c r="F149" s="2089"/>
      <c r="G149" s="2076">
        <f>IF(OR(G34&lt;2000,G42&lt;Hypothèses!$D$99),0,IF(OR(G113=1,G114=1),Subvention!$E$17,0))</f>
        <v>0</v>
      </c>
      <c r="H149" s="2076"/>
      <c r="I149" s="2076">
        <f>IF(OR(I34&lt;2000,I42&lt;Hypothèses!$D$99),0,IF(OR(I113=1,I114=1),Subvention!$E$17,0))</f>
        <v>0</v>
      </c>
      <c r="J149" s="2076"/>
      <c r="K149" s="2076">
        <f>IF(OR(K34&lt;2000,K42&lt;Hypothèses!$D$99),0,IF(OR(K113=1,K114=1),Subvention!$E$17,0))</f>
        <v>0</v>
      </c>
      <c r="L149" s="2076"/>
      <c r="M149" s="2076">
        <f>IF(OR(M34&lt;2000,M42&lt;Hypothèses!$D$99),0,IF(OR(M113=1,M114=1),Subvention!$E$17,0))</f>
        <v>0</v>
      </c>
      <c r="N149" s="2076"/>
      <c r="O149" s="1477"/>
      <c r="P149" s="6"/>
      <c r="Q149" s="7"/>
      <c r="R149" s="541"/>
      <c r="S149" s="7"/>
      <c r="T149" s="7"/>
      <c r="U149" s="7"/>
      <c r="V149" s="7"/>
      <c r="W149" s="7"/>
      <c r="Y149" s="7"/>
    </row>
    <row r="150" spans="1:25" ht="8.25" hidden="1" customHeight="1" outlineLevel="1">
      <c r="A150" s="7"/>
      <c r="B150" s="6"/>
      <c r="C150" s="2111"/>
      <c r="D150" s="2111"/>
      <c r="E150" s="2111"/>
      <c r="F150" s="2112"/>
      <c r="G150" s="2093" t="str" cm="1">
        <f t="array" ref="G150">_xlfn.IFS(
    AND(G113=0,G114=0), "",
    OR(ISBLANK(G34), ISBLANK(G42)), "",
    AND(G34&lt;2000, G42&lt;Hypothèses!$D$99), "Note 1, Note 3",
    AND(G34&lt;2000, G42&gt;=Hypothèses!$D$99), "Note 1",
    AND(G34&gt;4000, G42&lt;Hypothèses!$D$99), "Note 3",
    AND(G34&gt;4000, G42&gt;=Hypothèses!$D$99), "",
    AND(G34&gt;=2000, G34&lt;=4000, G42&gt;=Hypothèses!$D$99), "Note 2",
    AND(G34&gt;=2000, G34&lt;=4000, G42&lt;Hypothèses!$D$99), "Note 2, Note 3"
)</f>
        <v/>
      </c>
      <c r="H150" s="2093"/>
      <c r="I150" s="2077" t="str" cm="1">
        <f t="array" ref="I150">_xlfn.IFS(
    AND(I113=0,I114=0), "",
    OR(ISBLANK(I34), ISBLANK(I42)), "",
    AND(I34&lt;2000, I42&lt;Hypothèses!$D$99), "Note 1, Note 3",
    AND(I34&lt;2000, I42&gt;=Hypothèses!$D$99), "Note 1",
    AND(I34&gt;4000, I42&lt;Hypothèses!$D$99), "Note 3",
    AND(I34&gt;4000, I42&gt;=Hypothèses!$D$99), "",
    AND(I34&gt;=2000, I34&lt;=4000, I42&gt;=Hypothèses!$D$99), "Note 2",
    AND(I34&gt;=2000, I34&lt;=4000, I42&lt;Hypothèses!$D$99), "Note 2, Note 3"
)</f>
        <v/>
      </c>
      <c r="J150" s="2077"/>
      <c r="K150" s="2077" t="str" cm="1">
        <f t="array" ref="K150">_xlfn.IFS(
    AND(K113=0,K114=0), "",
    OR(ISBLANK(K34), ISBLANK(K42)), "",
    AND(K34&lt;2000, K42&lt;Hypothèses!$D$99), "Note 1, Note 3",
    AND(K34&lt;2000, K42&gt;=Hypothèses!$D$99), "Note 1",
    AND(K34&gt;4000, K42&lt;Hypothèses!$D$99), "Note 3",
    AND(K34&gt;4000, K42&gt;=Hypothèses!$D$99), "",
    AND(K34&gt;=2000, K34&lt;=4000, K42&gt;=Hypothèses!$D$99), "Note 2",
    AND(K34&gt;=2000, K34&lt;=4000, K42&lt;Hypothèses!$D$99), "Note 2, Note 3"
)</f>
        <v/>
      </c>
      <c r="L150" s="2077"/>
      <c r="M150" s="2077" t="str" cm="1">
        <f t="array" ref="M150">_xlfn.IFS(
    AND(M113=0,M114=0), "",
    OR(ISBLANK(M34), ISBLANK(M42)), "",
    AND(M34&lt;2000, M42&lt;Hypothèses!$D$99), "Note 1, Note 3",
    AND(M34&lt;2000, M42&gt;=Hypothèses!$D$99), "Note 1",
    AND(M34&gt;4000, M42&lt;Hypothèses!$D$99), "Note 3",
    AND(M34&gt;4000, M42&gt;=Hypothèses!$D$99), "",
    AND(M34&gt;=2000, M34&lt;=4000, M42&gt;=Hypothèses!$D$99), "Note 2",
    AND(M34&gt;=2000, M34&lt;=4000, M42&lt;Hypothèses!$D$99), "Note 2, Note 3"
)</f>
        <v/>
      </c>
      <c r="N150" s="2077"/>
      <c r="O150" s="1477"/>
      <c r="P150" s="6"/>
      <c r="Q150" s="7"/>
      <c r="R150" s="7"/>
      <c r="S150" s="7"/>
      <c r="T150" s="7"/>
      <c r="U150" s="7"/>
      <c r="V150" s="7"/>
      <c r="W150" s="7"/>
      <c r="Y150" s="7"/>
    </row>
    <row r="151" spans="1:25" hidden="1" outlineLevel="1">
      <c r="A151" s="7"/>
      <c r="B151" s="6"/>
      <c r="C151" s="1483"/>
      <c r="D151" s="2094" t="s">
        <v>1534</v>
      </c>
      <c r="E151" s="2094"/>
      <c r="F151" s="1580"/>
      <c r="G151" s="2079">
        <f>SUM(G143:H149)</f>
        <v>0</v>
      </c>
      <c r="H151" s="2079"/>
      <c r="I151" s="2079">
        <f>SUM(I143:J149)</f>
        <v>0</v>
      </c>
      <c r="J151" s="2079"/>
      <c r="K151" s="2079">
        <f>SUM(K143:L149)</f>
        <v>0</v>
      </c>
      <c r="L151" s="2079"/>
      <c r="M151" s="1581">
        <f>SUM(M143:N149)</f>
        <v>0</v>
      </c>
      <c r="N151" s="1582"/>
      <c r="O151" s="1438"/>
      <c r="P151" s="6"/>
      <c r="Q151" s="7"/>
      <c r="R151" s="7"/>
      <c r="S151" s="7"/>
      <c r="T151" s="7"/>
      <c r="U151" s="7"/>
      <c r="V151" s="7"/>
      <c r="W151" s="7"/>
      <c r="Y151" s="7"/>
    </row>
    <row r="152" spans="1:25" ht="6.75" hidden="1" customHeight="1" outlineLevel="1">
      <c r="A152" s="7"/>
      <c r="B152" s="6"/>
      <c r="C152" s="1483"/>
      <c r="D152" s="1579"/>
      <c r="E152" s="1579"/>
      <c r="F152" s="1580"/>
      <c r="G152" s="1583"/>
      <c r="H152" s="1583"/>
      <c r="I152" s="1583"/>
      <c r="J152" s="1583"/>
      <c r="K152" s="1583"/>
      <c r="L152" s="1583"/>
      <c r="M152" s="1583"/>
      <c r="N152" s="1583"/>
      <c r="O152" s="1584"/>
      <c r="P152" s="6"/>
      <c r="Q152" s="7"/>
      <c r="R152" s="7"/>
      <c r="S152" s="7"/>
      <c r="T152" s="7"/>
      <c r="U152" s="7"/>
      <c r="V152" s="7"/>
      <c r="W152" s="7"/>
      <c r="Y152" s="7"/>
    </row>
    <row r="153" spans="1:25" hidden="1" outlineLevel="1">
      <c r="A153" s="7"/>
      <c r="B153" s="6"/>
      <c r="C153" s="1483"/>
      <c r="D153" s="2094" t="s">
        <v>1535</v>
      </c>
      <c r="E153" s="2094"/>
      <c r="F153" s="1580"/>
      <c r="G153" s="2079">
        <f>SUM(G151:M151)</f>
        <v>0</v>
      </c>
      <c r="H153" s="2079"/>
      <c r="I153" s="1583"/>
      <c r="J153" s="1583"/>
      <c r="K153" s="1583"/>
      <c r="L153" s="1583"/>
      <c r="M153" s="1583"/>
      <c r="N153" s="1583"/>
      <c r="O153" s="1584"/>
      <c r="P153" s="6"/>
      <c r="Q153" s="7"/>
      <c r="R153" s="7"/>
      <c r="S153" s="7"/>
      <c r="T153" s="7"/>
      <c r="U153" s="7"/>
      <c r="V153" s="7"/>
      <c r="W153" s="7"/>
      <c r="Y153" s="7"/>
    </row>
    <row r="154" spans="1:25" ht="18" hidden="1" customHeight="1" outlineLevel="1">
      <c r="A154" s="7"/>
      <c r="B154" s="6"/>
      <c r="C154" s="1483"/>
      <c r="D154" s="1579"/>
      <c r="E154" s="1579" t="s">
        <v>1948</v>
      </c>
      <c r="F154" s="1661"/>
      <c r="G154" s="2079" t="str" cm="1">
        <f t="array" ref="G154">_xlfn.IFS(ISBLANK(G34),"",G34&lt;2000,"Non",AND(G34&gt;=2000,G34&lt;4000),"Sous réserve",G34&gt;=4000,"Oui")</f>
        <v/>
      </c>
      <c r="H154" s="2079"/>
      <c r="I154" s="2079" t="str" cm="1">
        <f t="array" ref="I154">_xlfn.IFS(ISBLANK(I34),"",I34&lt;2000,"Non",AND(I34&gt;=2000,I34&lt;4000),"Sous réserve",I34&gt;=4000,"Oui")</f>
        <v/>
      </c>
      <c r="J154" s="2079"/>
      <c r="K154" s="2079" t="str" cm="1">
        <f t="array" ref="K154">_xlfn.IFS(ISBLANK(K34),"",K34&lt;2000,"Non",AND(K34&gt;=2000,K34&lt;4000),"Sous réserve",K34&gt;=4000,"Oui")</f>
        <v/>
      </c>
      <c r="L154" s="2079"/>
      <c r="M154" s="2079" t="str" cm="1">
        <f t="array" ref="M154">_xlfn.IFS(ISBLANK(M34),"",M34&lt;2000,"Non",AND(M34&gt;=2000,M34&lt;4000),"Sous réserve",M34&gt;=4000,"Oui")</f>
        <v/>
      </c>
      <c r="N154" s="2079"/>
      <c r="O154" s="1584"/>
      <c r="P154" s="6"/>
      <c r="Q154" s="7"/>
      <c r="R154" s="7"/>
      <c r="S154" s="7"/>
      <c r="T154" s="7"/>
      <c r="U154" s="7"/>
      <c r="V154" s="7"/>
      <c r="W154" s="7"/>
      <c r="Y154" s="7"/>
    </row>
    <row r="155" spans="1:25" ht="14.85" hidden="1" customHeight="1" outlineLevel="1">
      <c r="A155" s="7"/>
      <c r="B155" s="6"/>
      <c r="C155" s="1483"/>
      <c r="D155" s="1579"/>
      <c r="E155" s="1579"/>
      <c r="F155" s="1580"/>
      <c r="G155" s="1581"/>
      <c r="H155" s="1581"/>
      <c r="I155" s="1583"/>
      <c r="J155" s="1583"/>
      <c r="K155" s="1583"/>
      <c r="L155" s="1583"/>
      <c r="M155" s="1583"/>
      <c r="N155" s="1583"/>
      <c r="O155" s="1584"/>
      <c r="P155" s="6"/>
      <c r="Q155" s="7"/>
      <c r="R155" s="7"/>
      <c r="S155" s="7"/>
      <c r="T155" s="7"/>
      <c r="U155" s="7"/>
      <c r="V155" s="7"/>
      <c r="W155" s="7"/>
      <c r="Y155" s="7"/>
    </row>
    <row r="156" spans="1:25" ht="6.75" hidden="1" customHeight="1" outlineLevel="1">
      <c r="A156" s="7"/>
      <c r="B156" s="6"/>
      <c r="C156" s="1483"/>
      <c r="D156" s="1585" t="s">
        <v>1445</v>
      </c>
      <c r="E156" s="1579"/>
      <c r="F156" s="1580"/>
      <c r="G156" s="1581"/>
      <c r="H156" s="1581"/>
      <c r="I156" s="1583"/>
      <c r="J156" s="1583"/>
      <c r="K156" s="1583"/>
      <c r="L156" s="1583"/>
      <c r="M156" s="1583"/>
      <c r="N156" s="1583"/>
      <c r="O156" s="1584"/>
      <c r="P156" s="6"/>
      <c r="Q156" s="7"/>
      <c r="R156" s="7"/>
      <c r="S156" s="7"/>
      <c r="T156" s="7"/>
      <c r="U156" s="7"/>
      <c r="V156" s="7"/>
      <c r="W156" s="7"/>
      <c r="Y156" s="7"/>
    </row>
    <row r="157" spans="1:25" hidden="1" outlineLevel="1">
      <c r="A157" s="7"/>
      <c r="B157" s="6"/>
      <c r="C157" s="1483"/>
      <c r="D157" s="1585" t="s">
        <v>1969</v>
      </c>
      <c r="E157" s="1483"/>
      <c r="F157" s="1580"/>
      <c r="G157" s="1581"/>
      <c r="H157" s="1581"/>
      <c r="I157" s="1583"/>
      <c r="J157" s="1583"/>
      <c r="K157" s="1583"/>
      <c r="L157" s="1583"/>
      <c r="M157" s="1583"/>
      <c r="N157" s="1583"/>
      <c r="O157" s="1584"/>
      <c r="P157" s="6"/>
      <c r="Q157" s="7"/>
      <c r="R157" s="7"/>
      <c r="S157" s="7"/>
      <c r="T157" s="7"/>
      <c r="U157" s="7"/>
      <c r="V157" s="7"/>
      <c r="W157" s="7"/>
      <c r="Y157" s="7"/>
    </row>
    <row r="158" spans="1:25" hidden="1" outlineLevel="1">
      <c r="A158" s="7"/>
      <c r="B158" s="6"/>
      <c r="C158" s="1483"/>
      <c r="D158" s="1585" t="s">
        <v>1972</v>
      </c>
      <c r="E158" s="1483"/>
      <c r="F158" s="1580"/>
      <c r="G158" s="1581"/>
      <c r="H158" s="1581"/>
      <c r="I158" s="1583"/>
      <c r="J158" s="1583"/>
      <c r="K158" s="1583"/>
      <c r="L158" s="1583"/>
      <c r="M158" s="1583"/>
      <c r="N158" s="1583"/>
      <c r="O158" s="1584"/>
      <c r="P158" s="6"/>
      <c r="Q158" s="7"/>
      <c r="R158" s="7"/>
      <c r="S158" s="7"/>
      <c r="T158" s="7"/>
      <c r="U158" s="7"/>
      <c r="V158" s="7"/>
      <c r="W158" s="7"/>
      <c r="Y158" s="7"/>
    </row>
    <row r="159" spans="1:25" hidden="1" outlineLevel="1">
      <c r="A159" s="7"/>
      <c r="B159" s="6"/>
      <c r="C159" s="1483"/>
      <c r="D159" s="1585" t="s">
        <v>1970</v>
      </c>
      <c r="E159" s="1579"/>
      <c r="F159" s="1580"/>
      <c r="G159" s="1581"/>
      <c r="H159" s="1581"/>
      <c r="I159" s="1583"/>
      <c r="J159" s="1583"/>
      <c r="K159" s="1583"/>
      <c r="L159" s="1583"/>
      <c r="M159" s="1583"/>
      <c r="N159" s="1583"/>
      <c r="O159" s="1584"/>
      <c r="P159" s="6"/>
      <c r="Q159" s="7"/>
      <c r="R159" s="7"/>
      <c r="S159" s="7"/>
      <c r="T159" s="7"/>
      <c r="U159" s="7"/>
      <c r="V159" s="7"/>
      <c r="W159" s="7"/>
      <c r="Y159" s="7"/>
    </row>
    <row r="160" spans="1:25" ht="6.75" hidden="1" customHeight="1" outlineLevel="1">
      <c r="A160" s="7"/>
      <c r="B160" s="6"/>
      <c r="C160" s="1586"/>
      <c r="D160" s="1579"/>
      <c r="E160" s="1579"/>
      <c r="F160" s="1579"/>
      <c r="G160" s="1583"/>
      <c r="H160" s="1583"/>
      <c r="I160" s="1583"/>
      <c r="J160" s="1583"/>
      <c r="K160" s="1583"/>
      <c r="L160" s="1583"/>
      <c r="M160" s="1583"/>
      <c r="N160" s="1582"/>
      <c r="O160" s="1438"/>
      <c r="P160" s="6"/>
      <c r="Q160" s="7"/>
      <c r="R160" s="7"/>
      <c r="S160" s="7"/>
      <c r="T160" s="7"/>
      <c r="U160" s="7"/>
      <c r="V160" s="7"/>
      <c r="W160" s="7"/>
      <c r="Y160" s="7"/>
    </row>
    <row r="161" spans="1:25" hidden="1" outlineLevel="1">
      <c r="A161" s="7"/>
      <c r="B161" s="6"/>
      <c r="C161" s="6"/>
      <c r="D161" s="6"/>
      <c r="E161" s="6"/>
      <c r="F161" s="6"/>
      <c r="G161" s="6"/>
      <c r="H161" s="6"/>
      <c r="I161" s="6"/>
      <c r="J161" s="6"/>
      <c r="K161" s="6"/>
      <c r="L161" s="6"/>
      <c r="M161" s="6"/>
      <c r="N161" s="6"/>
      <c r="O161" s="6"/>
      <c r="P161" s="6"/>
      <c r="Q161" s="7"/>
      <c r="R161" s="7"/>
      <c r="S161" s="7"/>
      <c r="T161" s="7"/>
      <c r="U161" s="7"/>
      <c r="V161" s="7"/>
      <c r="W161" s="7"/>
      <c r="Y161" s="7"/>
    </row>
    <row r="162" spans="1:25" collapsed="1">
      <c r="A162" s="7"/>
      <c r="B162" s="7"/>
      <c r="C162" s="7"/>
      <c r="D162" s="576"/>
      <c r="E162" s="576"/>
      <c r="F162" s="576"/>
      <c r="G162" s="7"/>
      <c r="H162" s="7"/>
      <c r="I162" s="7"/>
      <c r="J162" s="7"/>
      <c r="K162" s="7"/>
      <c r="L162" s="7"/>
      <c r="M162" s="7"/>
      <c r="N162" s="7"/>
      <c r="O162" s="525"/>
      <c r="P162" s="7"/>
      <c r="Q162" s="7"/>
      <c r="R162" s="7"/>
      <c r="S162" s="7"/>
      <c r="T162" s="7"/>
      <c r="U162" s="7"/>
      <c r="V162" s="7"/>
      <c r="W162" s="7"/>
      <c r="Y162" s="7"/>
    </row>
    <row r="163" spans="1:25">
      <c r="A163" s="7"/>
      <c r="B163" s="1411"/>
      <c r="C163" s="1448"/>
      <c r="D163" s="1383" t="s">
        <v>1741</v>
      </c>
      <c r="E163" s="1384"/>
      <c r="F163" s="1384"/>
      <c r="G163" s="1384"/>
      <c r="H163" s="1384"/>
      <c r="I163" s="1384"/>
      <c r="J163" s="1384"/>
      <c r="K163" s="1385"/>
      <c r="L163" s="1385"/>
      <c r="M163" s="1385"/>
      <c r="N163" s="1385"/>
      <c r="O163" s="1386"/>
      <c r="P163" s="1267"/>
      <c r="Q163" s="7"/>
      <c r="R163" s="7"/>
      <c r="S163" s="7"/>
      <c r="T163" s="7"/>
      <c r="U163" s="7"/>
      <c r="V163" s="7"/>
      <c r="W163" s="7"/>
      <c r="Y163" s="7"/>
    </row>
    <row r="164" spans="1:25" ht="7.5" customHeight="1">
      <c r="A164" s="7"/>
      <c r="B164" s="1387"/>
      <c r="C164" s="1550"/>
      <c r="D164" s="1388"/>
      <c r="E164" s="1389"/>
      <c r="F164" s="1389"/>
      <c r="G164" s="1389"/>
      <c r="H164" s="1389"/>
      <c r="I164" s="1389"/>
      <c r="J164" s="1389"/>
      <c r="K164" s="1390"/>
      <c r="L164" s="1390"/>
      <c r="M164" s="1390"/>
      <c r="N164" s="1390"/>
      <c r="O164" s="1391"/>
      <c r="P164" s="1392"/>
      <c r="Q164" s="7"/>
      <c r="R164" s="7"/>
      <c r="S164" s="7"/>
      <c r="T164" s="7"/>
      <c r="U164" s="7"/>
      <c r="V164" s="7"/>
      <c r="W164" s="7"/>
      <c r="Y164" s="7"/>
    </row>
    <row r="165" spans="1:25" s="1414" customFormat="1" ht="15" customHeight="1">
      <c r="A165" s="508"/>
      <c r="B165" s="1412"/>
      <c r="C165" s="1413"/>
      <c r="D165" s="1961" t="s">
        <v>1751</v>
      </c>
      <c r="E165" s="1961"/>
      <c r="F165" s="1961"/>
      <c r="G165" s="1961"/>
      <c r="H165" s="1961"/>
      <c r="I165" s="1961"/>
      <c r="J165" s="1961"/>
      <c r="K165" s="1961"/>
      <c r="L165" s="1961"/>
      <c r="M165" s="1961"/>
      <c r="N165" s="1961"/>
      <c r="O165" s="1962"/>
      <c r="P165" s="1412"/>
      <c r="Q165" s="508"/>
      <c r="R165" s="508"/>
      <c r="S165" s="508"/>
      <c r="T165" s="508"/>
      <c r="U165" s="508"/>
      <c r="V165" s="508"/>
      <c r="W165" s="508"/>
      <c r="X165" s="508"/>
      <c r="Y165" s="508"/>
    </row>
    <row r="166" spans="1:25" s="1414" customFormat="1" ht="15" customHeight="1">
      <c r="A166" s="508"/>
      <c r="B166" s="1412"/>
      <c r="C166" s="1575"/>
      <c r="D166" s="1963"/>
      <c r="E166" s="1963"/>
      <c r="F166" s="1963"/>
      <c r="G166" s="1963"/>
      <c r="H166" s="1963"/>
      <c r="I166" s="1963"/>
      <c r="J166" s="1963"/>
      <c r="K166" s="1963"/>
      <c r="L166" s="1963"/>
      <c r="M166" s="1963"/>
      <c r="N166" s="1963"/>
      <c r="O166" s="1964"/>
      <c r="P166" s="1412"/>
      <c r="Q166" s="508"/>
      <c r="R166" s="508"/>
      <c r="S166" s="508"/>
      <c r="T166" s="508"/>
      <c r="U166" s="508"/>
      <c r="V166" s="508"/>
      <c r="W166" s="508"/>
      <c r="X166" s="508"/>
      <c r="Y166" s="508"/>
    </row>
    <row r="167" spans="1:25" s="1414" customFormat="1" ht="15" customHeight="1">
      <c r="A167" s="508"/>
      <c r="B167" s="1412"/>
      <c r="C167" s="1412"/>
      <c r="D167" s="1412"/>
      <c r="E167" s="1412"/>
      <c r="F167" s="1412"/>
      <c r="G167" s="1412"/>
      <c r="H167" s="1412"/>
      <c r="I167" s="1412"/>
      <c r="J167" s="1412"/>
      <c r="K167" s="1412"/>
      <c r="L167" s="1412"/>
      <c r="M167" s="1412"/>
      <c r="N167" s="1412"/>
      <c r="O167" s="1412"/>
      <c r="P167" s="1412"/>
      <c r="Q167" s="508"/>
      <c r="R167" s="508"/>
      <c r="S167" s="508"/>
      <c r="T167" s="508"/>
      <c r="U167" s="508"/>
      <c r="V167" s="508"/>
      <c r="W167" s="508"/>
      <c r="X167" s="508"/>
      <c r="Y167" s="508"/>
    </row>
    <row r="168" spans="1:25" s="1414" customFormat="1" ht="15" customHeight="1">
      <c r="A168" s="508"/>
      <c r="B168" s="1412"/>
      <c r="C168" s="1587" t="s">
        <v>1750</v>
      </c>
      <c r="D168" s="1502"/>
      <c r="E168" s="1412"/>
      <c r="F168" s="1412"/>
      <c r="G168" s="1412"/>
      <c r="H168" s="1412"/>
      <c r="I168" s="2084">
        <f>IF('P opération brûleur - avant MEE'!C7=0,0,'3c. Calculateur MEÉ 2-3-4'!G34*'P opération brûleur - avant MEE'!D102+'3c. Calculateur MEÉ 2-3-4'!I34*'P opération brûleur - avant MEE'!E102+'3c. Calculateur MEÉ 2-3-4'!K34*'P opération brûleur - avant MEE'!F102+'3c. Calculateur MEÉ 2-3-4'!M34*'P opération brûleur - avant MEE'!G102)</f>
        <v>0</v>
      </c>
      <c r="J168" s="2085"/>
      <c r="K168" s="2085"/>
      <c r="L168" s="2085"/>
      <c r="M168" s="2086"/>
      <c r="N168" s="1293"/>
      <c r="O168" s="198" t="s">
        <v>646</v>
      </c>
      <c r="P168" s="1412"/>
      <c r="Q168" s="508"/>
      <c r="R168" s="508"/>
      <c r="S168" s="508"/>
      <c r="T168" s="508"/>
      <c r="U168" s="508"/>
      <c r="V168" s="508"/>
      <c r="W168" s="508"/>
      <c r="X168" s="508"/>
      <c r="Y168" s="508"/>
    </row>
    <row r="169" spans="1:25">
      <c r="A169" s="7"/>
      <c r="B169" s="1387"/>
      <c r="C169" s="1588"/>
      <c r="D169" s="1589"/>
      <c r="E169" s="1390"/>
      <c r="F169" s="1390"/>
      <c r="G169" s="1389"/>
      <c r="H169" s="1389"/>
      <c r="I169" s="1389"/>
      <c r="J169" s="1389"/>
      <c r="K169" s="1390"/>
      <c r="L169" s="1390"/>
      <c r="M169" s="1390"/>
      <c r="N169" s="1390"/>
      <c r="O169" s="1391"/>
      <c r="P169" s="1392"/>
      <c r="Q169" s="7"/>
      <c r="R169" s="7"/>
      <c r="S169" s="7"/>
      <c r="T169" s="7"/>
      <c r="U169" s="7"/>
      <c r="V169" s="7"/>
      <c r="W169" s="7"/>
      <c r="Y169" s="7"/>
    </row>
    <row r="170" spans="1:25">
      <c r="A170" s="7"/>
      <c r="B170" s="6"/>
      <c r="C170" s="1966" t="s">
        <v>24</v>
      </c>
      <c r="D170" s="1966"/>
      <c r="E170" s="1966"/>
      <c r="F170" s="1977"/>
      <c r="G170" s="1794" t="s">
        <v>1569</v>
      </c>
      <c r="H170" s="1794"/>
      <c r="I170" s="1794"/>
      <c r="J170" s="1794"/>
      <c r="K170" s="1794"/>
      <c r="L170" s="1794"/>
      <c r="M170" s="1794"/>
      <c r="N170" s="1794"/>
      <c r="O170" s="1794"/>
      <c r="P170" s="1418"/>
      <c r="Q170" s="7"/>
      <c r="R170" s="7"/>
      <c r="S170" s="7"/>
      <c r="T170" s="7"/>
      <c r="U170" s="7"/>
      <c r="V170" s="7"/>
      <c r="W170" s="7"/>
      <c r="Y170" s="7"/>
    </row>
    <row r="171" spans="1:25" ht="15.75" thickBot="1">
      <c r="A171" s="7"/>
      <c r="B171" s="6"/>
      <c r="C171" s="1967"/>
      <c r="D171" s="1967"/>
      <c r="E171" s="1967"/>
      <c r="F171" s="1979"/>
      <c r="G171" s="2073" t="s">
        <v>1</v>
      </c>
      <c r="H171" s="2073"/>
      <c r="I171" s="2073" t="s">
        <v>2</v>
      </c>
      <c r="J171" s="2073"/>
      <c r="K171" s="2073" t="s">
        <v>3</v>
      </c>
      <c r="L171" s="2073"/>
      <c r="M171" s="1973" t="s">
        <v>4</v>
      </c>
      <c r="N171" s="1975"/>
      <c r="O171" s="1566" t="s">
        <v>1537</v>
      </c>
      <c r="P171" s="1418"/>
      <c r="Q171" s="541"/>
      <c r="R171" s="541"/>
      <c r="S171" s="541"/>
      <c r="T171" s="541"/>
      <c r="U171" s="541"/>
      <c r="V171" s="541"/>
      <c r="W171" s="7"/>
      <c r="Y171" s="7"/>
    </row>
    <row r="172" spans="1:25">
      <c r="A172" s="7"/>
      <c r="B172" s="6"/>
      <c r="C172" s="1987" t="s">
        <v>1564</v>
      </c>
      <c r="D172" s="1988"/>
      <c r="E172" s="1988"/>
      <c r="F172" s="1988"/>
      <c r="G172" s="2066" t="str">
        <f>IF(G118=0,"-",IF('P opération brûleur - éco'!D176*3600*G34/'Facteurs conversion'!$C$8/10^3=0,"-",'P opération brûleur - éco'!D176*3600*G34/'Facteurs conversion'!$C$8/10^3))</f>
        <v>-</v>
      </c>
      <c r="H172" s="2052"/>
      <c r="I172" s="2052" t="str">
        <f>IF(I118=0,"-",IF('P opération brûleur - éco'!E176*3600*I34/'Facteurs conversion'!$C$8/10^3=0,"-",'P opération brûleur - éco'!E176*3600*I34/'Facteurs conversion'!$C$8/10^3))</f>
        <v>-</v>
      </c>
      <c r="J172" s="2052"/>
      <c r="K172" s="2052" t="str">
        <f>IF(K118=0,"-",IF('P opération brûleur - éco'!F176*3600*K34/'Facteurs conversion'!$C$8/10^3=0,"-",'P opération brûleur - éco'!F176*3600*K34/'Facteurs conversion'!$C$8/10^3))</f>
        <v>-</v>
      </c>
      <c r="L172" s="2052"/>
      <c r="M172" s="2052" t="str">
        <f>IF(M118=0,"-",IF('P opération brûleur - éco'!G176*3600*M34/'Facteurs conversion'!$C$8/10^3=0,"-",'P opération brûleur - éco'!G176*3600*M34/'Facteurs conversion'!$C$8/10^3))</f>
        <v>-</v>
      </c>
      <c r="N172" s="2053"/>
      <c r="O172" s="1712">
        <f>SUM(G172:N172)</f>
        <v>0</v>
      </c>
      <c r="P172" s="6"/>
      <c r="Q172" s="541"/>
      <c r="R172" s="7"/>
      <c r="S172" s="7"/>
      <c r="T172" s="7"/>
      <c r="U172" s="7"/>
      <c r="V172" s="7"/>
      <c r="W172" s="7"/>
      <c r="Y172" s="7"/>
    </row>
    <row r="173" spans="1:25">
      <c r="A173" s="7"/>
      <c r="B173" s="6"/>
      <c r="C173" s="2070" t="s">
        <v>994</v>
      </c>
      <c r="D173" s="2071"/>
      <c r="E173" s="2071"/>
      <c r="F173" s="2071"/>
      <c r="G173" s="2068" t="str">
        <f>IF(OR(G112=1,G114=1),'Micromodulation et sonde O2'!D60,"-")</f>
        <v>-</v>
      </c>
      <c r="H173" s="2054"/>
      <c r="I173" s="2054" t="str">
        <f>IF(OR(I112=1,I114=1),'Micromodulation et sonde O2'!E60,"-")</f>
        <v>-</v>
      </c>
      <c r="J173" s="2054"/>
      <c r="K173" s="2054" t="str">
        <f>IF(OR(K112=1,K114=1),'Micromodulation et sonde O2'!F60,"-")</f>
        <v>-</v>
      </c>
      <c r="L173" s="2054"/>
      <c r="M173" s="2054" t="str">
        <f>IF(OR(M112=1,M114=1),'Micromodulation et sonde O2'!G60,"-")</f>
        <v>-</v>
      </c>
      <c r="N173" s="2055"/>
      <c r="O173" s="2104"/>
      <c r="P173" s="6"/>
      <c r="Q173" s="7"/>
      <c r="R173" s="7"/>
      <c r="S173" s="7"/>
      <c r="T173" s="7"/>
      <c r="U173" s="7"/>
      <c r="V173" s="7"/>
      <c r="W173" s="7"/>
      <c r="Y173" s="7"/>
    </row>
    <row r="174" spans="1:25">
      <c r="A174" s="7"/>
      <c r="B174" s="6"/>
      <c r="C174" s="2060" t="s">
        <v>995</v>
      </c>
      <c r="D174" s="2061"/>
      <c r="E174" s="2061"/>
      <c r="F174" s="2061"/>
      <c r="G174" s="2069" t="str">
        <f>IF(OR(G112=1,G114=1),'Micromodulation et sonde O2'!D61+G173,"-")</f>
        <v>-</v>
      </c>
      <c r="H174" s="2056"/>
      <c r="I174" s="2056" t="str">
        <f>IF(OR(I112=1,I114=1),'Micromodulation et sonde O2'!E61+I173,"-")</f>
        <v>-</v>
      </c>
      <c r="J174" s="2056"/>
      <c r="K174" s="2056" t="str">
        <f>IF(OR(K112=1,K114=1),'Micromodulation et sonde O2'!F61+K173,"-")</f>
        <v>-</v>
      </c>
      <c r="L174" s="2056"/>
      <c r="M174" s="2056" t="str">
        <f>IF(OR(M112=1,M114=1),'Micromodulation et sonde O2'!G61+M173,"-")</f>
        <v>-</v>
      </c>
      <c r="N174" s="2057"/>
      <c r="O174" s="2105"/>
      <c r="P174" s="6"/>
      <c r="Q174" s="7"/>
      <c r="R174" s="7"/>
      <c r="S174" s="7"/>
      <c r="T174" s="7"/>
      <c r="U174" s="7"/>
      <c r="V174" s="7"/>
      <c r="W174" s="7"/>
      <c r="Y174" s="7"/>
    </row>
    <row r="175" spans="1:25">
      <c r="A175" s="7"/>
      <c r="B175" s="6"/>
      <c r="C175" s="2062" t="s">
        <v>560</v>
      </c>
      <c r="D175" s="2063"/>
      <c r="E175" s="2063"/>
      <c r="F175" s="2063"/>
      <c r="G175" s="2067" t="str">
        <f>IF(OR(G112=1,G114=1),'Micromodulation et sonde O2'!D61,"-")</f>
        <v>-</v>
      </c>
      <c r="H175" s="2049"/>
      <c r="I175" s="2049" t="str">
        <f>IF(OR(I112=1,I114=1),'Micromodulation et sonde O2'!E61,"-")</f>
        <v>-</v>
      </c>
      <c r="J175" s="2049"/>
      <c r="K175" s="2049" t="str">
        <f>IF(OR(K112=1,K114=1),'Micromodulation et sonde O2'!F61,"-")</f>
        <v>-</v>
      </c>
      <c r="L175" s="2049"/>
      <c r="M175" s="2049" t="str">
        <f>IF(OR(M112=1,M114=1),'Micromodulation et sonde O2'!G61,"-")</f>
        <v>-</v>
      </c>
      <c r="N175" s="2058"/>
      <c r="O175" s="2106"/>
      <c r="P175" s="6"/>
      <c r="Q175" s="7"/>
      <c r="R175" s="7"/>
      <c r="S175" s="7"/>
      <c r="T175" s="7"/>
      <c r="U175" s="7"/>
      <c r="V175" s="7"/>
      <c r="W175" s="7"/>
      <c r="Y175" s="7"/>
    </row>
    <row r="176" spans="1:25" ht="18">
      <c r="A176" s="7"/>
      <c r="B176" s="6"/>
      <c r="C176" s="1987" t="s">
        <v>1566</v>
      </c>
      <c r="D176" s="1988"/>
      <c r="E176" s="1988"/>
      <c r="F176" s="1988"/>
      <c r="G176" s="2065" t="str">
        <f>IF(G119=0,"-",IF('P opération brûleur - éco'!D177*3600*G34/'Facteurs conversion'!$C$8/10^3=0,"-",'P opération brûleur - éco'!D177*3600*G34/'Facteurs conversion'!$C$8/10^3))</f>
        <v>-</v>
      </c>
      <c r="H176" s="2050"/>
      <c r="I176" s="2050" t="str">
        <f>IF(I119=0,"-",IF('P opération brûleur - éco'!E177*3600*I34/'Facteurs conversion'!$C$8/10^3=0,"-",'P opération brûleur - éco'!E177*3600*I34/'Facteurs conversion'!$C$8/10^3))</f>
        <v>-</v>
      </c>
      <c r="J176" s="2050"/>
      <c r="K176" s="2050" t="str">
        <f>IF(K119=0,"-",IF('P opération brûleur - éco'!F177*3600*K34/'Facteurs conversion'!$C$8/10^3=0,"-",'P opération brûleur - éco'!F177*3600*K34/'Facteurs conversion'!$C$8/10^3))</f>
        <v>-</v>
      </c>
      <c r="L176" s="2050"/>
      <c r="M176" s="2050" t="str">
        <f>IF(M119=0,"-",IF('P opération brûleur - éco'!G177*3600*M34/'Facteurs conversion'!$C$8/10^3=0,"-",'P opération brûleur - éco'!G177*3600*M34/'Facteurs conversion'!$C$8/10^3))</f>
        <v>-</v>
      </c>
      <c r="N176" s="2051"/>
      <c r="O176" s="1712">
        <f>SUM(G176:N176)</f>
        <v>0</v>
      </c>
      <c r="P176" s="6"/>
      <c r="Q176" s="7"/>
      <c r="R176" s="7"/>
      <c r="S176" s="7"/>
      <c r="T176" s="7"/>
      <c r="U176" s="7"/>
      <c r="V176" s="7"/>
      <c r="W176" s="7"/>
      <c r="Y176" s="7"/>
    </row>
    <row r="177" spans="1:25">
      <c r="A177" s="7"/>
      <c r="B177" s="6"/>
      <c r="C177" s="2070" t="s">
        <v>994</v>
      </c>
      <c r="D177" s="2071"/>
      <c r="E177" s="2071"/>
      <c r="F177" s="2071"/>
      <c r="G177" s="2068" t="str">
        <f>IF(OR(G113=1,G114=1),'Micromodulation et sonde O2'!D60,"-")</f>
        <v>-</v>
      </c>
      <c r="H177" s="2054"/>
      <c r="I177" s="2054" t="str">
        <f>IF(OR(I113=1,I114=1),'Micromodulation et sonde O2'!E60,"-")</f>
        <v>-</v>
      </c>
      <c r="J177" s="2054"/>
      <c r="K177" s="2054" t="str">
        <f>IF(OR(K113=1,K114=1),'Micromodulation et sonde O2'!F60,"-")</f>
        <v>-</v>
      </c>
      <c r="L177" s="2054"/>
      <c r="M177" s="2054" t="str">
        <f>IF(OR(M113=1,M114=1),'Micromodulation et sonde O2'!G60,"-")</f>
        <v>-</v>
      </c>
      <c r="N177" s="2055"/>
      <c r="O177" s="2104"/>
      <c r="P177" s="6"/>
      <c r="Q177" s="7"/>
      <c r="R177" s="7"/>
      <c r="S177" s="7"/>
      <c r="T177" s="7"/>
      <c r="U177" s="7"/>
      <c r="V177" s="7"/>
      <c r="W177" s="7"/>
      <c r="Y177" s="7"/>
    </row>
    <row r="178" spans="1:25">
      <c r="A178" s="7"/>
      <c r="B178" s="6"/>
      <c r="C178" s="2060" t="s">
        <v>995</v>
      </c>
      <c r="D178" s="2061"/>
      <c r="E178" s="2061"/>
      <c r="F178" s="2061"/>
      <c r="G178" s="2069" t="str">
        <f>IF(OR(G113=1,G114=1),'Micromodulation et sonde O2'!D62+G177,"-")</f>
        <v>-</v>
      </c>
      <c r="H178" s="2056"/>
      <c r="I178" s="2056" t="str">
        <f>IF(OR(I113=1,I114=1),'Micromodulation et sonde O2'!E62+I177,"-")</f>
        <v>-</v>
      </c>
      <c r="J178" s="2056"/>
      <c r="K178" s="2056" t="str">
        <f>IF(OR(K113=1,K114=1),'Micromodulation et sonde O2'!F62+K177,"-")</f>
        <v>-</v>
      </c>
      <c r="L178" s="2056"/>
      <c r="M178" s="2056" t="str">
        <f>IF(OR(M113=1,M114=1),'Micromodulation et sonde O2'!G62+M177,"-")</f>
        <v>-</v>
      </c>
      <c r="N178" s="2057"/>
      <c r="O178" s="2105"/>
      <c r="P178" s="6"/>
      <c r="Q178" s="7"/>
      <c r="R178" s="7"/>
      <c r="S178" s="7"/>
      <c r="T178" s="7"/>
      <c r="U178" s="7"/>
      <c r="V178" s="7"/>
      <c r="W178" s="7"/>
      <c r="Y178" s="7"/>
    </row>
    <row r="179" spans="1:25">
      <c r="A179" s="7"/>
      <c r="B179" s="6"/>
      <c r="C179" s="2062" t="s">
        <v>560</v>
      </c>
      <c r="D179" s="2063"/>
      <c r="E179" s="2063"/>
      <c r="F179" s="2063"/>
      <c r="G179" s="2067" t="str">
        <f>IF(OR(G113=1,G114=1),'Micromodulation et sonde O2'!D62,"-")</f>
        <v>-</v>
      </c>
      <c r="H179" s="2049"/>
      <c r="I179" s="2049" t="str">
        <f>IF(OR(I113=1,I114=1),'Micromodulation et sonde O2'!E62,"-")</f>
        <v>-</v>
      </c>
      <c r="J179" s="2049"/>
      <c r="K179" s="2049" t="str">
        <f>IF(OR(K113=1,K114=1),'Micromodulation et sonde O2'!F62,"-")</f>
        <v>-</v>
      </c>
      <c r="L179" s="2049"/>
      <c r="M179" s="2049" t="str">
        <f>IF(OR(M113=1,M114=1),'Micromodulation et sonde O2'!G62,"-")</f>
        <v>-</v>
      </c>
      <c r="N179" s="2058"/>
      <c r="O179" s="2106"/>
      <c r="P179" s="6"/>
      <c r="Q179" s="7"/>
      <c r="R179" s="7"/>
      <c r="S179" s="7"/>
      <c r="T179" s="7"/>
      <c r="U179" s="7"/>
      <c r="V179" s="7"/>
      <c r="W179" s="7"/>
      <c r="Y179" s="7"/>
    </row>
    <row r="180" spans="1:25">
      <c r="A180" s="7"/>
      <c r="B180" s="1460" t="s">
        <v>1499</v>
      </c>
      <c r="C180" s="1987" t="s">
        <v>1567</v>
      </c>
      <c r="D180" s="1988"/>
      <c r="E180" s="1988"/>
      <c r="F180" s="1988"/>
      <c r="G180" s="2065" t="str">
        <f>IF(G109=0,"-",IF('P opération brûleur - éco'!D178*3600*G34/'Facteurs conversion'!$C$8/10^3=0,"-",'P opération brûleur - éco'!D178*3600*G34/'Facteurs conversion'!$C$8/10^3))</f>
        <v>-</v>
      </c>
      <c r="H180" s="2050"/>
      <c r="I180" s="1945" t="str">
        <f>IF(I109=0,"-",IF('P opération brûleur - éco'!E178*3600*I34/'Facteurs conversion'!$C$8/10^3=0,"-",'P opération brûleur - éco'!E178*3600*I34/'Facteurs conversion'!$C$8/10^3))</f>
        <v>-</v>
      </c>
      <c r="J180" s="1944"/>
      <c r="K180" s="1945" t="str">
        <f>IF(K109=0,"-",IF('P opération brûleur - éco'!F178*3600*K34/'Facteurs conversion'!$C$8/10^3=0,"-",'P opération brûleur - éco'!F178*3600*K34/'Facteurs conversion'!$C$8/10^3))</f>
        <v>-</v>
      </c>
      <c r="L180" s="1944"/>
      <c r="M180" s="1945" t="str">
        <f>IF(M109=0,"-",IF('P opération brûleur - éco'!G178*3600*M34/'Facteurs conversion'!$C$8/10^3=0,"-",'P opération brûleur - éco'!G178*3600*M34/'Facteurs conversion'!$C$8/10^3))</f>
        <v>-</v>
      </c>
      <c r="N180" s="1946"/>
      <c r="O180" s="1712">
        <f>SUM(G180:N180)</f>
        <v>0</v>
      </c>
      <c r="P180" s="6"/>
      <c r="Q180" s="541"/>
      <c r="R180" s="508" t="s">
        <v>1631</v>
      </c>
      <c r="S180" s="7"/>
      <c r="T180" s="7"/>
      <c r="U180" s="7"/>
      <c r="V180" s="7"/>
      <c r="W180" s="7"/>
      <c r="Y180" s="7"/>
    </row>
    <row r="181" spans="1:25">
      <c r="A181" s="7"/>
      <c r="B181" s="1460" t="s">
        <v>1499</v>
      </c>
      <c r="C181" s="1987" t="s">
        <v>1568</v>
      </c>
      <c r="D181" s="1988"/>
      <c r="E181" s="1988"/>
      <c r="F181" s="1988"/>
      <c r="G181" s="2065" t="str">
        <f>IF($R$121=0,"-",IF('P opération brûleur - éco'!D179*3600*G34/'Facteurs conversion'!$C$8/10^3=0,"-",'P opération brûleur - éco'!D179*3600*G34/'Facteurs conversion'!$C$8/10^3))</f>
        <v>-</v>
      </c>
      <c r="H181" s="2050"/>
      <c r="I181" s="2050" t="str">
        <f>IF($R$121=0,"-",IF('P opération brûleur - éco'!E179*3600*I34/'Facteurs conversion'!$C$8/10^3=0,"-",'P opération brûleur - éco'!E179*3600*I34/'Facteurs conversion'!$C$8/10^3))</f>
        <v>-</v>
      </c>
      <c r="J181" s="2050"/>
      <c r="K181" s="2050" t="str">
        <f>IF($R$121=0,"-",IF('P opération brûleur - éco'!F179*3600*K34/'Facteurs conversion'!$C$8/10^3=0,"-",'P opération brûleur - éco'!F179*3600*K34/'Facteurs conversion'!$C$8/10^3))</f>
        <v>-</v>
      </c>
      <c r="L181" s="2050"/>
      <c r="M181" s="2050" t="str">
        <f>IF($R$121=0,"-",IF('P opération brûleur - éco'!G179*3600*M34/'Facteurs conversion'!$C$8/10^3=0,"-",'P opération brûleur - éco'!G179*3600*M34/'Facteurs conversion'!$C$8/10^3))</f>
        <v>-</v>
      </c>
      <c r="N181" s="2051"/>
      <c r="O181" s="1712">
        <f>SUM(G181:N181)</f>
        <v>0</v>
      </c>
      <c r="P181" s="6"/>
      <c r="Q181" s="7"/>
      <c r="R181" s="508" t="s">
        <v>1815</v>
      </c>
      <c r="S181" s="7"/>
      <c r="T181" s="7"/>
      <c r="U181" s="7"/>
      <c r="V181" s="7"/>
      <c r="W181" s="7"/>
      <c r="Y181" s="7"/>
    </row>
    <row r="182" spans="1:25" ht="15.75" thickBot="1">
      <c r="A182" s="7"/>
      <c r="B182" s="1460" t="s">
        <v>1499</v>
      </c>
      <c r="C182" s="1987" t="s">
        <v>1573</v>
      </c>
      <c r="D182" s="1988"/>
      <c r="E182" s="1988"/>
      <c r="F182" s="1988"/>
      <c r="G182" s="2074" t="str">
        <f>IF($R$122=0,"-",IF('P opération brûleur - éco'!D180*3600*G34/'Facteurs conversion'!$C$8/10^3=0,"-",'P opération brûleur - éco'!D180*3600*G34/'Facteurs conversion'!$C$8/10^3))</f>
        <v>-</v>
      </c>
      <c r="H182" s="2075"/>
      <c r="I182" s="2075" t="str">
        <f>IF($R$122=0,"-",IF('P opération brûleur - éco'!E180*3600*I34/'Facteurs conversion'!$C$8/10^3=0,"-",'P opération brûleur - éco'!E180*3600*I34/'Facteurs conversion'!$C$8/10^3))</f>
        <v>-</v>
      </c>
      <c r="J182" s="2075"/>
      <c r="K182" s="2075" t="str">
        <f>IF($R$122=0,"-",IF('P opération brûleur - éco'!F180*3600*K34/'Facteurs conversion'!$C$8/10^3=0,"-",'P opération brûleur - éco'!F180*3600*K34/'Facteurs conversion'!$C$8/10^3))</f>
        <v>-</v>
      </c>
      <c r="L182" s="2075"/>
      <c r="M182" s="2075" t="str">
        <f>IF($R$122=0,"-",IF('P opération brûleur - éco'!G180*3600*M34/'Facteurs conversion'!$C$8/10^3=0,"-",'P opération brûleur - éco'!G180*3600*M34/'Facteurs conversion'!$C$8/10^3))</f>
        <v>-</v>
      </c>
      <c r="N182" s="2082"/>
      <c r="O182" s="1712">
        <f>SUM(G182:N182)</f>
        <v>0</v>
      </c>
      <c r="P182" s="6"/>
      <c r="Q182" s="7"/>
      <c r="R182" s="508" t="s">
        <v>1816</v>
      </c>
      <c r="S182" s="7"/>
      <c r="T182" s="7"/>
      <c r="U182" s="7"/>
      <c r="V182" s="7"/>
      <c r="W182" s="7"/>
      <c r="Y182" s="7"/>
    </row>
    <row r="183" spans="1:25">
      <c r="A183" s="7"/>
      <c r="B183" s="6"/>
      <c r="C183" s="2047" t="s">
        <v>1456</v>
      </c>
      <c r="D183" s="2047"/>
      <c r="E183" s="2047"/>
      <c r="F183" s="2047"/>
      <c r="G183" s="1983">
        <f>SUM(G180,G181,G182,G172,G176)</f>
        <v>0</v>
      </c>
      <c r="H183" s="2048"/>
      <c r="I183" s="1983">
        <f>SUM(I180,I181,I182,I172,I176)</f>
        <v>0</v>
      </c>
      <c r="J183" s="2048"/>
      <c r="K183" s="1983">
        <f>SUM(K180,K181,K182,K172,K176)</f>
        <v>0</v>
      </c>
      <c r="L183" s="2048"/>
      <c r="M183" s="1983">
        <f>SUM(M180,M181,M182,M172,M176)</f>
        <v>0</v>
      </c>
      <c r="N183" s="2048"/>
      <c r="O183" s="1713"/>
      <c r="P183" s="6"/>
      <c r="Q183" s="7"/>
      <c r="R183" s="7"/>
      <c r="S183" s="7"/>
      <c r="T183" s="7"/>
      <c r="U183" s="7"/>
      <c r="V183" s="7"/>
      <c r="W183" s="7"/>
      <c r="Y183" s="7"/>
    </row>
    <row r="184" spans="1:25" ht="6.75" customHeight="1">
      <c r="A184" s="7"/>
      <c r="B184" s="6"/>
      <c r="C184" s="1989"/>
      <c r="D184" s="1989"/>
      <c r="E184" s="1989"/>
      <c r="F184" s="1989"/>
      <c r="G184" s="1714"/>
      <c r="H184" s="1714"/>
      <c r="I184" s="1714"/>
      <c r="J184" s="1714"/>
      <c r="K184" s="1714"/>
      <c r="L184" s="1714"/>
      <c r="M184" s="1714"/>
      <c r="N184" s="1715"/>
      <c r="O184" s="1713"/>
      <c r="P184" s="6"/>
      <c r="Q184" s="7"/>
      <c r="R184" s="7"/>
      <c r="S184" s="7"/>
      <c r="T184" s="7"/>
      <c r="U184" s="7"/>
      <c r="V184" s="7"/>
      <c r="W184" s="7"/>
      <c r="Y184" s="7"/>
    </row>
    <row r="185" spans="1:25">
      <c r="A185" s="7"/>
      <c r="B185" s="6"/>
      <c r="C185" s="1989" t="s">
        <v>1457</v>
      </c>
      <c r="D185" s="1989"/>
      <c r="E185" s="1989"/>
      <c r="F185" s="1989"/>
      <c r="G185" s="2064"/>
      <c r="H185" s="2064"/>
      <c r="I185" s="1714"/>
      <c r="J185" s="1714"/>
      <c r="K185" s="1714"/>
      <c r="L185" s="1714"/>
      <c r="M185" s="1714"/>
      <c r="N185" s="1715"/>
      <c r="O185" s="1716">
        <f>SUM(G183:N183)</f>
        <v>0</v>
      </c>
      <c r="P185" s="6"/>
      <c r="Q185" s="7"/>
      <c r="R185" s="7"/>
      <c r="S185" s="7"/>
      <c r="T185" s="7"/>
      <c r="U185" s="7"/>
      <c r="V185" s="7"/>
      <c r="W185" s="7"/>
      <c r="Y185" s="7"/>
    </row>
    <row r="186" spans="1:25" ht="6.75" customHeight="1">
      <c r="A186" s="7"/>
      <c r="B186" s="6"/>
      <c r="C186" s="1989"/>
      <c r="D186" s="1989" t="s">
        <v>22</v>
      </c>
      <c r="E186" s="1989"/>
      <c r="F186" s="1989"/>
      <c r="G186" s="1590"/>
      <c r="H186" s="1590"/>
      <c r="I186" s="1590"/>
      <c r="J186" s="1590"/>
      <c r="K186" s="1590"/>
      <c r="L186" s="1590"/>
      <c r="M186" s="1590"/>
      <c r="N186" s="1592"/>
      <c r="O186" s="1592"/>
      <c r="P186" s="6"/>
      <c r="Q186" s="7"/>
      <c r="R186" s="7"/>
      <c r="S186" s="7"/>
      <c r="T186" s="7"/>
      <c r="U186" s="7"/>
      <c r="V186" s="7"/>
      <c r="W186" s="7"/>
      <c r="Y186" s="7"/>
    </row>
    <row r="187" spans="1:25" ht="16.5">
      <c r="A187" s="7"/>
      <c r="B187" s="6"/>
      <c r="C187" s="6"/>
      <c r="D187" s="6"/>
      <c r="E187" s="6"/>
      <c r="F187" s="6"/>
      <c r="G187" s="1439" t="s">
        <v>1349</v>
      </c>
      <c r="H187" s="6"/>
      <c r="I187" s="6"/>
      <c r="J187" s="6"/>
      <c r="K187" s="6"/>
      <c r="L187" s="6"/>
      <c r="M187" s="6"/>
      <c r="N187" s="6"/>
      <c r="O187" s="1430"/>
      <c r="P187" s="6"/>
      <c r="Q187" s="7"/>
      <c r="R187" s="541" t="s">
        <v>1350</v>
      </c>
      <c r="S187" s="7"/>
      <c r="T187" s="7"/>
      <c r="U187" s="7"/>
      <c r="V187" s="7"/>
      <c r="W187" s="7"/>
      <c r="Y187" s="7"/>
    </row>
    <row r="188" spans="1:25" ht="6.75" customHeight="1">
      <c r="A188" s="7"/>
      <c r="B188" s="6"/>
      <c r="C188" s="6"/>
      <c r="D188" s="6"/>
      <c r="E188" s="6"/>
      <c r="F188" s="6"/>
      <c r="G188" s="6"/>
      <c r="H188" s="6"/>
      <c r="I188" s="6"/>
      <c r="J188" s="6"/>
      <c r="K188" s="6"/>
      <c r="L188" s="6"/>
      <c r="M188" s="6"/>
      <c r="N188" s="6"/>
      <c r="O188" s="6"/>
      <c r="P188" s="6"/>
      <c r="Q188" s="7"/>
      <c r="R188" s="7"/>
      <c r="S188" s="7"/>
      <c r="T188" s="7"/>
      <c r="U188" s="7"/>
      <c r="V188" s="7"/>
      <c r="W188" s="7"/>
      <c r="Y188" s="7"/>
    </row>
    <row r="189" spans="1:25">
      <c r="A189" s="7"/>
      <c r="B189" s="7"/>
      <c r="C189" s="7"/>
      <c r="D189" s="7"/>
      <c r="E189" s="7"/>
      <c r="F189" s="7"/>
      <c r="G189" s="7"/>
      <c r="H189" s="7"/>
      <c r="I189" s="7"/>
      <c r="J189" s="7"/>
      <c r="K189" s="7"/>
      <c r="L189" s="7"/>
      <c r="M189" s="7"/>
      <c r="N189" s="7"/>
      <c r="O189" s="525"/>
      <c r="P189" s="573"/>
      <c r="Q189" s="7"/>
      <c r="R189" s="7"/>
      <c r="S189" s="7"/>
      <c r="T189" s="7"/>
      <c r="U189" s="7"/>
      <c r="V189" s="7"/>
      <c r="W189" s="7"/>
      <c r="Y189" s="7"/>
    </row>
    <row r="190" spans="1:25">
      <c r="G190" s="1593"/>
      <c r="P190" s="1401"/>
      <c r="X190" s="1071"/>
    </row>
    <row r="191" spans="1:25">
      <c r="P191" s="1594"/>
      <c r="Q191" s="1222"/>
      <c r="X191" s="1071"/>
    </row>
    <row r="192" spans="1:25">
      <c r="P192" s="1594"/>
      <c r="Q192" s="1222"/>
      <c r="X192" s="1071"/>
    </row>
    <row r="193" spans="4:24">
      <c r="G193" s="1593"/>
      <c r="P193" s="1594"/>
      <c r="Q193" s="1222"/>
      <c r="X193" s="1071"/>
    </row>
    <row r="194" spans="4:24">
      <c r="Q194" s="1222"/>
      <c r="X194" s="1071"/>
    </row>
    <row r="195" spans="4:24">
      <c r="P195" s="1594"/>
      <c r="X195" s="1071"/>
    </row>
    <row r="196" spans="4:24">
      <c r="P196" s="1594"/>
      <c r="Q196" s="1595"/>
      <c r="X196" s="1071"/>
    </row>
    <row r="197" spans="4:24">
      <c r="P197" s="1594"/>
      <c r="X197" s="1071"/>
    </row>
    <row r="198" spans="4:24">
      <c r="X198" s="1071"/>
    </row>
    <row r="199" spans="4:24">
      <c r="D199" s="1596"/>
      <c r="E199" s="1596"/>
      <c r="F199" s="1596"/>
      <c r="G199" s="1597"/>
      <c r="H199" s="1597"/>
      <c r="I199" s="1597"/>
      <c r="J199" s="1597"/>
      <c r="K199" s="1597"/>
      <c r="L199" s="1597"/>
      <c r="M199" s="1597"/>
      <c r="N199" s="1597"/>
      <c r="X199" s="1071"/>
    </row>
    <row r="200" spans="4:24">
      <c r="D200" s="1419"/>
      <c r="E200" s="1419"/>
      <c r="F200" s="1419"/>
      <c r="X200" s="1071"/>
    </row>
    <row r="201" spans="4:24">
      <c r="D201" s="1419"/>
      <c r="E201" s="1419"/>
      <c r="X201" s="1071"/>
    </row>
    <row r="202" spans="4:24">
      <c r="X202" s="1071"/>
    </row>
    <row r="203" spans="4:24">
      <c r="X203" s="1071"/>
    </row>
    <row r="204" spans="4:24">
      <c r="X204" s="1071"/>
    </row>
    <row r="205" spans="4:24">
      <c r="X205" s="1071"/>
    </row>
    <row r="206" spans="4:24">
      <c r="X206" s="1071"/>
    </row>
    <row r="207" spans="4:24">
      <c r="X207" s="1071"/>
    </row>
    <row r="208" spans="4:24">
      <c r="X208" s="1071"/>
    </row>
    <row r="209" spans="24:24">
      <c r="X209" s="1071"/>
    </row>
    <row r="210" spans="24:24">
      <c r="X210" s="1071"/>
    </row>
    <row r="211" spans="24:24">
      <c r="X211" s="1071"/>
    </row>
    <row r="212" spans="24:24">
      <c r="X212" s="1071"/>
    </row>
    <row r="213" spans="24:24">
      <c r="X213" s="1071"/>
    </row>
    <row r="214" spans="24:24">
      <c r="X214" s="1071"/>
    </row>
    <row r="215" spans="24:24">
      <c r="X215" s="1071"/>
    </row>
    <row r="216" spans="24:24">
      <c r="X216" s="1071"/>
    </row>
    <row r="217" spans="24:24">
      <c r="X217" s="1071"/>
    </row>
    <row r="218" spans="24:24">
      <c r="X218" s="1071"/>
    </row>
    <row r="219" spans="24:24">
      <c r="X219" s="1071"/>
    </row>
    <row r="220" spans="24:24">
      <c r="X220" s="1071"/>
    </row>
    <row r="221" spans="24:24">
      <c r="X221" s="1071"/>
    </row>
    <row r="222" spans="24:24">
      <c r="X222" s="1071"/>
    </row>
    <row r="223" spans="24:24">
      <c r="X223" s="1071"/>
    </row>
    <row r="224" spans="24:24">
      <c r="X224" s="1071"/>
    </row>
    <row r="225" spans="24:24">
      <c r="X225" s="1071"/>
    </row>
    <row r="226" spans="24:24">
      <c r="X226" s="1071"/>
    </row>
    <row r="227" spans="24:24">
      <c r="X227" s="1071"/>
    </row>
    <row r="228" spans="24:24">
      <c r="X228" s="1071"/>
    </row>
    <row r="229" spans="24:24">
      <c r="X229" s="1071"/>
    </row>
    <row r="230" spans="24:24">
      <c r="X230" s="1071"/>
    </row>
    <row r="231" spans="24:24">
      <c r="X231" s="1071"/>
    </row>
    <row r="232" spans="24:24">
      <c r="X232" s="1071"/>
    </row>
    <row r="233" spans="24:24">
      <c r="X233" s="1071"/>
    </row>
    <row r="234" spans="24:24">
      <c r="X234" s="1071"/>
    </row>
    <row r="235" spans="24:24">
      <c r="X235" s="1071"/>
    </row>
    <row r="236" spans="24:24">
      <c r="X236" s="1071"/>
    </row>
    <row r="237" spans="24:24">
      <c r="X237" s="1071"/>
    </row>
    <row r="238" spans="24:24">
      <c r="X238" s="1071"/>
    </row>
    <row r="239" spans="24:24">
      <c r="X239" s="1071"/>
    </row>
    <row r="240" spans="24:24">
      <c r="X240" s="1071"/>
    </row>
    <row r="241" spans="24:24">
      <c r="X241" s="1071"/>
    </row>
    <row r="242" spans="24:24">
      <c r="X242" s="1071"/>
    </row>
    <row r="243" spans="24:24">
      <c r="X243" s="1071"/>
    </row>
    <row r="244" spans="24:24">
      <c r="X244" s="1071"/>
    </row>
    <row r="245" spans="24:24">
      <c r="X245" s="1071"/>
    </row>
    <row r="246" spans="24:24">
      <c r="X246" s="1071"/>
    </row>
    <row r="247" spans="24:24">
      <c r="X247" s="1071"/>
    </row>
    <row r="248" spans="24:24">
      <c r="X248" s="1071"/>
    </row>
    <row r="249" spans="24:24">
      <c r="X249" s="1071"/>
    </row>
    <row r="250" spans="24:24">
      <c r="X250" s="1071"/>
    </row>
    <row r="251" spans="24:24">
      <c r="X251" s="1071"/>
    </row>
    <row r="252" spans="24:24">
      <c r="X252" s="1071"/>
    </row>
    <row r="253" spans="24:24">
      <c r="X253" s="1071"/>
    </row>
    <row r="254" spans="24:24">
      <c r="X254" s="1071"/>
    </row>
    <row r="255" spans="24:24">
      <c r="X255" s="1071"/>
    </row>
    <row r="256" spans="24:24">
      <c r="X256" s="1071"/>
    </row>
    <row r="257" spans="24:24">
      <c r="X257" s="1071"/>
    </row>
    <row r="258" spans="24:24">
      <c r="X258" s="1071"/>
    </row>
    <row r="259" spans="24:24">
      <c r="X259" s="1071"/>
    </row>
    <row r="260" spans="24:24">
      <c r="X260" s="1071"/>
    </row>
    <row r="261" spans="24:24">
      <c r="X261" s="1071"/>
    </row>
    <row r="262" spans="24:24">
      <c r="X262" s="1071"/>
    </row>
    <row r="263" spans="24:24">
      <c r="X263" s="1071"/>
    </row>
    <row r="264" spans="24:24">
      <c r="X264" s="1071"/>
    </row>
    <row r="265" spans="24:24">
      <c r="X265" s="1071"/>
    </row>
    <row r="266" spans="24:24">
      <c r="X266" s="1071"/>
    </row>
    <row r="267" spans="24:24">
      <c r="X267" s="1071"/>
    </row>
    <row r="268" spans="24:24">
      <c r="X268" s="1071"/>
    </row>
    <row r="269" spans="24:24">
      <c r="X269" s="1071"/>
    </row>
    <row r="270" spans="24:24">
      <c r="X270" s="1071"/>
    </row>
    <row r="271" spans="24:24">
      <c r="X271" s="1071"/>
    </row>
    <row r="272" spans="24:24">
      <c r="X272" s="1071"/>
    </row>
    <row r="273" spans="24:24">
      <c r="X273" s="1071"/>
    </row>
    <row r="274" spans="24:24">
      <c r="X274" s="1071"/>
    </row>
    <row r="275" spans="24:24">
      <c r="X275" s="1071"/>
    </row>
    <row r="276" spans="24:24">
      <c r="X276" s="1071"/>
    </row>
    <row r="277" spans="24:24">
      <c r="X277" s="1071"/>
    </row>
    <row r="278" spans="24:24">
      <c r="X278" s="1071"/>
    </row>
    <row r="279" spans="24:24">
      <c r="X279" s="1071"/>
    </row>
    <row r="280" spans="24:24">
      <c r="X280" s="1071"/>
    </row>
    <row r="281" spans="24:24">
      <c r="X281" s="1071"/>
    </row>
    <row r="282" spans="24:24">
      <c r="X282" s="1071"/>
    </row>
    <row r="283" spans="24:24">
      <c r="X283" s="1071"/>
    </row>
    <row r="284" spans="24:24">
      <c r="X284" s="1071"/>
    </row>
    <row r="285" spans="24:24">
      <c r="X285" s="1071"/>
    </row>
    <row r="286" spans="24:24">
      <c r="X286" s="1071"/>
    </row>
    <row r="287" spans="24:24">
      <c r="X287" s="1071"/>
    </row>
    <row r="288" spans="24:24">
      <c r="X288" s="1071"/>
    </row>
    <row r="289" spans="24:24">
      <c r="X289" s="1071"/>
    </row>
    <row r="290" spans="24:24">
      <c r="X290" s="1071"/>
    </row>
    <row r="291" spans="24:24">
      <c r="X291" s="1071"/>
    </row>
    <row r="292" spans="24:24">
      <c r="X292" s="1071"/>
    </row>
    <row r="293" spans="24:24">
      <c r="X293" s="1071"/>
    </row>
    <row r="294" spans="24:24">
      <c r="X294" s="1071"/>
    </row>
    <row r="295" spans="24:24">
      <c r="X295" s="1071"/>
    </row>
    <row r="296" spans="24:24">
      <c r="X296" s="1071"/>
    </row>
    <row r="297" spans="24:24">
      <c r="X297" s="1071"/>
    </row>
    <row r="298" spans="24:24">
      <c r="X298" s="1071"/>
    </row>
    <row r="299" spans="24:24">
      <c r="X299" s="1071"/>
    </row>
    <row r="300" spans="24:24">
      <c r="X300" s="1071"/>
    </row>
    <row r="301" spans="24:24">
      <c r="X301" s="1071"/>
    </row>
    <row r="302" spans="24:24">
      <c r="X302" s="1071"/>
    </row>
    <row r="303" spans="24:24">
      <c r="X303" s="1071"/>
    </row>
    <row r="304" spans="24:24">
      <c r="X304" s="1071"/>
    </row>
    <row r="305" spans="24:24">
      <c r="X305" s="1071"/>
    </row>
    <row r="306" spans="24:24">
      <c r="X306" s="1071"/>
    </row>
    <row r="307" spans="24:24">
      <c r="X307" s="1071"/>
    </row>
    <row r="308" spans="24:24">
      <c r="X308" s="1071"/>
    </row>
    <row r="309" spans="24:24">
      <c r="X309" s="1071"/>
    </row>
    <row r="310" spans="24:24">
      <c r="X310" s="1071"/>
    </row>
    <row r="311" spans="24:24">
      <c r="X311" s="1071"/>
    </row>
    <row r="312" spans="24:24">
      <c r="X312" s="1071"/>
    </row>
    <row r="313" spans="24:24">
      <c r="X313" s="1071"/>
    </row>
    <row r="314" spans="24:24">
      <c r="X314" s="1071"/>
    </row>
    <row r="315" spans="24:24">
      <c r="X315" s="1071"/>
    </row>
    <row r="316" spans="24:24">
      <c r="X316" s="1071"/>
    </row>
    <row r="317" spans="24:24">
      <c r="X317" s="1071"/>
    </row>
    <row r="318" spans="24:24">
      <c r="X318" s="1071"/>
    </row>
    <row r="319" spans="24:24">
      <c r="X319" s="1071"/>
    </row>
    <row r="320" spans="24:24">
      <c r="X320" s="1071"/>
    </row>
    <row r="321" spans="24:24">
      <c r="X321" s="1071"/>
    </row>
    <row r="322" spans="24:24">
      <c r="X322" s="1071"/>
    </row>
    <row r="323" spans="24:24">
      <c r="X323" s="1071"/>
    </row>
    <row r="324" spans="24:24">
      <c r="X324" s="1071"/>
    </row>
    <row r="325" spans="24:24">
      <c r="X325" s="1071"/>
    </row>
    <row r="326" spans="24:24">
      <c r="X326" s="1071"/>
    </row>
    <row r="327" spans="24:24">
      <c r="X327" s="1071"/>
    </row>
    <row r="328" spans="24:24">
      <c r="X328" s="1071"/>
    </row>
    <row r="329" spans="24:24">
      <c r="X329" s="1071"/>
    </row>
    <row r="330" spans="24:24">
      <c r="X330" s="1071"/>
    </row>
    <row r="331" spans="24:24">
      <c r="X331" s="1071"/>
    </row>
    <row r="332" spans="24:24">
      <c r="X332" s="1071"/>
    </row>
    <row r="333" spans="24:24">
      <c r="X333" s="1071"/>
    </row>
    <row r="334" spans="24:24">
      <c r="X334" s="1071"/>
    </row>
    <row r="335" spans="24:24">
      <c r="X335" s="1071"/>
    </row>
    <row r="336" spans="24:24">
      <c r="X336" s="1071"/>
    </row>
    <row r="337" spans="24:24">
      <c r="X337" s="1071"/>
    </row>
    <row r="338" spans="24:24">
      <c r="X338" s="1071"/>
    </row>
    <row r="339" spans="24:24">
      <c r="X339" s="1071"/>
    </row>
    <row r="340" spans="24:24">
      <c r="X340" s="1071"/>
    </row>
    <row r="341" spans="24:24">
      <c r="X341" s="1071"/>
    </row>
    <row r="342" spans="24:24">
      <c r="X342" s="1071"/>
    </row>
    <row r="343" spans="24:24">
      <c r="X343" s="1071"/>
    </row>
    <row r="344" spans="24:24">
      <c r="X344" s="1071"/>
    </row>
    <row r="345" spans="24:24">
      <c r="X345" s="1071"/>
    </row>
    <row r="346" spans="24:24">
      <c r="X346" s="1071"/>
    </row>
    <row r="347" spans="24:24">
      <c r="X347" s="1071"/>
    </row>
    <row r="348" spans="24:24">
      <c r="X348" s="1071"/>
    </row>
    <row r="349" spans="24:24">
      <c r="X349" s="1071"/>
    </row>
    <row r="350" spans="24:24">
      <c r="X350" s="1071"/>
    </row>
    <row r="351" spans="24:24">
      <c r="X351" s="1071"/>
    </row>
    <row r="352" spans="24:24">
      <c r="X352" s="1071"/>
    </row>
    <row r="353" spans="24:24">
      <c r="X353" s="1071"/>
    </row>
    <row r="354" spans="24:24">
      <c r="X354" s="1071"/>
    </row>
    <row r="355" spans="24:24">
      <c r="X355" s="1071"/>
    </row>
    <row r="356" spans="24:24">
      <c r="X356" s="1071"/>
    </row>
    <row r="357" spans="24:24">
      <c r="X357" s="1071"/>
    </row>
    <row r="358" spans="24:24">
      <c r="X358" s="1071"/>
    </row>
    <row r="359" spans="24:24">
      <c r="X359" s="1071"/>
    </row>
    <row r="360" spans="24:24">
      <c r="X360" s="1071"/>
    </row>
    <row r="361" spans="24:24">
      <c r="X361" s="1071"/>
    </row>
    <row r="362" spans="24:24">
      <c r="X362" s="1071"/>
    </row>
    <row r="363" spans="24:24">
      <c r="X363" s="1071"/>
    </row>
    <row r="364" spans="24:24">
      <c r="X364" s="1071"/>
    </row>
    <row r="365" spans="24:24">
      <c r="X365" s="1071"/>
    </row>
    <row r="366" spans="24:24">
      <c r="X366" s="1071"/>
    </row>
    <row r="367" spans="24:24">
      <c r="X367" s="1071"/>
    </row>
    <row r="368" spans="24:24">
      <c r="X368" s="1071"/>
    </row>
    <row r="369" spans="24:24">
      <c r="X369" s="1071"/>
    </row>
    <row r="370" spans="24:24">
      <c r="X370" s="1071"/>
    </row>
    <row r="371" spans="24:24">
      <c r="X371" s="1071"/>
    </row>
    <row r="372" spans="24:24">
      <c r="X372" s="1071"/>
    </row>
    <row r="373" spans="24:24">
      <c r="X373" s="1071"/>
    </row>
    <row r="374" spans="24:24">
      <c r="X374" s="1071"/>
    </row>
    <row r="375" spans="24:24">
      <c r="X375" s="1071"/>
    </row>
    <row r="376" spans="24:24">
      <c r="X376" s="1071"/>
    </row>
    <row r="377" spans="24:24">
      <c r="X377" s="1071"/>
    </row>
    <row r="378" spans="24:24">
      <c r="X378" s="1071"/>
    </row>
    <row r="379" spans="24:24">
      <c r="X379" s="1071"/>
    </row>
    <row r="380" spans="24:24">
      <c r="X380" s="1071"/>
    </row>
    <row r="381" spans="24:24">
      <c r="X381" s="1071"/>
    </row>
    <row r="382" spans="24:24">
      <c r="X382" s="1071"/>
    </row>
    <row r="383" spans="24:24">
      <c r="X383" s="1071"/>
    </row>
    <row r="384" spans="24:24">
      <c r="X384" s="1071"/>
    </row>
    <row r="385" spans="24:24">
      <c r="X385" s="1071"/>
    </row>
    <row r="386" spans="24:24">
      <c r="X386" s="1071"/>
    </row>
    <row r="387" spans="24:24">
      <c r="X387" s="1071"/>
    </row>
    <row r="388" spans="24:24">
      <c r="X388" s="1071"/>
    </row>
    <row r="389" spans="24:24">
      <c r="X389" s="1071"/>
    </row>
    <row r="390" spans="24:24">
      <c r="X390" s="1071"/>
    </row>
    <row r="391" spans="24:24">
      <c r="X391" s="1071"/>
    </row>
    <row r="392" spans="24:24">
      <c r="X392" s="1071"/>
    </row>
    <row r="393" spans="24:24">
      <c r="X393" s="1071"/>
    </row>
    <row r="394" spans="24:24">
      <c r="X394" s="1071"/>
    </row>
    <row r="395" spans="24:24">
      <c r="X395" s="1071"/>
    </row>
    <row r="396" spans="24:24">
      <c r="X396" s="1071"/>
    </row>
    <row r="397" spans="24:24">
      <c r="X397" s="1071"/>
    </row>
    <row r="398" spans="24:24">
      <c r="X398" s="1071"/>
    </row>
    <row r="399" spans="24:24">
      <c r="X399" s="1071"/>
    </row>
    <row r="400" spans="24:24">
      <c r="X400" s="1071"/>
    </row>
    <row r="401" spans="24:24">
      <c r="X401" s="1071"/>
    </row>
    <row r="402" spans="24:24">
      <c r="X402" s="1071"/>
    </row>
    <row r="403" spans="24:24">
      <c r="X403" s="1071"/>
    </row>
    <row r="404" spans="24:24">
      <c r="X404" s="1071"/>
    </row>
    <row r="405" spans="24:24">
      <c r="X405" s="1071"/>
    </row>
    <row r="406" spans="24:24">
      <c r="X406" s="1071"/>
    </row>
    <row r="407" spans="24:24">
      <c r="X407" s="1071"/>
    </row>
    <row r="408" spans="24:24">
      <c r="X408" s="1071"/>
    </row>
    <row r="409" spans="24:24">
      <c r="X409" s="1071"/>
    </row>
    <row r="410" spans="24:24">
      <c r="X410" s="1071"/>
    </row>
    <row r="411" spans="24:24">
      <c r="X411" s="1071"/>
    </row>
    <row r="412" spans="24:24">
      <c r="X412" s="1071"/>
    </row>
    <row r="413" spans="24:24">
      <c r="X413" s="1071"/>
    </row>
    <row r="414" spans="24:24">
      <c r="X414" s="1071"/>
    </row>
    <row r="415" spans="24:24">
      <c r="X415" s="1071"/>
    </row>
    <row r="416" spans="24:24">
      <c r="X416" s="1071"/>
    </row>
    <row r="417" spans="24:24">
      <c r="X417" s="1071"/>
    </row>
    <row r="418" spans="24:24">
      <c r="X418" s="1071"/>
    </row>
    <row r="419" spans="24:24">
      <c r="X419" s="1071"/>
    </row>
    <row r="420" spans="24:24">
      <c r="X420" s="1071"/>
    </row>
    <row r="421" spans="24:24">
      <c r="X421" s="1071"/>
    </row>
    <row r="422" spans="24:24">
      <c r="X422" s="1071"/>
    </row>
    <row r="423" spans="24:24">
      <c r="X423" s="1071"/>
    </row>
    <row r="424" spans="24:24">
      <c r="X424" s="1071"/>
    </row>
    <row r="425" spans="24:24">
      <c r="X425" s="1071"/>
    </row>
    <row r="426" spans="24:24">
      <c r="X426" s="1071"/>
    </row>
    <row r="427" spans="24:24">
      <c r="X427" s="1071"/>
    </row>
    <row r="428" spans="24:24">
      <c r="X428" s="1071"/>
    </row>
    <row r="429" spans="24:24">
      <c r="X429" s="1071"/>
    </row>
    <row r="430" spans="24:24">
      <c r="X430" s="1071"/>
    </row>
    <row r="431" spans="24:24">
      <c r="X431" s="1071"/>
    </row>
    <row r="432" spans="24:24">
      <c r="X432" s="1071"/>
    </row>
    <row r="433" spans="24:24">
      <c r="X433" s="1071"/>
    </row>
    <row r="434" spans="24:24">
      <c r="X434" s="1071"/>
    </row>
    <row r="435" spans="24:24">
      <c r="X435" s="1071"/>
    </row>
    <row r="436" spans="24:24">
      <c r="X436" s="1071"/>
    </row>
    <row r="437" spans="24:24">
      <c r="X437" s="1071"/>
    </row>
    <row r="438" spans="24:24">
      <c r="X438" s="1071"/>
    </row>
    <row r="439" spans="24:24">
      <c r="X439" s="1071"/>
    </row>
    <row r="440" spans="24:24">
      <c r="X440" s="1071"/>
    </row>
    <row r="441" spans="24:24">
      <c r="X441" s="1071"/>
    </row>
    <row r="442" spans="24:24">
      <c r="X442" s="1071"/>
    </row>
    <row r="443" spans="24:24">
      <c r="X443" s="1071"/>
    </row>
    <row r="444" spans="24:24">
      <c r="X444" s="1071"/>
    </row>
    <row r="445" spans="24:24">
      <c r="X445" s="1071"/>
    </row>
    <row r="446" spans="24:24">
      <c r="X446" s="1071"/>
    </row>
    <row r="447" spans="24:24">
      <c r="X447" s="1071"/>
    </row>
    <row r="448" spans="24:24">
      <c r="X448" s="1071"/>
    </row>
    <row r="449" spans="24:24">
      <c r="X449" s="1071"/>
    </row>
    <row r="450" spans="24:24">
      <c r="X450" s="1071"/>
    </row>
    <row r="451" spans="24:24">
      <c r="X451" s="1071"/>
    </row>
    <row r="452" spans="24:24">
      <c r="X452" s="1071"/>
    </row>
    <row r="453" spans="24:24">
      <c r="X453" s="1071"/>
    </row>
    <row r="454" spans="24:24">
      <c r="X454" s="1071"/>
    </row>
    <row r="455" spans="24:24">
      <c r="X455" s="1071"/>
    </row>
    <row r="456" spans="24:24">
      <c r="X456" s="1071"/>
    </row>
    <row r="457" spans="24:24">
      <c r="X457" s="1071"/>
    </row>
    <row r="458" spans="24:24">
      <c r="X458" s="1071"/>
    </row>
    <row r="459" spans="24:24">
      <c r="X459" s="1071"/>
    </row>
    <row r="460" spans="24:24">
      <c r="X460" s="1071"/>
    </row>
    <row r="461" spans="24:24">
      <c r="X461" s="1071"/>
    </row>
    <row r="462" spans="24:24">
      <c r="X462" s="1071"/>
    </row>
    <row r="463" spans="24:24">
      <c r="X463" s="1071"/>
    </row>
    <row r="464" spans="24:24">
      <c r="X464" s="1071"/>
    </row>
    <row r="465" spans="24:24">
      <c r="X465" s="1071"/>
    </row>
    <row r="466" spans="24:24">
      <c r="X466" s="1071"/>
    </row>
    <row r="467" spans="24:24">
      <c r="X467" s="1071"/>
    </row>
    <row r="468" spans="24:24">
      <c r="X468" s="1071"/>
    </row>
    <row r="469" spans="24:24">
      <c r="X469" s="1071"/>
    </row>
    <row r="470" spans="24:24">
      <c r="X470" s="1071"/>
    </row>
    <row r="471" spans="24:24">
      <c r="X471" s="1071"/>
    </row>
    <row r="472" spans="24:24">
      <c r="X472" s="1071"/>
    </row>
    <row r="473" spans="24:24">
      <c r="X473" s="1071"/>
    </row>
    <row r="474" spans="24:24">
      <c r="X474" s="1071"/>
    </row>
    <row r="475" spans="24:24">
      <c r="X475" s="1071"/>
    </row>
    <row r="476" spans="24:24">
      <c r="X476" s="1071"/>
    </row>
    <row r="477" spans="24:24">
      <c r="X477" s="1071"/>
    </row>
    <row r="478" spans="24:24">
      <c r="X478" s="1071"/>
    </row>
    <row r="479" spans="24:24">
      <c r="X479" s="1071"/>
    </row>
    <row r="480" spans="24:24">
      <c r="X480" s="1071"/>
    </row>
    <row r="481" spans="24:24">
      <c r="X481" s="1071"/>
    </row>
    <row r="482" spans="24:24">
      <c r="X482" s="1071"/>
    </row>
    <row r="483" spans="24:24">
      <c r="X483" s="1071"/>
    </row>
    <row r="484" spans="24:24">
      <c r="X484" s="1071"/>
    </row>
    <row r="485" spans="24:24">
      <c r="X485" s="1071"/>
    </row>
    <row r="486" spans="24:24">
      <c r="X486" s="1071"/>
    </row>
    <row r="487" spans="24:24">
      <c r="X487" s="1071"/>
    </row>
    <row r="488" spans="24:24">
      <c r="X488" s="1071"/>
    </row>
    <row r="489" spans="24:24">
      <c r="X489" s="1071"/>
    </row>
    <row r="490" spans="24:24">
      <c r="X490" s="1071"/>
    </row>
    <row r="491" spans="24:24">
      <c r="X491" s="1071"/>
    </row>
    <row r="492" spans="24:24">
      <c r="X492" s="1071"/>
    </row>
    <row r="493" spans="24:24">
      <c r="X493" s="1071"/>
    </row>
    <row r="494" spans="24:24">
      <c r="X494" s="1071"/>
    </row>
    <row r="495" spans="24:24">
      <c r="X495" s="1071"/>
    </row>
    <row r="496" spans="24:24">
      <c r="X496" s="1071"/>
    </row>
    <row r="497" spans="24:24">
      <c r="X497" s="1071"/>
    </row>
    <row r="498" spans="24:24">
      <c r="X498" s="1071"/>
    </row>
    <row r="499" spans="24:24">
      <c r="X499" s="1071"/>
    </row>
    <row r="500" spans="24:24">
      <c r="X500" s="1071"/>
    </row>
    <row r="501" spans="24:24">
      <c r="X501" s="1071"/>
    </row>
    <row r="502" spans="24:24">
      <c r="X502" s="1071"/>
    </row>
    <row r="503" spans="24:24">
      <c r="X503" s="1071"/>
    </row>
    <row r="504" spans="24:24">
      <c r="X504" s="1071"/>
    </row>
    <row r="505" spans="24:24">
      <c r="X505" s="1071"/>
    </row>
    <row r="506" spans="24:24">
      <c r="X506" s="1071"/>
    </row>
    <row r="507" spans="24:24">
      <c r="X507" s="1071"/>
    </row>
    <row r="508" spans="24:24">
      <c r="X508" s="1071"/>
    </row>
    <row r="509" spans="24:24">
      <c r="X509" s="1071"/>
    </row>
    <row r="510" spans="24:24">
      <c r="X510" s="1071"/>
    </row>
    <row r="511" spans="24:24">
      <c r="X511" s="1071"/>
    </row>
    <row r="512" spans="24:24">
      <c r="X512" s="1071"/>
    </row>
    <row r="513" spans="24:24">
      <c r="X513" s="1071"/>
    </row>
    <row r="514" spans="24:24">
      <c r="X514" s="1071"/>
    </row>
    <row r="515" spans="24:24">
      <c r="X515" s="1071"/>
    </row>
    <row r="516" spans="24:24">
      <c r="X516" s="1071"/>
    </row>
    <row r="517" spans="24:24">
      <c r="X517" s="1071"/>
    </row>
    <row r="518" spans="24:24">
      <c r="X518" s="1071"/>
    </row>
    <row r="519" spans="24:24">
      <c r="X519" s="1071"/>
    </row>
    <row r="520" spans="24:24">
      <c r="X520" s="1071"/>
    </row>
    <row r="521" spans="24:24">
      <c r="X521" s="1071"/>
    </row>
    <row r="522" spans="24:24">
      <c r="X522" s="1071"/>
    </row>
    <row r="523" spans="24:24">
      <c r="X523" s="1071"/>
    </row>
    <row r="524" spans="24:24">
      <c r="X524" s="1071"/>
    </row>
    <row r="525" spans="24:24">
      <c r="X525" s="1071"/>
    </row>
    <row r="526" spans="24:24">
      <c r="X526" s="1071"/>
    </row>
    <row r="527" spans="24:24">
      <c r="X527" s="1071"/>
    </row>
    <row r="528" spans="24:24">
      <c r="X528" s="1071"/>
    </row>
    <row r="529" spans="24:24">
      <c r="X529" s="1071"/>
    </row>
    <row r="530" spans="24:24">
      <c r="X530" s="1071"/>
    </row>
    <row r="531" spans="24:24">
      <c r="X531" s="1071"/>
    </row>
    <row r="532" spans="24:24">
      <c r="X532" s="1071"/>
    </row>
    <row r="533" spans="24:24">
      <c r="X533" s="1071"/>
    </row>
    <row r="534" spans="24:24">
      <c r="X534" s="1071"/>
    </row>
    <row r="535" spans="24:24">
      <c r="X535" s="1071"/>
    </row>
    <row r="536" spans="24:24">
      <c r="X536" s="1071"/>
    </row>
    <row r="537" spans="24:24">
      <c r="X537" s="1071"/>
    </row>
    <row r="538" spans="24:24">
      <c r="X538" s="1071"/>
    </row>
    <row r="539" spans="24:24">
      <c r="X539" s="1071"/>
    </row>
    <row r="540" spans="24:24">
      <c r="X540" s="1071"/>
    </row>
    <row r="541" spans="24:24">
      <c r="X541" s="1071"/>
    </row>
    <row r="542" spans="24:24">
      <c r="X542" s="1071"/>
    </row>
    <row r="543" spans="24:24">
      <c r="X543" s="1071"/>
    </row>
    <row r="544" spans="24:24">
      <c r="X544" s="1071"/>
    </row>
    <row r="545" spans="24:24">
      <c r="X545" s="1071"/>
    </row>
    <row r="546" spans="24:24">
      <c r="X546" s="1071"/>
    </row>
    <row r="547" spans="24:24">
      <c r="X547" s="1071"/>
    </row>
    <row r="548" spans="24:24">
      <c r="X548" s="1071"/>
    </row>
    <row r="549" spans="24:24">
      <c r="X549" s="1071"/>
    </row>
    <row r="550" spans="24:24">
      <c r="X550" s="1071"/>
    </row>
    <row r="551" spans="24:24">
      <c r="X551" s="1071"/>
    </row>
    <row r="552" spans="24:24">
      <c r="X552" s="1071"/>
    </row>
    <row r="553" spans="24:24">
      <c r="X553" s="1071"/>
    </row>
    <row r="554" spans="24:24">
      <c r="X554" s="1071"/>
    </row>
    <row r="555" spans="24:24">
      <c r="X555" s="1071"/>
    </row>
    <row r="556" spans="24:24">
      <c r="X556" s="1071"/>
    </row>
    <row r="557" spans="24:24">
      <c r="X557" s="1071"/>
    </row>
    <row r="558" spans="24:24">
      <c r="X558" s="1071"/>
    </row>
    <row r="559" spans="24:24">
      <c r="X559" s="1071"/>
    </row>
    <row r="560" spans="24:24">
      <c r="X560" s="1071"/>
    </row>
    <row r="561" spans="24:24">
      <c r="X561" s="1071"/>
    </row>
    <row r="562" spans="24:24">
      <c r="X562" s="1071"/>
    </row>
    <row r="563" spans="24:24">
      <c r="X563" s="1071"/>
    </row>
    <row r="564" spans="24:24">
      <c r="X564" s="1071"/>
    </row>
    <row r="565" spans="24:24">
      <c r="X565" s="1071"/>
    </row>
    <row r="566" spans="24:24">
      <c r="X566" s="1071"/>
    </row>
    <row r="567" spans="24:24">
      <c r="X567" s="1071"/>
    </row>
    <row r="568" spans="24:24">
      <c r="X568" s="1071"/>
    </row>
    <row r="569" spans="24:24">
      <c r="X569" s="1071"/>
    </row>
    <row r="570" spans="24:24">
      <c r="X570" s="1071"/>
    </row>
    <row r="571" spans="24:24">
      <c r="X571" s="1071"/>
    </row>
    <row r="572" spans="24:24">
      <c r="X572" s="1071"/>
    </row>
    <row r="573" spans="24:24">
      <c r="X573" s="1071"/>
    </row>
    <row r="574" spans="24:24">
      <c r="X574" s="1071"/>
    </row>
    <row r="575" spans="24:24">
      <c r="X575" s="1071"/>
    </row>
    <row r="576" spans="24:24">
      <c r="X576" s="1071"/>
    </row>
    <row r="577" spans="24:24">
      <c r="X577" s="1071"/>
    </row>
    <row r="578" spans="24:24">
      <c r="X578" s="1071"/>
    </row>
    <row r="579" spans="24:24">
      <c r="X579" s="1071"/>
    </row>
    <row r="580" spans="24:24">
      <c r="X580" s="1071"/>
    </row>
    <row r="581" spans="24:24">
      <c r="X581" s="1071"/>
    </row>
    <row r="582" spans="24:24">
      <c r="X582" s="1071"/>
    </row>
    <row r="583" spans="24:24">
      <c r="X583" s="1071"/>
    </row>
    <row r="584" spans="24:24">
      <c r="X584" s="1071"/>
    </row>
    <row r="585" spans="24:24">
      <c r="X585" s="1071"/>
    </row>
    <row r="586" spans="24:24">
      <c r="X586" s="1071"/>
    </row>
    <row r="587" spans="24:24">
      <c r="X587" s="1071"/>
    </row>
    <row r="588" spans="24:24">
      <c r="X588" s="1071"/>
    </row>
    <row r="589" spans="24:24">
      <c r="X589" s="1071"/>
    </row>
    <row r="590" spans="24:24">
      <c r="X590" s="1071"/>
    </row>
    <row r="591" spans="24:24">
      <c r="X591" s="1071"/>
    </row>
    <row r="592" spans="24:24">
      <c r="X592" s="1071"/>
    </row>
    <row r="593" spans="24:24">
      <c r="X593" s="1071"/>
    </row>
    <row r="594" spans="24:24">
      <c r="X594" s="1071"/>
    </row>
    <row r="595" spans="24:24">
      <c r="X595" s="1071"/>
    </row>
    <row r="596" spans="24:24">
      <c r="X596" s="1071"/>
    </row>
    <row r="597" spans="24:24">
      <c r="X597" s="1071"/>
    </row>
    <row r="598" spans="24:24">
      <c r="X598" s="1071"/>
    </row>
    <row r="599" spans="24:24">
      <c r="X599" s="1071"/>
    </row>
    <row r="600" spans="24:24">
      <c r="X600" s="1071"/>
    </row>
    <row r="601" spans="24:24">
      <c r="X601" s="1071"/>
    </row>
    <row r="602" spans="24:24">
      <c r="X602" s="1071"/>
    </row>
    <row r="603" spans="24:24">
      <c r="X603" s="1071"/>
    </row>
    <row r="604" spans="24:24">
      <c r="X604" s="1071"/>
    </row>
    <row r="605" spans="24:24">
      <c r="X605" s="1071"/>
    </row>
    <row r="606" spans="24:24">
      <c r="X606" s="1071"/>
    </row>
    <row r="607" spans="24:24">
      <c r="X607" s="1071"/>
    </row>
    <row r="608" spans="24:24">
      <c r="X608" s="1071"/>
    </row>
    <row r="609" spans="24:24">
      <c r="X609" s="1071"/>
    </row>
    <row r="610" spans="24:24">
      <c r="X610" s="1071"/>
    </row>
    <row r="611" spans="24:24">
      <c r="X611" s="1071"/>
    </row>
    <row r="612" spans="24:24">
      <c r="X612" s="1071"/>
    </row>
    <row r="613" spans="24:24">
      <c r="X613" s="1071"/>
    </row>
    <row r="614" spans="24:24">
      <c r="X614" s="1071"/>
    </row>
    <row r="615" spans="24:24">
      <c r="X615" s="1071"/>
    </row>
    <row r="616" spans="24:24">
      <c r="X616" s="1071"/>
    </row>
    <row r="617" spans="24:24">
      <c r="X617" s="1071"/>
    </row>
    <row r="618" spans="24:24">
      <c r="X618" s="1071"/>
    </row>
    <row r="619" spans="24:24">
      <c r="X619" s="1071"/>
    </row>
    <row r="620" spans="24:24">
      <c r="X620" s="1071"/>
    </row>
    <row r="621" spans="24:24">
      <c r="X621" s="1071"/>
    </row>
    <row r="622" spans="24:24">
      <c r="X622" s="1071"/>
    </row>
    <row r="623" spans="24:24">
      <c r="X623" s="1071"/>
    </row>
    <row r="624" spans="24:24">
      <c r="X624" s="1071"/>
    </row>
    <row r="625" spans="24:24">
      <c r="X625" s="1071"/>
    </row>
    <row r="626" spans="24:24">
      <c r="X626" s="1071"/>
    </row>
    <row r="627" spans="24:24">
      <c r="X627" s="1071"/>
    </row>
    <row r="628" spans="24:24">
      <c r="X628" s="1071"/>
    </row>
    <row r="629" spans="24:24">
      <c r="X629" s="1071"/>
    </row>
    <row r="630" spans="24:24">
      <c r="X630" s="1071"/>
    </row>
    <row r="631" spans="24:24">
      <c r="X631" s="1071"/>
    </row>
    <row r="632" spans="24:24">
      <c r="X632" s="1071"/>
    </row>
    <row r="633" spans="24:24">
      <c r="X633" s="1071"/>
    </row>
    <row r="634" spans="24:24">
      <c r="X634" s="1071"/>
    </row>
    <row r="635" spans="24:24">
      <c r="X635" s="1071"/>
    </row>
    <row r="636" spans="24:24">
      <c r="X636" s="1071"/>
    </row>
    <row r="637" spans="24:24">
      <c r="X637" s="1071"/>
    </row>
    <row r="638" spans="24:24">
      <c r="X638" s="1071"/>
    </row>
    <row r="639" spans="24:24">
      <c r="X639" s="1071"/>
    </row>
    <row r="640" spans="24:24">
      <c r="X640" s="1071"/>
    </row>
    <row r="641" spans="24:24">
      <c r="X641" s="1071"/>
    </row>
    <row r="642" spans="24:24">
      <c r="X642" s="1071"/>
    </row>
    <row r="643" spans="24:24">
      <c r="X643" s="1071"/>
    </row>
    <row r="644" spans="24:24">
      <c r="X644" s="1071"/>
    </row>
    <row r="645" spans="24:24">
      <c r="X645" s="1071"/>
    </row>
    <row r="646" spans="24:24">
      <c r="X646" s="1071"/>
    </row>
    <row r="647" spans="24:24">
      <c r="X647" s="1071"/>
    </row>
    <row r="648" spans="24:24">
      <c r="X648" s="1071"/>
    </row>
    <row r="649" spans="24:24">
      <c r="X649" s="1071"/>
    </row>
    <row r="650" spans="24:24">
      <c r="X650" s="1071"/>
    </row>
    <row r="651" spans="24:24">
      <c r="X651" s="1071"/>
    </row>
    <row r="652" spans="24:24">
      <c r="X652" s="1071"/>
    </row>
    <row r="653" spans="24:24">
      <c r="X653" s="1071"/>
    </row>
    <row r="654" spans="24:24">
      <c r="X654" s="1071"/>
    </row>
    <row r="655" spans="24:24">
      <c r="X655" s="1071"/>
    </row>
    <row r="656" spans="24:24">
      <c r="X656" s="1071"/>
    </row>
    <row r="657" spans="24:24">
      <c r="X657" s="1071"/>
    </row>
    <row r="658" spans="24:24">
      <c r="X658" s="1071"/>
    </row>
    <row r="659" spans="24:24">
      <c r="X659" s="1071"/>
    </row>
    <row r="660" spans="24:24">
      <c r="X660" s="1071"/>
    </row>
    <row r="661" spans="24:24">
      <c r="X661" s="1071"/>
    </row>
    <row r="662" spans="24:24">
      <c r="X662" s="1071"/>
    </row>
    <row r="663" spans="24:24">
      <c r="X663" s="1071"/>
    </row>
    <row r="664" spans="24:24">
      <c r="X664" s="1071"/>
    </row>
    <row r="665" spans="24:24">
      <c r="X665" s="1071"/>
    </row>
    <row r="666" spans="24:24">
      <c r="X666" s="1071"/>
    </row>
    <row r="667" spans="24:24">
      <c r="X667" s="1071"/>
    </row>
    <row r="668" spans="24:24">
      <c r="X668" s="1071"/>
    </row>
    <row r="669" spans="24:24">
      <c r="X669" s="1071"/>
    </row>
    <row r="670" spans="24:24">
      <c r="X670" s="1071"/>
    </row>
    <row r="671" spans="24:24">
      <c r="X671" s="1071"/>
    </row>
    <row r="672" spans="24:24">
      <c r="X672" s="1071"/>
    </row>
    <row r="673" spans="24:24">
      <c r="X673" s="1071"/>
    </row>
    <row r="674" spans="24:24">
      <c r="X674" s="1071"/>
    </row>
    <row r="675" spans="24:24">
      <c r="X675" s="1071"/>
    </row>
    <row r="676" spans="24:24">
      <c r="X676" s="1071"/>
    </row>
    <row r="677" spans="24:24">
      <c r="X677" s="1071"/>
    </row>
    <row r="678" spans="24:24">
      <c r="X678" s="1071"/>
    </row>
    <row r="679" spans="24:24">
      <c r="X679" s="1071"/>
    </row>
    <row r="680" spans="24:24">
      <c r="X680" s="1071"/>
    </row>
    <row r="681" spans="24:24">
      <c r="X681" s="1071"/>
    </row>
    <row r="682" spans="24:24">
      <c r="X682" s="1071"/>
    </row>
    <row r="683" spans="24:24">
      <c r="X683" s="1071"/>
    </row>
    <row r="684" spans="24:24">
      <c r="X684" s="1071"/>
    </row>
    <row r="685" spans="24:24">
      <c r="X685" s="1071"/>
    </row>
    <row r="686" spans="24:24">
      <c r="X686" s="1071"/>
    </row>
    <row r="687" spans="24:24">
      <c r="X687" s="1071"/>
    </row>
    <row r="688" spans="24:24">
      <c r="X688" s="1071"/>
    </row>
    <row r="689" spans="24:24">
      <c r="X689" s="1071"/>
    </row>
    <row r="690" spans="24:24">
      <c r="X690" s="1071"/>
    </row>
    <row r="691" spans="24:24">
      <c r="X691" s="1071"/>
    </row>
    <row r="692" spans="24:24">
      <c r="X692" s="1071"/>
    </row>
    <row r="693" spans="24:24">
      <c r="X693" s="1071"/>
    </row>
    <row r="694" spans="24:24">
      <c r="X694" s="1071"/>
    </row>
    <row r="695" spans="24:24">
      <c r="X695" s="1071"/>
    </row>
    <row r="696" spans="24:24">
      <c r="X696" s="1071"/>
    </row>
    <row r="697" spans="24:24">
      <c r="X697" s="1071"/>
    </row>
    <row r="698" spans="24:24">
      <c r="X698" s="1071"/>
    </row>
    <row r="699" spans="24:24">
      <c r="X699" s="1071"/>
    </row>
    <row r="700" spans="24:24">
      <c r="X700" s="1071"/>
    </row>
    <row r="701" spans="24:24">
      <c r="X701" s="1071"/>
    </row>
    <row r="702" spans="24:24">
      <c r="X702" s="1071"/>
    </row>
    <row r="703" spans="24:24">
      <c r="X703" s="1071"/>
    </row>
    <row r="704" spans="24:24">
      <c r="X704" s="1071"/>
    </row>
    <row r="705" spans="24:24">
      <c r="X705" s="1071"/>
    </row>
    <row r="706" spans="24:24">
      <c r="X706" s="1071"/>
    </row>
    <row r="707" spans="24:24">
      <c r="X707" s="1071"/>
    </row>
    <row r="708" spans="24:24">
      <c r="X708" s="1071"/>
    </row>
    <row r="709" spans="24:24">
      <c r="X709" s="1071"/>
    </row>
    <row r="710" spans="24:24">
      <c r="X710" s="1071"/>
    </row>
    <row r="711" spans="24:24">
      <c r="X711" s="1071"/>
    </row>
    <row r="712" spans="24:24">
      <c r="X712" s="1071"/>
    </row>
    <row r="713" spans="24:24">
      <c r="X713" s="1071"/>
    </row>
    <row r="714" spans="24:24">
      <c r="X714" s="1071"/>
    </row>
    <row r="715" spans="24:24">
      <c r="X715" s="1071"/>
    </row>
    <row r="716" spans="24:24">
      <c r="X716" s="1071"/>
    </row>
    <row r="717" spans="24:24">
      <c r="X717" s="1071"/>
    </row>
    <row r="718" spans="24:24">
      <c r="X718" s="1071"/>
    </row>
    <row r="719" spans="24:24">
      <c r="X719" s="1071"/>
    </row>
    <row r="720" spans="24:24">
      <c r="X720" s="1071"/>
    </row>
    <row r="721" spans="24:24">
      <c r="X721" s="1071"/>
    </row>
    <row r="722" spans="24:24">
      <c r="X722" s="1071"/>
    </row>
    <row r="723" spans="24:24">
      <c r="X723" s="1071"/>
    </row>
    <row r="724" spans="24:24">
      <c r="X724" s="1071"/>
    </row>
    <row r="725" spans="24:24">
      <c r="X725" s="1071"/>
    </row>
    <row r="726" spans="24:24">
      <c r="X726" s="1071"/>
    </row>
    <row r="727" spans="24:24">
      <c r="X727" s="1071"/>
    </row>
    <row r="728" spans="24:24">
      <c r="X728" s="1071"/>
    </row>
    <row r="729" spans="24:24">
      <c r="X729" s="1071"/>
    </row>
    <row r="730" spans="24:24">
      <c r="X730" s="1071"/>
    </row>
    <row r="731" spans="24:24">
      <c r="X731" s="1071"/>
    </row>
    <row r="732" spans="24:24">
      <c r="X732" s="1071"/>
    </row>
    <row r="733" spans="24:24">
      <c r="X733" s="1071"/>
    </row>
    <row r="734" spans="24:24">
      <c r="X734" s="1071"/>
    </row>
    <row r="735" spans="24:24">
      <c r="X735" s="1071"/>
    </row>
    <row r="736" spans="24:24">
      <c r="X736" s="1071"/>
    </row>
    <row r="737" spans="24:24">
      <c r="X737" s="1071"/>
    </row>
    <row r="738" spans="24:24">
      <c r="X738" s="1071"/>
    </row>
    <row r="739" spans="24:24">
      <c r="X739" s="1071"/>
    </row>
    <row r="740" spans="24:24">
      <c r="X740" s="1071"/>
    </row>
    <row r="741" spans="24:24">
      <c r="X741" s="1071"/>
    </row>
    <row r="742" spans="24:24">
      <c r="X742" s="1071"/>
    </row>
    <row r="743" spans="24:24">
      <c r="X743" s="1071"/>
    </row>
    <row r="744" spans="24:24">
      <c r="X744" s="1071"/>
    </row>
    <row r="745" spans="24:24">
      <c r="X745" s="1071"/>
    </row>
    <row r="746" spans="24:24">
      <c r="X746" s="1071"/>
    </row>
    <row r="747" spans="24:24">
      <c r="X747" s="1071"/>
    </row>
    <row r="748" spans="24:24">
      <c r="X748" s="1071"/>
    </row>
    <row r="749" spans="24:24">
      <c r="X749" s="1071"/>
    </row>
    <row r="750" spans="24:24">
      <c r="X750" s="1071"/>
    </row>
    <row r="751" spans="24:24">
      <c r="X751" s="1071"/>
    </row>
    <row r="752" spans="24:24">
      <c r="X752" s="1071"/>
    </row>
    <row r="753" spans="24:24">
      <c r="X753" s="1071"/>
    </row>
    <row r="754" spans="24:24">
      <c r="X754" s="1071"/>
    </row>
    <row r="755" spans="24:24">
      <c r="X755" s="1071"/>
    </row>
    <row r="756" spans="24:24">
      <c r="X756" s="1071"/>
    </row>
    <row r="757" spans="24:24">
      <c r="X757" s="1071"/>
    </row>
    <row r="758" spans="24:24">
      <c r="X758" s="1071"/>
    </row>
    <row r="759" spans="24:24">
      <c r="X759" s="1071"/>
    </row>
    <row r="760" spans="24:24">
      <c r="X760" s="1071"/>
    </row>
    <row r="761" spans="24:24">
      <c r="X761" s="1071"/>
    </row>
    <row r="762" spans="24:24">
      <c r="X762" s="1071"/>
    </row>
    <row r="763" spans="24:24">
      <c r="X763" s="1071"/>
    </row>
    <row r="764" spans="24:24">
      <c r="X764" s="1071"/>
    </row>
    <row r="765" spans="24:24">
      <c r="X765" s="1071"/>
    </row>
    <row r="766" spans="24:24">
      <c r="X766" s="1071"/>
    </row>
    <row r="767" spans="24:24">
      <c r="X767" s="1071"/>
    </row>
    <row r="768" spans="24:24">
      <c r="X768" s="1071"/>
    </row>
    <row r="769" spans="24:24">
      <c r="X769" s="1071"/>
    </row>
    <row r="770" spans="24:24">
      <c r="X770" s="1071"/>
    </row>
    <row r="771" spans="24:24">
      <c r="X771" s="1071"/>
    </row>
    <row r="772" spans="24:24">
      <c r="X772" s="1071"/>
    </row>
    <row r="773" spans="24:24">
      <c r="X773" s="1071"/>
    </row>
    <row r="774" spans="24:24">
      <c r="X774" s="1071"/>
    </row>
    <row r="775" spans="24:24">
      <c r="X775" s="1071"/>
    </row>
    <row r="776" spans="24:24">
      <c r="X776" s="1071"/>
    </row>
    <row r="777" spans="24:24">
      <c r="X777" s="1071"/>
    </row>
    <row r="778" spans="24:24">
      <c r="X778" s="1071"/>
    </row>
    <row r="779" spans="24:24">
      <c r="X779" s="1071"/>
    </row>
    <row r="780" spans="24:24">
      <c r="X780" s="1071"/>
    </row>
    <row r="781" spans="24:24">
      <c r="X781" s="1071"/>
    </row>
    <row r="782" spans="24:24">
      <c r="X782" s="1071"/>
    </row>
    <row r="783" spans="24:24">
      <c r="X783" s="1071"/>
    </row>
    <row r="784" spans="24:24">
      <c r="X784" s="1071"/>
    </row>
    <row r="785" spans="24:24">
      <c r="X785" s="1071"/>
    </row>
    <row r="786" spans="24:24">
      <c r="X786" s="1071"/>
    </row>
    <row r="787" spans="24:24">
      <c r="X787" s="1071"/>
    </row>
    <row r="788" spans="24:24">
      <c r="X788" s="1071"/>
    </row>
    <row r="789" spans="24:24">
      <c r="X789" s="1071"/>
    </row>
    <row r="790" spans="24:24">
      <c r="X790" s="1071"/>
    </row>
    <row r="791" spans="24:24">
      <c r="X791" s="1071"/>
    </row>
    <row r="792" spans="24:24">
      <c r="X792" s="1071"/>
    </row>
    <row r="793" spans="24:24">
      <c r="X793" s="1071"/>
    </row>
    <row r="794" spans="24:24">
      <c r="X794" s="1071"/>
    </row>
    <row r="795" spans="24:24">
      <c r="X795" s="1071"/>
    </row>
    <row r="796" spans="24:24">
      <c r="X796" s="1071"/>
    </row>
    <row r="797" spans="24:24">
      <c r="X797" s="1071"/>
    </row>
    <row r="798" spans="24:24">
      <c r="X798" s="1071"/>
    </row>
    <row r="799" spans="24:24">
      <c r="X799" s="1071"/>
    </row>
    <row r="800" spans="24:24">
      <c r="X800" s="1071"/>
    </row>
    <row r="801" spans="24:24">
      <c r="X801" s="1071"/>
    </row>
    <row r="802" spans="24:24">
      <c r="X802" s="1071"/>
    </row>
    <row r="803" spans="24:24">
      <c r="X803" s="1071"/>
    </row>
    <row r="804" spans="24:24">
      <c r="X804" s="1071"/>
    </row>
    <row r="805" spans="24:24">
      <c r="X805" s="1071"/>
    </row>
    <row r="806" spans="24:24">
      <c r="X806" s="1071"/>
    </row>
    <row r="807" spans="24:24">
      <c r="X807" s="1071"/>
    </row>
    <row r="808" spans="24:24">
      <c r="X808" s="1071"/>
    </row>
    <row r="809" spans="24:24">
      <c r="X809" s="1071"/>
    </row>
    <row r="810" spans="24:24">
      <c r="X810" s="1071"/>
    </row>
    <row r="811" spans="24:24">
      <c r="X811" s="1071"/>
    </row>
    <row r="812" spans="24:24">
      <c r="X812" s="1071"/>
    </row>
    <row r="813" spans="24:24">
      <c r="X813" s="1071"/>
    </row>
    <row r="814" spans="24:24">
      <c r="X814" s="1071"/>
    </row>
    <row r="815" spans="24:24">
      <c r="X815" s="1071"/>
    </row>
    <row r="816" spans="24:24">
      <c r="X816" s="1071"/>
    </row>
    <row r="817" spans="24:24">
      <c r="X817" s="1071"/>
    </row>
    <row r="818" spans="24:24">
      <c r="X818" s="1071"/>
    </row>
    <row r="819" spans="24:24">
      <c r="X819" s="1071"/>
    </row>
    <row r="820" spans="24:24">
      <c r="X820" s="1071"/>
    </row>
    <row r="821" spans="24:24">
      <c r="X821" s="1071"/>
    </row>
    <row r="822" spans="24:24">
      <c r="X822" s="1071"/>
    </row>
    <row r="823" spans="24:24">
      <c r="X823" s="1071"/>
    </row>
    <row r="824" spans="24:24">
      <c r="X824" s="1071"/>
    </row>
    <row r="825" spans="24:24">
      <c r="X825" s="1071"/>
    </row>
    <row r="826" spans="24:24">
      <c r="X826" s="1071"/>
    </row>
    <row r="827" spans="24:24">
      <c r="X827" s="1071"/>
    </row>
    <row r="828" spans="24:24">
      <c r="X828" s="1071"/>
    </row>
    <row r="829" spans="24:24">
      <c r="X829" s="1071"/>
    </row>
    <row r="830" spans="24:24">
      <c r="X830" s="1071"/>
    </row>
    <row r="831" spans="24:24">
      <c r="X831" s="1071"/>
    </row>
    <row r="832" spans="24:24">
      <c r="X832" s="1071"/>
    </row>
    <row r="833" spans="24:24">
      <c r="X833" s="1071"/>
    </row>
    <row r="834" spans="24:24">
      <c r="X834" s="1071"/>
    </row>
    <row r="835" spans="24:24">
      <c r="X835" s="1071"/>
    </row>
    <row r="836" spans="24:24">
      <c r="X836" s="1071"/>
    </row>
    <row r="837" spans="24:24">
      <c r="X837" s="1071"/>
    </row>
    <row r="838" spans="24:24">
      <c r="X838" s="1071"/>
    </row>
    <row r="839" spans="24:24">
      <c r="X839" s="1071"/>
    </row>
    <row r="840" spans="24:24">
      <c r="X840" s="1071"/>
    </row>
    <row r="841" spans="24:24">
      <c r="X841" s="1071"/>
    </row>
    <row r="842" spans="24:24">
      <c r="X842" s="1071"/>
    </row>
    <row r="843" spans="24:24">
      <c r="X843" s="1071"/>
    </row>
    <row r="844" spans="24:24">
      <c r="X844" s="1071"/>
    </row>
    <row r="845" spans="24:24">
      <c r="X845" s="1071"/>
    </row>
    <row r="846" spans="24:24">
      <c r="X846" s="1071"/>
    </row>
    <row r="847" spans="24:24">
      <c r="X847" s="1071"/>
    </row>
    <row r="848" spans="24:24">
      <c r="X848" s="1071"/>
    </row>
    <row r="849" spans="24:24">
      <c r="X849" s="1071"/>
    </row>
    <row r="850" spans="24:24">
      <c r="X850" s="1071"/>
    </row>
    <row r="851" spans="24:24">
      <c r="X851" s="1071"/>
    </row>
    <row r="852" spans="24:24">
      <c r="X852" s="1071"/>
    </row>
    <row r="853" spans="24:24">
      <c r="X853" s="1071"/>
    </row>
    <row r="854" spans="24:24">
      <c r="X854" s="1071"/>
    </row>
    <row r="855" spans="24:24">
      <c r="X855" s="1071"/>
    </row>
    <row r="856" spans="24:24">
      <c r="X856" s="1071"/>
    </row>
    <row r="857" spans="24:24">
      <c r="X857" s="1071"/>
    </row>
    <row r="858" spans="24:24">
      <c r="X858" s="1071"/>
    </row>
    <row r="859" spans="24:24">
      <c r="X859" s="1071"/>
    </row>
    <row r="860" spans="24:24">
      <c r="X860" s="1071"/>
    </row>
    <row r="861" spans="24:24">
      <c r="X861" s="1071"/>
    </row>
    <row r="862" spans="24:24">
      <c r="X862" s="1071"/>
    </row>
    <row r="863" spans="24:24">
      <c r="X863" s="1071"/>
    </row>
    <row r="864" spans="24:24">
      <c r="X864" s="1071"/>
    </row>
    <row r="865" spans="24:24">
      <c r="X865" s="1071"/>
    </row>
    <row r="866" spans="24:24">
      <c r="X866" s="1071"/>
    </row>
    <row r="867" spans="24:24">
      <c r="X867" s="1071"/>
    </row>
    <row r="868" spans="24:24">
      <c r="X868" s="1071"/>
    </row>
    <row r="869" spans="24:24">
      <c r="X869" s="1071"/>
    </row>
    <row r="870" spans="24:24">
      <c r="X870" s="1071"/>
    </row>
    <row r="871" spans="24:24">
      <c r="X871" s="1071"/>
    </row>
    <row r="872" spans="24:24">
      <c r="X872" s="1071"/>
    </row>
    <row r="873" spans="24:24">
      <c r="X873" s="1071"/>
    </row>
    <row r="874" spans="24:24">
      <c r="X874" s="1071"/>
    </row>
    <row r="875" spans="24:24">
      <c r="X875" s="1071"/>
    </row>
    <row r="876" spans="24:24">
      <c r="X876" s="1071"/>
    </row>
    <row r="877" spans="24:24">
      <c r="X877" s="1071"/>
    </row>
    <row r="878" spans="24:24">
      <c r="X878" s="1071"/>
    </row>
    <row r="879" spans="24:24">
      <c r="X879" s="1071"/>
    </row>
    <row r="880" spans="24:24">
      <c r="X880" s="1071"/>
    </row>
    <row r="881" spans="24:24">
      <c r="X881" s="1071"/>
    </row>
    <row r="882" spans="24:24">
      <c r="X882" s="1071"/>
    </row>
    <row r="883" spans="24:24">
      <c r="X883" s="1071"/>
    </row>
    <row r="884" spans="24:24">
      <c r="X884" s="1071"/>
    </row>
    <row r="885" spans="24:24">
      <c r="X885" s="1071"/>
    </row>
    <row r="886" spans="24:24">
      <c r="X886" s="1071"/>
    </row>
    <row r="887" spans="24:24">
      <c r="X887" s="1071"/>
    </row>
    <row r="888" spans="24:24">
      <c r="X888" s="1071"/>
    </row>
    <row r="889" spans="24:24">
      <c r="X889" s="1071"/>
    </row>
    <row r="890" spans="24:24">
      <c r="X890" s="1071"/>
    </row>
    <row r="891" spans="24:24">
      <c r="X891" s="1071"/>
    </row>
    <row r="892" spans="24:24">
      <c r="X892" s="1071"/>
    </row>
    <row r="893" spans="24:24">
      <c r="X893" s="1071"/>
    </row>
    <row r="894" spans="24:24">
      <c r="X894" s="1071"/>
    </row>
    <row r="895" spans="24:24">
      <c r="X895" s="1071"/>
    </row>
    <row r="896" spans="24:24">
      <c r="X896" s="1071"/>
    </row>
    <row r="897" spans="24:24">
      <c r="X897" s="1071"/>
    </row>
    <row r="898" spans="24:24">
      <c r="X898" s="1071"/>
    </row>
    <row r="899" spans="24:24">
      <c r="X899" s="1071"/>
    </row>
    <row r="900" spans="24:24">
      <c r="X900" s="1071"/>
    </row>
    <row r="901" spans="24:24">
      <c r="X901" s="1071"/>
    </row>
    <row r="902" spans="24:24">
      <c r="X902" s="1071"/>
    </row>
    <row r="903" spans="24:24">
      <c r="X903" s="1071"/>
    </row>
    <row r="904" spans="24:24">
      <c r="X904" s="1071"/>
    </row>
    <row r="905" spans="24:24">
      <c r="X905" s="1071"/>
    </row>
    <row r="906" spans="24:24">
      <c r="X906" s="1071"/>
    </row>
    <row r="907" spans="24:24">
      <c r="X907" s="1071"/>
    </row>
    <row r="908" spans="24:24">
      <c r="X908" s="1071"/>
    </row>
    <row r="909" spans="24:24">
      <c r="X909" s="1071"/>
    </row>
    <row r="910" spans="24:24">
      <c r="X910" s="1071"/>
    </row>
    <row r="911" spans="24:24">
      <c r="X911" s="1071"/>
    </row>
    <row r="912" spans="24:24">
      <c r="X912" s="1071"/>
    </row>
    <row r="913" spans="24:24">
      <c r="X913" s="1071"/>
    </row>
    <row r="914" spans="24:24">
      <c r="X914" s="1071"/>
    </row>
    <row r="915" spans="24:24">
      <c r="X915" s="1071"/>
    </row>
    <row r="916" spans="24:24">
      <c r="X916" s="1071"/>
    </row>
    <row r="917" spans="24:24">
      <c r="X917" s="1071"/>
    </row>
    <row r="918" spans="24:24">
      <c r="X918" s="1071"/>
    </row>
    <row r="919" spans="24:24">
      <c r="X919" s="1071"/>
    </row>
    <row r="920" spans="24:24">
      <c r="X920" s="1071"/>
    </row>
    <row r="921" spans="24:24">
      <c r="X921" s="1071"/>
    </row>
    <row r="922" spans="24:24">
      <c r="X922" s="1071"/>
    </row>
    <row r="923" spans="24:24">
      <c r="X923" s="1071"/>
    </row>
    <row r="924" spans="24:24">
      <c r="X924" s="1071"/>
    </row>
    <row r="925" spans="24:24">
      <c r="X925" s="1071"/>
    </row>
    <row r="926" spans="24:24">
      <c r="X926" s="1071"/>
    </row>
    <row r="927" spans="24:24">
      <c r="X927" s="1071"/>
    </row>
    <row r="928" spans="24:24">
      <c r="X928" s="1071"/>
    </row>
    <row r="929" spans="24:24">
      <c r="X929" s="1071"/>
    </row>
    <row r="930" spans="24:24">
      <c r="X930" s="1071"/>
    </row>
    <row r="931" spans="24:24">
      <c r="X931" s="1071"/>
    </row>
    <row r="932" spans="24:24">
      <c r="X932" s="1071"/>
    </row>
    <row r="933" spans="24:24">
      <c r="X933" s="1071"/>
    </row>
    <row r="934" spans="24:24">
      <c r="X934" s="1071"/>
    </row>
    <row r="935" spans="24:24">
      <c r="X935" s="1071"/>
    </row>
    <row r="936" spans="24:24">
      <c r="X936" s="1071"/>
    </row>
    <row r="937" spans="24:24">
      <c r="X937" s="1071"/>
    </row>
    <row r="938" spans="24:24">
      <c r="X938" s="1071"/>
    </row>
    <row r="939" spans="24:24">
      <c r="X939" s="1071"/>
    </row>
    <row r="940" spans="24:24">
      <c r="X940" s="1071"/>
    </row>
    <row r="941" spans="24:24">
      <c r="X941" s="1071"/>
    </row>
    <row r="942" spans="24:24">
      <c r="X942" s="1071"/>
    </row>
    <row r="943" spans="24:24">
      <c r="X943" s="1071"/>
    </row>
    <row r="944" spans="24:24">
      <c r="X944" s="1071"/>
    </row>
    <row r="945" spans="24:24">
      <c r="X945" s="1071"/>
    </row>
    <row r="946" spans="24:24">
      <c r="X946" s="1071"/>
    </row>
    <row r="947" spans="24:24">
      <c r="X947" s="1071"/>
    </row>
    <row r="948" spans="24:24">
      <c r="X948" s="1071"/>
    </row>
    <row r="949" spans="24:24">
      <c r="X949" s="1071"/>
    </row>
    <row r="950" spans="24:24">
      <c r="X950" s="1071"/>
    </row>
    <row r="951" spans="24:24">
      <c r="X951" s="1071"/>
    </row>
    <row r="952" spans="24:24">
      <c r="X952" s="1071"/>
    </row>
    <row r="953" spans="24:24">
      <c r="X953" s="1071"/>
    </row>
    <row r="954" spans="24:24">
      <c r="X954" s="1071"/>
    </row>
    <row r="955" spans="24:24">
      <c r="X955" s="1071"/>
    </row>
    <row r="956" spans="24:24">
      <c r="X956" s="1071"/>
    </row>
    <row r="957" spans="24:24">
      <c r="X957" s="1071"/>
    </row>
    <row r="958" spans="24:24">
      <c r="X958" s="1071"/>
    </row>
    <row r="959" spans="24:24">
      <c r="X959" s="1071"/>
    </row>
    <row r="960" spans="24:24">
      <c r="X960" s="1071"/>
    </row>
    <row r="961" spans="24:24">
      <c r="X961" s="1071"/>
    </row>
    <row r="962" spans="24:24">
      <c r="X962" s="1071"/>
    </row>
    <row r="963" spans="24:24">
      <c r="X963" s="1071"/>
    </row>
    <row r="964" spans="24:24">
      <c r="X964" s="1071"/>
    </row>
    <row r="965" spans="24:24">
      <c r="X965" s="1071"/>
    </row>
    <row r="966" spans="24:24">
      <c r="X966" s="1071"/>
    </row>
    <row r="967" spans="24:24">
      <c r="X967" s="1071"/>
    </row>
    <row r="968" spans="24:24">
      <c r="X968" s="1071"/>
    </row>
    <row r="969" spans="24:24">
      <c r="X969" s="1071"/>
    </row>
    <row r="970" spans="24:24">
      <c r="X970" s="1071"/>
    </row>
    <row r="971" spans="24:24">
      <c r="X971" s="1071"/>
    </row>
    <row r="972" spans="24:24">
      <c r="X972" s="1071"/>
    </row>
    <row r="973" spans="24:24">
      <c r="X973" s="1071"/>
    </row>
    <row r="974" spans="24:24">
      <c r="X974" s="1071"/>
    </row>
    <row r="975" spans="24:24">
      <c r="X975" s="1071"/>
    </row>
    <row r="976" spans="24:24">
      <c r="X976" s="1071"/>
    </row>
    <row r="977" spans="24:24">
      <c r="X977" s="1071"/>
    </row>
    <row r="978" spans="24:24">
      <c r="X978" s="1071"/>
    </row>
    <row r="979" spans="24:24">
      <c r="X979" s="1071"/>
    </row>
    <row r="980" spans="24:24">
      <c r="X980" s="1071"/>
    </row>
    <row r="981" spans="24:24">
      <c r="X981" s="1071"/>
    </row>
    <row r="982" spans="24:24">
      <c r="X982" s="1071"/>
    </row>
    <row r="983" spans="24:24">
      <c r="X983" s="1071"/>
    </row>
    <row r="984" spans="24:24">
      <c r="X984" s="1071"/>
    </row>
    <row r="985" spans="24:24">
      <c r="X985" s="1071"/>
    </row>
    <row r="986" spans="24:24">
      <c r="X986" s="1071"/>
    </row>
    <row r="987" spans="24:24">
      <c r="X987" s="1071"/>
    </row>
    <row r="988" spans="24:24">
      <c r="X988" s="1071"/>
    </row>
    <row r="989" spans="24:24">
      <c r="X989" s="1071"/>
    </row>
    <row r="990" spans="24:24">
      <c r="X990" s="1071"/>
    </row>
    <row r="991" spans="24:24">
      <c r="X991" s="1071"/>
    </row>
    <row r="992" spans="24:24">
      <c r="X992" s="1071"/>
    </row>
    <row r="993" spans="24:24">
      <c r="X993" s="1071"/>
    </row>
    <row r="994" spans="24:24">
      <c r="X994" s="1071"/>
    </row>
    <row r="995" spans="24:24">
      <c r="X995" s="1071"/>
    </row>
    <row r="996" spans="24:24">
      <c r="X996" s="1071"/>
    </row>
    <row r="997" spans="24:24">
      <c r="X997" s="1071"/>
    </row>
    <row r="998" spans="24:24">
      <c r="X998" s="1071"/>
    </row>
    <row r="999" spans="24:24">
      <c r="X999" s="1071"/>
    </row>
    <row r="1000" spans="24:24">
      <c r="X1000" s="1071"/>
    </row>
    <row r="1001" spans="24:24">
      <c r="X1001" s="1071"/>
    </row>
    <row r="1002" spans="24:24">
      <c r="X1002" s="1071"/>
    </row>
    <row r="1003" spans="24:24">
      <c r="X1003" s="1071"/>
    </row>
    <row r="1004" spans="24:24">
      <c r="X1004" s="1071"/>
    </row>
    <row r="1005" spans="24:24">
      <c r="X1005" s="1071"/>
    </row>
    <row r="1006" spans="24:24">
      <c r="X1006" s="1071"/>
    </row>
    <row r="1007" spans="24:24">
      <c r="X1007" s="1071"/>
    </row>
    <row r="1008" spans="24:24">
      <c r="X1008" s="1071"/>
    </row>
    <row r="1009" spans="24:24">
      <c r="X1009" s="1071"/>
    </row>
    <row r="1010" spans="24:24">
      <c r="X1010" s="1071"/>
    </row>
    <row r="1011" spans="24:24">
      <c r="X1011" s="1071"/>
    </row>
    <row r="1012" spans="24:24">
      <c r="X1012" s="1071"/>
    </row>
    <row r="1013" spans="24:24">
      <c r="X1013" s="1071"/>
    </row>
    <row r="1014" spans="24:24">
      <c r="X1014" s="1071"/>
    </row>
    <row r="1015" spans="24:24">
      <c r="X1015" s="1071"/>
    </row>
    <row r="1016" spans="24:24">
      <c r="X1016" s="1071"/>
    </row>
    <row r="1017" spans="24:24">
      <c r="X1017" s="1071"/>
    </row>
    <row r="1018" spans="24:24">
      <c r="X1018" s="1071"/>
    </row>
    <row r="1019" spans="24:24">
      <c r="X1019" s="1071"/>
    </row>
    <row r="1020" spans="24:24">
      <c r="X1020" s="1071"/>
    </row>
    <row r="1021" spans="24:24">
      <c r="X1021" s="1071"/>
    </row>
    <row r="1022" spans="24:24">
      <c r="X1022" s="1071"/>
    </row>
    <row r="1023" spans="24:24">
      <c r="X1023" s="1071"/>
    </row>
    <row r="1024" spans="24:24">
      <c r="X1024" s="1071"/>
    </row>
    <row r="1025" spans="24:24">
      <c r="X1025" s="1071"/>
    </row>
    <row r="1026" spans="24:24">
      <c r="X1026" s="1071"/>
    </row>
    <row r="1027" spans="24:24">
      <c r="X1027" s="1071"/>
    </row>
    <row r="1028" spans="24:24">
      <c r="X1028" s="1071"/>
    </row>
    <row r="1029" spans="24:24">
      <c r="X1029" s="1071"/>
    </row>
    <row r="1030" spans="24:24">
      <c r="X1030" s="1071"/>
    </row>
    <row r="1031" spans="24:24">
      <c r="X1031" s="1071"/>
    </row>
    <row r="1032" spans="24:24">
      <c r="X1032" s="1071"/>
    </row>
    <row r="1033" spans="24:24">
      <c r="X1033" s="1071"/>
    </row>
    <row r="1034" spans="24:24">
      <c r="X1034" s="1071"/>
    </row>
    <row r="1035" spans="24:24">
      <c r="X1035" s="1071"/>
    </row>
    <row r="1036" spans="24:24">
      <c r="X1036" s="1071"/>
    </row>
    <row r="1037" spans="24:24">
      <c r="X1037" s="1071"/>
    </row>
    <row r="1038" spans="24:24">
      <c r="X1038" s="1071"/>
    </row>
    <row r="1039" spans="24:24">
      <c r="X1039" s="1071"/>
    </row>
    <row r="1040" spans="24:24">
      <c r="X1040" s="1071"/>
    </row>
    <row r="1041" spans="24:24">
      <c r="X1041" s="1071"/>
    </row>
    <row r="1042" spans="24:24">
      <c r="X1042" s="1071"/>
    </row>
    <row r="1043" spans="24:24">
      <c r="X1043" s="1071"/>
    </row>
    <row r="1044" spans="24:24">
      <c r="X1044" s="1071"/>
    </row>
    <row r="1045" spans="24:24">
      <c r="X1045" s="1071"/>
    </row>
    <row r="1046" spans="24:24">
      <c r="X1046" s="1071"/>
    </row>
    <row r="1047" spans="24:24">
      <c r="X1047" s="1071"/>
    </row>
    <row r="1048" spans="24:24">
      <c r="X1048" s="1071"/>
    </row>
    <row r="1049" spans="24:24">
      <c r="X1049" s="1071"/>
    </row>
    <row r="1050" spans="24:24">
      <c r="X1050" s="1071"/>
    </row>
    <row r="1051" spans="24:24">
      <c r="X1051" s="1071"/>
    </row>
    <row r="1052" spans="24:24">
      <c r="X1052" s="1071"/>
    </row>
    <row r="1053" spans="24:24">
      <c r="X1053" s="1071"/>
    </row>
    <row r="1054" spans="24:24">
      <c r="X1054" s="1071"/>
    </row>
    <row r="1055" spans="24:24">
      <c r="X1055" s="1071"/>
    </row>
    <row r="1056" spans="24:24">
      <c r="X1056" s="1071"/>
    </row>
    <row r="1057" spans="24:24">
      <c r="X1057" s="1071"/>
    </row>
    <row r="1058" spans="24:24">
      <c r="X1058" s="1071"/>
    </row>
    <row r="1059" spans="24:24">
      <c r="X1059" s="1071"/>
    </row>
    <row r="1060" spans="24:24">
      <c r="X1060" s="1071"/>
    </row>
    <row r="1061" spans="24:24">
      <c r="X1061" s="1071"/>
    </row>
    <row r="1062" spans="24:24">
      <c r="X1062" s="1071"/>
    </row>
    <row r="1063" spans="24:24">
      <c r="X1063" s="1071"/>
    </row>
    <row r="1064" spans="24:24">
      <c r="X1064" s="1071"/>
    </row>
    <row r="1065" spans="24:24">
      <c r="X1065" s="1071"/>
    </row>
    <row r="1066" spans="24:24">
      <c r="X1066" s="1071"/>
    </row>
    <row r="1067" spans="24:24">
      <c r="X1067" s="1071"/>
    </row>
    <row r="1068" spans="24:24">
      <c r="X1068" s="1071"/>
    </row>
    <row r="1069" spans="24:24">
      <c r="X1069" s="1071"/>
    </row>
    <row r="1070" spans="24:24">
      <c r="X1070" s="1071"/>
    </row>
    <row r="1071" spans="24:24">
      <c r="X1071" s="1071"/>
    </row>
    <row r="1072" spans="24:24">
      <c r="X1072" s="1071"/>
    </row>
    <row r="1073" spans="24:24">
      <c r="X1073" s="1071"/>
    </row>
    <row r="1074" spans="24:24">
      <c r="X1074" s="1071"/>
    </row>
    <row r="1075" spans="24:24">
      <c r="X1075" s="1071"/>
    </row>
    <row r="1076" spans="24:24">
      <c r="X1076" s="1071"/>
    </row>
    <row r="1077" spans="24:24">
      <c r="X1077" s="1071"/>
    </row>
    <row r="1078" spans="24:24">
      <c r="X1078" s="1071"/>
    </row>
    <row r="1079" spans="24:24">
      <c r="X1079" s="1071"/>
    </row>
    <row r="1080" spans="24:24">
      <c r="X1080" s="1071"/>
    </row>
    <row r="1081" spans="24:24">
      <c r="X1081" s="1071"/>
    </row>
    <row r="1082" spans="24:24">
      <c r="X1082" s="1071"/>
    </row>
    <row r="1083" spans="24:24">
      <c r="X1083" s="1071"/>
    </row>
    <row r="1084" spans="24:24">
      <c r="X1084" s="1071"/>
    </row>
    <row r="1085" spans="24:24">
      <c r="X1085" s="1071"/>
    </row>
    <row r="1086" spans="24:24">
      <c r="X1086" s="1071"/>
    </row>
    <row r="1087" spans="24:24">
      <c r="X1087" s="1071"/>
    </row>
    <row r="1088" spans="24:24">
      <c r="X1088" s="1071"/>
    </row>
    <row r="1089" spans="24:24">
      <c r="X1089" s="1071"/>
    </row>
    <row r="1090" spans="24:24">
      <c r="X1090" s="1071"/>
    </row>
    <row r="1091" spans="24:24">
      <c r="X1091" s="1071"/>
    </row>
    <row r="1092" spans="24:24">
      <c r="X1092" s="1071"/>
    </row>
    <row r="1093" spans="24:24">
      <c r="X1093" s="1071"/>
    </row>
    <row r="1094" spans="24:24">
      <c r="X1094" s="1071"/>
    </row>
    <row r="1095" spans="24:24">
      <c r="X1095" s="1071"/>
    </row>
    <row r="1096" spans="24:24">
      <c r="X1096" s="1071"/>
    </row>
    <row r="1097" spans="24:24">
      <c r="X1097" s="1071"/>
    </row>
    <row r="1098" spans="24:24">
      <c r="X1098" s="1071"/>
    </row>
    <row r="1099" spans="24:24">
      <c r="X1099" s="1071"/>
    </row>
    <row r="1100" spans="24:24">
      <c r="X1100" s="1071"/>
    </row>
    <row r="1101" spans="24:24">
      <c r="X1101" s="1071"/>
    </row>
    <row r="1102" spans="24:24">
      <c r="X1102" s="1071"/>
    </row>
    <row r="1103" spans="24:24">
      <c r="X1103" s="1071"/>
    </row>
    <row r="1104" spans="24:24">
      <c r="X1104" s="1071"/>
    </row>
    <row r="1105" spans="24:24">
      <c r="X1105" s="1071"/>
    </row>
    <row r="1106" spans="24:24">
      <c r="X1106" s="1071"/>
    </row>
    <row r="1107" spans="24:24">
      <c r="X1107" s="1071"/>
    </row>
    <row r="1108" spans="24:24">
      <c r="X1108" s="1071"/>
    </row>
    <row r="1109" spans="24:24">
      <c r="X1109" s="1071"/>
    </row>
    <row r="1110" spans="24:24">
      <c r="X1110" s="1071"/>
    </row>
    <row r="1111" spans="24:24">
      <c r="X1111" s="1071"/>
    </row>
    <row r="1112" spans="24:24">
      <c r="X1112" s="1071"/>
    </row>
    <row r="1113" spans="24:24">
      <c r="X1113" s="1071"/>
    </row>
    <row r="1114" spans="24:24">
      <c r="X1114" s="1071"/>
    </row>
    <row r="1115" spans="24:24">
      <c r="X1115" s="1071"/>
    </row>
    <row r="1116" spans="24:24">
      <c r="X1116" s="1071"/>
    </row>
    <row r="1117" spans="24:24">
      <c r="X1117" s="1071"/>
    </row>
    <row r="1118" spans="24:24">
      <c r="X1118" s="1071"/>
    </row>
    <row r="1119" spans="24:24">
      <c r="X1119" s="1071"/>
    </row>
    <row r="1120" spans="24:24">
      <c r="X1120" s="1071"/>
    </row>
    <row r="1121" spans="24:24">
      <c r="X1121" s="1071"/>
    </row>
    <row r="1122" spans="24:24">
      <c r="X1122" s="1071"/>
    </row>
    <row r="1123" spans="24:24">
      <c r="X1123" s="1071"/>
    </row>
    <row r="1124" spans="24:24">
      <c r="X1124" s="1071"/>
    </row>
    <row r="1125" spans="24:24">
      <c r="X1125" s="1071"/>
    </row>
    <row r="1126" spans="24:24">
      <c r="X1126" s="1071"/>
    </row>
    <row r="1127" spans="24:24">
      <c r="X1127" s="1071"/>
    </row>
    <row r="1128" spans="24:24">
      <c r="X1128" s="1071"/>
    </row>
    <row r="1129" spans="24:24">
      <c r="X1129" s="1071"/>
    </row>
    <row r="1130" spans="24:24">
      <c r="X1130" s="1071"/>
    </row>
    <row r="1131" spans="24:24">
      <c r="X1131" s="1071"/>
    </row>
    <row r="1132" spans="24:24">
      <c r="X1132" s="1071"/>
    </row>
    <row r="1133" spans="24:24">
      <c r="X1133" s="1071"/>
    </row>
    <row r="1134" spans="24:24">
      <c r="X1134" s="1071"/>
    </row>
    <row r="1135" spans="24:24">
      <c r="X1135" s="1071"/>
    </row>
    <row r="1136" spans="24:24">
      <c r="X1136" s="1071"/>
    </row>
    <row r="1137" spans="24:24">
      <c r="X1137" s="1071"/>
    </row>
    <row r="1138" spans="24:24">
      <c r="X1138" s="1071"/>
    </row>
    <row r="1139" spans="24:24">
      <c r="X1139" s="1071"/>
    </row>
    <row r="1140" spans="24:24">
      <c r="X1140" s="1071"/>
    </row>
    <row r="1141" spans="24:24">
      <c r="X1141" s="1071"/>
    </row>
    <row r="1142" spans="24:24">
      <c r="X1142" s="1071"/>
    </row>
    <row r="1143" spans="24:24">
      <c r="X1143" s="1071"/>
    </row>
    <row r="1144" spans="24:24">
      <c r="X1144" s="1071"/>
    </row>
    <row r="1145" spans="24:24">
      <c r="X1145" s="1071"/>
    </row>
    <row r="1146" spans="24:24">
      <c r="X1146" s="1071"/>
    </row>
    <row r="1147" spans="24:24">
      <c r="X1147" s="1071"/>
    </row>
    <row r="1148" spans="24:24">
      <c r="X1148" s="1071"/>
    </row>
    <row r="1149" spans="24:24">
      <c r="X1149" s="1071"/>
    </row>
    <row r="1150" spans="24:24">
      <c r="X1150" s="1071"/>
    </row>
    <row r="1151" spans="24:24">
      <c r="X1151" s="1071"/>
    </row>
    <row r="1152" spans="24:24">
      <c r="X1152" s="1071"/>
    </row>
    <row r="1153" spans="24:24">
      <c r="X1153" s="1071"/>
    </row>
    <row r="1154" spans="24:24">
      <c r="X1154" s="1071"/>
    </row>
    <row r="1155" spans="24:24">
      <c r="X1155" s="1071"/>
    </row>
    <row r="1156" spans="24:24">
      <c r="X1156" s="1071"/>
    </row>
    <row r="1157" spans="24:24">
      <c r="X1157" s="1071"/>
    </row>
    <row r="1158" spans="24:24">
      <c r="X1158" s="1071"/>
    </row>
    <row r="1159" spans="24:24">
      <c r="X1159" s="1071"/>
    </row>
    <row r="1160" spans="24:24">
      <c r="X1160" s="1071"/>
    </row>
    <row r="1161" spans="24:24">
      <c r="X1161" s="1071"/>
    </row>
    <row r="1162" spans="24:24">
      <c r="X1162" s="1071"/>
    </row>
    <row r="1163" spans="24:24">
      <c r="X1163" s="1071"/>
    </row>
    <row r="1164" spans="24:24">
      <c r="X1164" s="1071"/>
    </row>
    <row r="1165" spans="24:24">
      <c r="X1165" s="1071"/>
    </row>
    <row r="1166" spans="24:24">
      <c r="X1166" s="1071"/>
    </row>
    <row r="1167" spans="24:24">
      <c r="X1167" s="1071"/>
    </row>
    <row r="1168" spans="24:24">
      <c r="X1168" s="1071"/>
    </row>
    <row r="1169" spans="24:24">
      <c r="X1169" s="1071"/>
    </row>
    <row r="1170" spans="24:24">
      <c r="X1170" s="1071"/>
    </row>
    <row r="1171" spans="24:24">
      <c r="X1171" s="1071"/>
    </row>
    <row r="1172" spans="24:24">
      <c r="X1172" s="1071"/>
    </row>
    <row r="1173" spans="24:24">
      <c r="X1173" s="1071"/>
    </row>
    <row r="1174" spans="24:24">
      <c r="X1174" s="1071"/>
    </row>
    <row r="1175" spans="24:24">
      <c r="X1175" s="1071"/>
    </row>
    <row r="1176" spans="24:24">
      <c r="X1176" s="1071"/>
    </row>
    <row r="1177" spans="24:24">
      <c r="X1177" s="1071"/>
    </row>
    <row r="1178" spans="24:24">
      <c r="X1178" s="1071"/>
    </row>
    <row r="1179" spans="24:24">
      <c r="X1179" s="1071"/>
    </row>
    <row r="1180" spans="24:24">
      <c r="X1180" s="1071"/>
    </row>
    <row r="1181" spans="24:24">
      <c r="X1181" s="1071"/>
    </row>
    <row r="1182" spans="24:24">
      <c r="X1182" s="1071"/>
    </row>
    <row r="1183" spans="24:24">
      <c r="X1183" s="1071"/>
    </row>
    <row r="1184" spans="24:24">
      <c r="X1184" s="1071"/>
    </row>
    <row r="1185" spans="24:24">
      <c r="X1185" s="1071"/>
    </row>
    <row r="1186" spans="24:24">
      <c r="X1186" s="1071"/>
    </row>
    <row r="1187" spans="24:24">
      <c r="X1187" s="1071"/>
    </row>
    <row r="1188" spans="24:24">
      <c r="X1188" s="1071"/>
    </row>
    <row r="1189" spans="24:24">
      <c r="X1189" s="1071"/>
    </row>
    <row r="1190" spans="24:24">
      <c r="X1190" s="1071"/>
    </row>
    <row r="1191" spans="24:24">
      <c r="X1191" s="1071"/>
    </row>
    <row r="1192" spans="24:24">
      <c r="X1192" s="1071"/>
    </row>
    <row r="1193" spans="24:24">
      <c r="X1193" s="1071"/>
    </row>
    <row r="1194" spans="24:24">
      <c r="X1194" s="1071"/>
    </row>
    <row r="1195" spans="24:24">
      <c r="X1195" s="1071"/>
    </row>
    <row r="1196" spans="24:24">
      <c r="X1196" s="1071"/>
    </row>
    <row r="1197" spans="24:24">
      <c r="X1197" s="1071"/>
    </row>
    <row r="1198" spans="24:24">
      <c r="X1198" s="1071"/>
    </row>
    <row r="1199" spans="24:24">
      <c r="X1199" s="1071"/>
    </row>
    <row r="1200" spans="24:24">
      <c r="X1200" s="1071"/>
    </row>
    <row r="1201" spans="24:24">
      <c r="X1201" s="1071"/>
    </row>
    <row r="1202" spans="24:24">
      <c r="X1202" s="1071"/>
    </row>
    <row r="1203" spans="24:24">
      <c r="X1203" s="1071"/>
    </row>
    <row r="1204" spans="24:24">
      <c r="X1204" s="1071"/>
    </row>
    <row r="1205" spans="24:24">
      <c r="X1205" s="1071"/>
    </row>
    <row r="1206" spans="24:24">
      <c r="X1206" s="1071"/>
    </row>
    <row r="1207" spans="24:24">
      <c r="X1207" s="1071"/>
    </row>
    <row r="1208" spans="24:24">
      <c r="X1208" s="1071"/>
    </row>
    <row r="1209" spans="24:24">
      <c r="X1209" s="1071"/>
    </row>
    <row r="1210" spans="24:24">
      <c r="X1210" s="1071"/>
    </row>
    <row r="1211" spans="24:24">
      <c r="X1211" s="1071"/>
    </row>
    <row r="1212" spans="24:24">
      <c r="X1212" s="1071"/>
    </row>
    <row r="1213" spans="24:24">
      <c r="X1213" s="1071"/>
    </row>
    <row r="1214" spans="24:24">
      <c r="X1214" s="1071"/>
    </row>
    <row r="1215" spans="24:24">
      <c r="X1215" s="1071"/>
    </row>
    <row r="1216" spans="24:24">
      <c r="X1216" s="1071"/>
    </row>
    <row r="1217" spans="24:24">
      <c r="X1217" s="1071"/>
    </row>
    <row r="1218" spans="24:24">
      <c r="X1218" s="1071"/>
    </row>
    <row r="1219" spans="24:24">
      <c r="X1219" s="1071"/>
    </row>
    <row r="1220" spans="24:24">
      <c r="X1220" s="1071"/>
    </row>
    <row r="1221" spans="24:24">
      <c r="X1221" s="1071"/>
    </row>
    <row r="1222" spans="24:24">
      <c r="X1222" s="1071"/>
    </row>
    <row r="1223" spans="24:24">
      <c r="X1223" s="1071"/>
    </row>
    <row r="1224" spans="24:24">
      <c r="X1224" s="1071"/>
    </row>
    <row r="1225" spans="24:24">
      <c r="X1225" s="1071"/>
    </row>
    <row r="1226" spans="24:24">
      <c r="X1226" s="1071"/>
    </row>
    <row r="1227" spans="24:24">
      <c r="X1227" s="1071"/>
    </row>
    <row r="1228" spans="24:24">
      <c r="X1228" s="1071"/>
    </row>
    <row r="1229" spans="24:24">
      <c r="X1229" s="1071"/>
    </row>
    <row r="1230" spans="24:24">
      <c r="X1230" s="1071"/>
    </row>
    <row r="1231" spans="24:24">
      <c r="X1231" s="1071"/>
    </row>
    <row r="1232" spans="24:24">
      <c r="X1232" s="1071"/>
    </row>
    <row r="1233" spans="24:24">
      <c r="X1233" s="1071"/>
    </row>
    <row r="1234" spans="24:24">
      <c r="X1234" s="1071"/>
    </row>
    <row r="1235" spans="24:24">
      <c r="X1235" s="1071"/>
    </row>
    <row r="1236" spans="24:24">
      <c r="X1236" s="1071"/>
    </row>
    <row r="1237" spans="24:24">
      <c r="X1237" s="1071"/>
    </row>
    <row r="1238" spans="24:24">
      <c r="X1238" s="1071"/>
    </row>
    <row r="1239" spans="24:24">
      <c r="X1239" s="1071"/>
    </row>
    <row r="1240" spans="24:24">
      <c r="X1240" s="1071"/>
    </row>
    <row r="1241" spans="24:24">
      <c r="X1241" s="1071"/>
    </row>
    <row r="1242" spans="24:24">
      <c r="X1242" s="1071"/>
    </row>
    <row r="1243" spans="24:24">
      <c r="X1243" s="1071"/>
    </row>
    <row r="1244" spans="24:24">
      <c r="X1244" s="1071"/>
    </row>
    <row r="1245" spans="24:24">
      <c r="X1245" s="1071"/>
    </row>
    <row r="1246" spans="24:24">
      <c r="X1246" s="1071"/>
    </row>
    <row r="1247" spans="24:24">
      <c r="X1247" s="1071"/>
    </row>
    <row r="1248" spans="24:24">
      <c r="X1248" s="1071"/>
    </row>
    <row r="1249" spans="24:24">
      <c r="X1249" s="1071"/>
    </row>
    <row r="1250" spans="24:24">
      <c r="X1250" s="1071"/>
    </row>
    <row r="1251" spans="24:24">
      <c r="X1251" s="1071"/>
    </row>
    <row r="1252" spans="24:24">
      <c r="X1252" s="1071"/>
    </row>
    <row r="1253" spans="24:24">
      <c r="X1253" s="1071"/>
    </row>
    <row r="1254" spans="24:24">
      <c r="X1254" s="1071"/>
    </row>
    <row r="1255" spans="24:24">
      <c r="X1255" s="1071"/>
    </row>
    <row r="1256" spans="24:24">
      <c r="X1256" s="1071"/>
    </row>
    <row r="1257" spans="24:24">
      <c r="X1257" s="1071"/>
    </row>
    <row r="1258" spans="24:24">
      <c r="X1258" s="1071"/>
    </row>
    <row r="1259" spans="24:24">
      <c r="X1259" s="1071"/>
    </row>
    <row r="1260" spans="24:24">
      <c r="X1260" s="1071"/>
    </row>
    <row r="1261" spans="24:24">
      <c r="X1261" s="1071"/>
    </row>
    <row r="1262" spans="24:24">
      <c r="X1262" s="1071"/>
    </row>
    <row r="1263" spans="24:24">
      <c r="X1263" s="1071"/>
    </row>
    <row r="1264" spans="24:24">
      <c r="X1264" s="1071"/>
    </row>
    <row r="1265" spans="24:24">
      <c r="X1265" s="1071"/>
    </row>
    <row r="1266" spans="24:24">
      <c r="X1266" s="1071"/>
    </row>
    <row r="1267" spans="24:24">
      <c r="X1267" s="1071"/>
    </row>
    <row r="1268" spans="24:24">
      <c r="X1268" s="1071"/>
    </row>
    <row r="1269" spans="24:24">
      <c r="X1269" s="1071"/>
    </row>
    <row r="1270" spans="24:24">
      <c r="X1270" s="1071"/>
    </row>
    <row r="1271" spans="24:24">
      <c r="X1271" s="1071"/>
    </row>
    <row r="1272" spans="24:24">
      <c r="X1272" s="1071"/>
    </row>
    <row r="1273" spans="24:24">
      <c r="X1273" s="1071"/>
    </row>
    <row r="1274" spans="24:24">
      <c r="X1274" s="1071"/>
    </row>
    <row r="1275" spans="24:24">
      <c r="X1275" s="1071"/>
    </row>
    <row r="1276" spans="24:24">
      <c r="X1276" s="1071"/>
    </row>
    <row r="1277" spans="24:24">
      <c r="X1277" s="1071"/>
    </row>
    <row r="1278" spans="24:24">
      <c r="X1278" s="1071"/>
    </row>
    <row r="1279" spans="24:24">
      <c r="X1279" s="1071"/>
    </row>
    <row r="1280" spans="24:24">
      <c r="X1280" s="1071"/>
    </row>
    <row r="1281" spans="24:24">
      <c r="X1281" s="1071"/>
    </row>
    <row r="1282" spans="24:24">
      <c r="X1282" s="1071"/>
    </row>
    <row r="1283" spans="24:24">
      <c r="X1283" s="1071"/>
    </row>
    <row r="1284" spans="24:24">
      <c r="X1284" s="1071"/>
    </row>
    <row r="1285" spans="24:24">
      <c r="X1285" s="1071"/>
    </row>
    <row r="1286" spans="24:24">
      <c r="X1286" s="1071"/>
    </row>
    <row r="1287" spans="24:24">
      <c r="X1287" s="1071"/>
    </row>
    <row r="1288" spans="24:24">
      <c r="X1288" s="1071"/>
    </row>
    <row r="1289" spans="24:24">
      <c r="X1289" s="1071"/>
    </row>
    <row r="1290" spans="24:24">
      <c r="X1290" s="1071"/>
    </row>
    <row r="1291" spans="24:24">
      <c r="X1291" s="1071"/>
    </row>
    <row r="1292" spans="24:24">
      <c r="X1292" s="1071"/>
    </row>
    <row r="1293" spans="24:24">
      <c r="X1293" s="1071"/>
    </row>
    <row r="1294" spans="24:24">
      <c r="X1294" s="1071"/>
    </row>
    <row r="1295" spans="24:24">
      <c r="X1295" s="1071"/>
    </row>
    <row r="1296" spans="24:24">
      <c r="X1296" s="1071"/>
    </row>
    <row r="1297" spans="24:24">
      <c r="X1297" s="1071"/>
    </row>
    <row r="1298" spans="24:24">
      <c r="X1298" s="1071"/>
    </row>
    <row r="1299" spans="24:24">
      <c r="X1299" s="1071"/>
    </row>
    <row r="1300" spans="24:24">
      <c r="X1300" s="1071"/>
    </row>
    <row r="1301" spans="24:24">
      <c r="X1301" s="1071"/>
    </row>
    <row r="1302" spans="24:24">
      <c r="X1302" s="1071"/>
    </row>
    <row r="1303" spans="24:24">
      <c r="X1303" s="1071"/>
    </row>
    <row r="1304" spans="24:24">
      <c r="X1304" s="1071"/>
    </row>
    <row r="1305" spans="24:24">
      <c r="X1305" s="1071"/>
    </row>
    <row r="1306" spans="24:24">
      <c r="X1306" s="1071"/>
    </row>
    <row r="1307" spans="24:24">
      <c r="X1307" s="1071"/>
    </row>
    <row r="1308" spans="24:24">
      <c r="X1308" s="1071"/>
    </row>
    <row r="1309" spans="24:24">
      <c r="X1309" s="1071"/>
    </row>
    <row r="1310" spans="24:24">
      <c r="X1310" s="1071"/>
    </row>
    <row r="1311" spans="24:24">
      <c r="X1311" s="1071"/>
    </row>
    <row r="1312" spans="24:24">
      <c r="X1312" s="1071"/>
    </row>
    <row r="1313" spans="24:24">
      <c r="X1313" s="1071"/>
    </row>
    <row r="1314" spans="24:24">
      <c r="X1314" s="1071"/>
    </row>
    <row r="1315" spans="24:24">
      <c r="X1315" s="1071"/>
    </row>
    <row r="1316" spans="24:24">
      <c r="X1316" s="1071"/>
    </row>
    <row r="1317" spans="24:24">
      <c r="X1317" s="1071"/>
    </row>
    <row r="1318" spans="24:24">
      <c r="X1318" s="1071"/>
    </row>
    <row r="1319" spans="24:24">
      <c r="X1319" s="1071"/>
    </row>
    <row r="1320" spans="24:24">
      <c r="X1320" s="1071"/>
    </row>
    <row r="1321" spans="24:24">
      <c r="X1321" s="1071"/>
    </row>
    <row r="1322" spans="24:24">
      <c r="X1322" s="1071"/>
    </row>
    <row r="1323" spans="24:24">
      <c r="X1323" s="1071"/>
    </row>
    <row r="1324" spans="24:24">
      <c r="X1324" s="1071"/>
    </row>
    <row r="1325" spans="24:24">
      <c r="X1325" s="1071"/>
    </row>
    <row r="1326" spans="24:24">
      <c r="X1326" s="1071"/>
    </row>
    <row r="1327" spans="24:24">
      <c r="X1327" s="1071"/>
    </row>
    <row r="1328" spans="24:24">
      <c r="X1328" s="1071"/>
    </row>
    <row r="1329" spans="24:24">
      <c r="X1329" s="1071"/>
    </row>
    <row r="1330" spans="24:24">
      <c r="X1330" s="1071"/>
    </row>
    <row r="1331" spans="24:24">
      <c r="X1331" s="1071"/>
    </row>
    <row r="1332" spans="24:24">
      <c r="X1332" s="1071"/>
    </row>
    <row r="1333" spans="24:24">
      <c r="X1333" s="1071"/>
    </row>
    <row r="1334" spans="24:24">
      <c r="X1334" s="1071"/>
    </row>
    <row r="1335" spans="24:24">
      <c r="X1335" s="1071"/>
    </row>
    <row r="1336" spans="24:24">
      <c r="X1336" s="1071"/>
    </row>
    <row r="1337" spans="24:24">
      <c r="X1337" s="1071"/>
    </row>
    <row r="1338" spans="24:24">
      <c r="X1338" s="1071"/>
    </row>
    <row r="1339" spans="24:24">
      <c r="X1339" s="1071"/>
    </row>
    <row r="1340" spans="24:24">
      <c r="X1340" s="1071"/>
    </row>
    <row r="1341" spans="24:24">
      <c r="X1341" s="1071"/>
    </row>
    <row r="1342" spans="24:24">
      <c r="X1342" s="1071"/>
    </row>
    <row r="1343" spans="24:24">
      <c r="X1343" s="1071"/>
    </row>
    <row r="1344" spans="24:24">
      <c r="X1344" s="1071"/>
    </row>
    <row r="1345" spans="24:24">
      <c r="X1345" s="1071"/>
    </row>
    <row r="1346" spans="24:24">
      <c r="X1346" s="1071"/>
    </row>
    <row r="1347" spans="24:24">
      <c r="X1347" s="1071"/>
    </row>
    <row r="1348" spans="24:24">
      <c r="X1348" s="1071"/>
    </row>
    <row r="1349" spans="24:24">
      <c r="X1349" s="1071"/>
    </row>
    <row r="1350" spans="24:24">
      <c r="X1350" s="1071"/>
    </row>
    <row r="1351" spans="24:24">
      <c r="X1351" s="1071"/>
    </row>
    <row r="1352" spans="24:24">
      <c r="X1352" s="1071"/>
    </row>
    <row r="1353" spans="24:24">
      <c r="X1353" s="1071"/>
    </row>
    <row r="1354" spans="24:24">
      <c r="X1354" s="1071"/>
    </row>
    <row r="1355" spans="24:24">
      <c r="X1355" s="1071"/>
    </row>
    <row r="1356" spans="24:24">
      <c r="X1356" s="1071"/>
    </row>
    <row r="1357" spans="24:24">
      <c r="X1357" s="1071"/>
    </row>
    <row r="1358" spans="24:24">
      <c r="X1358" s="1071"/>
    </row>
    <row r="1359" spans="24:24">
      <c r="X1359" s="1071"/>
    </row>
    <row r="1360" spans="24:24">
      <c r="X1360" s="1071"/>
    </row>
    <row r="1361" spans="24:24">
      <c r="X1361" s="1071"/>
    </row>
    <row r="1362" spans="24:24">
      <c r="X1362" s="1071"/>
    </row>
    <row r="1363" spans="24:24">
      <c r="X1363" s="1071"/>
    </row>
    <row r="1364" spans="24:24">
      <c r="X1364" s="1071"/>
    </row>
    <row r="1365" spans="24:24">
      <c r="X1365" s="1071"/>
    </row>
    <row r="1366" spans="24:24">
      <c r="X1366" s="1071"/>
    </row>
    <row r="1367" spans="24:24">
      <c r="X1367" s="1071"/>
    </row>
    <row r="1368" spans="24:24">
      <c r="X1368" s="1071"/>
    </row>
    <row r="1369" spans="24:24">
      <c r="X1369" s="1071"/>
    </row>
    <row r="1370" spans="24:24">
      <c r="X1370" s="1071"/>
    </row>
    <row r="1371" spans="24:24">
      <c r="X1371" s="1071"/>
    </row>
    <row r="1372" spans="24:24">
      <c r="X1372" s="1071"/>
    </row>
    <row r="1373" spans="24:24">
      <c r="X1373" s="1071"/>
    </row>
    <row r="1374" spans="24:24">
      <c r="X1374" s="1071"/>
    </row>
    <row r="1375" spans="24:24">
      <c r="X1375" s="1071"/>
    </row>
    <row r="1376" spans="24:24">
      <c r="X1376" s="1071"/>
    </row>
    <row r="1377" spans="24:24">
      <c r="X1377" s="1071"/>
    </row>
    <row r="1378" spans="24:24">
      <c r="X1378" s="1071"/>
    </row>
    <row r="1379" spans="24:24">
      <c r="X1379" s="1071"/>
    </row>
    <row r="1380" spans="24:24">
      <c r="X1380" s="1071"/>
    </row>
    <row r="1381" spans="24:24">
      <c r="X1381" s="1071"/>
    </row>
    <row r="1382" spans="24:24">
      <c r="X1382" s="1071"/>
    </row>
    <row r="1383" spans="24:24">
      <c r="X1383" s="1071"/>
    </row>
    <row r="1384" spans="24:24">
      <c r="X1384" s="1071"/>
    </row>
    <row r="1385" spans="24:24">
      <c r="X1385" s="1071"/>
    </row>
    <row r="1386" spans="24:24">
      <c r="X1386" s="1071"/>
    </row>
    <row r="1387" spans="24:24">
      <c r="X1387" s="1071"/>
    </row>
    <row r="1388" spans="24:24">
      <c r="X1388" s="1071"/>
    </row>
    <row r="1389" spans="24:24">
      <c r="X1389" s="1071"/>
    </row>
    <row r="1390" spans="24:24">
      <c r="X1390" s="1071"/>
    </row>
    <row r="1391" spans="24:24">
      <c r="X1391" s="1071"/>
    </row>
    <row r="1392" spans="24:24">
      <c r="X1392" s="1071"/>
    </row>
    <row r="1393" spans="24:24">
      <c r="X1393" s="1071"/>
    </row>
    <row r="1394" spans="24:24">
      <c r="X1394" s="1071"/>
    </row>
    <row r="1395" spans="24:24">
      <c r="X1395" s="1071"/>
    </row>
    <row r="1396" spans="24:24">
      <c r="X1396" s="1071"/>
    </row>
    <row r="1397" spans="24:24">
      <c r="X1397" s="1071"/>
    </row>
    <row r="1398" spans="24:24">
      <c r="X1398" s="1071"/>
    </row>
    <row r="1399" spans="24:24">
      <c r="X1399" s="1071"/>
    </row>
    <row r="1400" spans="24:24">
      <c r="X1400" s="1071"/>
    </row>
    <row r="1401" spans="24:24">
      <c r="X1401" s="1071"/>
    </row>
    <row r="1402" spans="24:24">
      <c r="X1402" s="1071"/>
    </row>
    <row r="1403" spans="24:24">
      <c r="X1403" s="1071"/>
    </row>
    <row r="1404" spans="24:24">
      <c r="X1404" s="1071"/>
    </row>
    <row r="1405" spans="24:24">
      <c r="X1405" s="1071"/>
    </row>
    <row r="1406" spans="24:24">
      <c r="X1406" s="1071"/>
    </row>
    <row r="1407" spans="24:24">
      <c r="X1407" s="1071"/>
    </row>
    <row r="1408" spans="24:24">
      <c r="X1408" s="1071"/>
    </row>
    <row r="1409" spans="24:24">
      <c r="X1409" s="1071"/>
    </row>
    <row r="1410" spans="24:24">
      <c r="X1410" s="1071"/>
    </row>
    <row r="1411" spans="24:24">
      <c r="X1411" s="1071"/>
    </row>
    <row r="1412" spans="24:24">
      <c r="X1412" s="1071"/>
    </row>
    <row r="1413" spans="24:24">
      <c r="X1413" s="1071"/>
    </row>
    <row r="1414" spans="24:24">
      <c r="X1414" s="1071"/>
    </row>
    <row r="1415" spans="24:24">
      <c r="X1415" s="1071"/>
    </row>
    <row r="1416" spans="24:24">
      <c r="X1416" s="1071"/>
    </row>
    <row r="1417" spans="24:24">
      <c r="X1417" s="1071"/>
    </row>
    <row r="1418" spans="24:24">
      <c r="X1418" s="1071"/>
    </row>
    <row r="1419" spans="24:24">
      <c r="X1419" s="1071"/>
    </row>
    <row r="1420" spans="24:24">
      <c r="X1420" s="1071"/>
    </row>
    <row r="1421" spans="24:24">
      <c r="X1421" s="1071"/>
    </row>
    <row r="1422" spans="24:24">
      <c r="X1422" s="1071"/>
    </row>
    <row r="1423" spans="24:24">
      <c r="X1423" s="1071"/>
    </row>
    <row r="1424" spans="24:24">
      <c r="X1424" s="1071"/>
    </row>
    <row r="1425" spans="24:24">
      <c r="X1425" s="1071"/>
    </row>
    <row r="1426" spans="24:24">
      <c r="X1426" s="1071"/>
    </row>
    <row r="1427" spans="24:24">
      <c r="X1427" s="1071"/>
    </row>
    <row r="1428" spans="24:24">
      <c r="X1428" s="1071"/>
    </row>
    <row r="1429" spans="24:24">
      <c r="X1429" s="1071"/>
    </row>
    <row r="1430" spans="24:24">
      <c r="X1430" s="1071"/>
    </row>
    <row r="1431" spans="24:24">
      <c r="X1431" s="1071"/>
    </row>
    <row r="1432" spans="24:24">
      <c r="X1432" s="1071"/>
    </row>
    <row r="1433" spans="24:24">
      <c r="X1433" s="1071"/>
    </row>
    <row r="1434" spans="24:24">
      <c r="X1434" s="1071"/>
    </row>
    <row r="1435" spans="24:24">
      <c r="X1435" s="1071"/>
    </row>
    <row r="1436" spans="24:24">
      <c r="X1436" s="1071"/>
    </row>
    <row r="1437" spans="24:24">
      <c r="X1437" s="1071"/>
    </row>
    <row r="1438" spans="24:24">
      <c r="X1438" s="1071"/>
    </row>
    <row r="1439" spans="24:24">
      <c r="X1439" s="1071"/>
    </row>
    <row r="1440" spans="24:24">
      <c r="X1440" s="1071"/>
    </row>
    <row r="1441" spans="24:24">
      <c r="X1441" s="1071"/>
    </row>
    <row r="1442" spans="24:24">
      <c r="X1442" s="1071"/>
    </row>
    <row r="1443" spans="24:24">
      <c r="X1443" s="1071"/>
    </row>
    <row r="1444" spans="24:24">
      <c r="X1444" s="1071"/>
    </row>
    <row r="1445" spans="24:24">
      <c r="X1445" s="1071"/>
    </row>
    <row r="1446" spans="24:24">
      <c r="X1446" s="1071"/>
    </row>
    <row r="1447" spans="24:24">
      <c r="X1447" s="1071"/>
    </row>
    <row r="1448" spans="24:24">
      <c r="X1448" s="1071"/>
    </row>
    <row r="1449" spans="24:24">
      <c r="X1449" s="1071"/>
    </row>
    <row r="1450" spans="24:24">
      <c r="X1450" s="1071"/>
    </row>
    <row r="1451" spans="24:24">
      <c r="X1451" s="1071"/>
    </row>
    <row r="1452" spans="24:24">
      <c r="X1452" s="1071"/>
    </row>
    <row r="1453" spans="24:24">
      <c r="X1453" s="1071"/>
    </row>
    <row r="1454" spans="24:24">
      <c r="X1454" s="1071"/>
    </row>
    <row r="1455" spans="24:24">
      <c r="X1455" s="1071"/>
    </row>
    <row r="1456" spans="24:24">
      <c r="X1456" s="1071"/>
    </row>
    <row r="1457" spans="24:24">
      <c r="X1457" s="1071"/>
    </row>
    <row r="1458" spans="24:24">
      <c r="X1458" s="1071"/>
    </row>
    <row r="1459" spans="24:24">
      <c r="X1459" s="1071"/>
    </row>
    <row r="1460" spans="24:24">
      <c r="X1460" s="1071"/>
    </row>
    <row r="1461" spans="24:24">
      <c r="X1461" s="1071"/>
    </row>
    <row r="1462" spans="24:24">
      <c r="X1462" s="1071"/>
    </row>
    <row r="1463" spans="24:24">
      <c r="X1463" s="1071"/>
    </row>
    <row r="1464" spans="24:24">
      <c r="X1464" s="1071"/>
    </row>
    <row r="1465" spans="24:24">
      <c r="X1465" s="1071"/>
    </row>
    <row r="1466" spans="24:24">
      <c r="X1466" s="1071"/>
    </row>
    <row r="1467" spans="24:24">
      <c r="X1467" s="1071"/>
    </row>
    <row r="1468" spans="24:24">
      <c r="X1468" s="1071"/>
    </row>
    <row r="1469" spans="24:24">
      <c r="X1469" s="1071"/>
    </row>
    <row r="1470" spans="24:24">
      <c r="X1470" s="1071"/>
    </row>
    <row r="1471" spans="24:24">
      <c r="X1471" s="1071"/>
    </row>
    <row r="1472" spans="24:24">
      <c r="X1472" s="1071"/>
    </row>
    <row r="1473" spans="24:24">
      <c r="X1473" s="1071"/>
    </row>
    <row r="1474" spans="24:24">
      <c r="X1474" s="1071"/>
    </row>
    <row r="1475" spans="24:24">
      <c r="X1475" s="1071"/>
    </row>
    <row r="1476" spans="24:24">
      <c r="X1476" s="1071"/>
    </row>
    <row r="1477" spans="24:24">
      <c r="X1477" s="1071"/>
    </row>
    <row r="1478" spans="24:24">
      <c r="X1478" s="1071"/>
    </row>
    <row r="1479" spans="24:24">
      <c r="X1479" s="1071"/>
    </row>
    <row r="1480" spans="24:24">
      <c r="X1480" s="1071"/>
    </row>
    <row r="1481" spans="24:24">
      <c r="X1481" s="1071"/>
    </row>
    <row r="1482" spans="24:24">
      <c r="X1482" s="1071"/>
    </row>
    <row r="1483" spans="24:24">
      <c r="X1483" s="1071"/>
    </row>
    <row r="1484" spans="24:24">
      <c r="X1484" s="1071"/>
    </row>
    <row r="1485" spans="24:24">
      <c r="X1485" s="1071"/>
    </row>
    <row r="1486" spans="24:24">
      <c r="X1486" s="1071"/>
    </row>
    <row r="1487" spans="24:24">
      <c r="X1487" s="1071"/>
    </row>
    <row r="1488" spans="24:24">
      <c r="X1488" s="1071"/>
    </row>
    <row r="1489" spans="24:24">
      <c r="X1489" s="1071"/>
    </row>
    <row r="1490" spans="24:24">
      <c r="X1490" s="1071"/>
    </row>
    <row r="1491" spans="24:24">
      <c r="X1491" s="1071"/>
    </row>
    <row r="1492" spans="24:24">
      <c r="X1492" s="1071"/>
    </row>
    <row r="1493" spans="24:24">
      <c r="X1493" s="1071"/>
    </row>
    <row r="1494" spans="24:24">
      <c r="X1494" s="1071"/>
    </row>
    <row r="1495" spans="24:24">
      <c r="X1495" s="1071"/>
    </row>
    <row r="1496" spans="24:24">
      <c r="X1496" s="1071"/>
    </row>
    <row r="1497" spans="24:24">
      <c r="X1497" s="1071"/>
    </row>
    <row r="1498" spans="24:24">
      <c r="X1498" s="1071"/>
    </row>
    <row r="1499" spans="24:24">
      <c r="X1499" s="1071"/>
    </row>
    <row r="1500" spans="24:24">
      <c r="X1500" s="1071"/>
    </row>
    <row r="1501" spans="24:24">
      <c r="X1501" s="1071"/>
    </row>
    <row r="1502" spans="24:24">
      <c r="X1502" s="1071"/>
    </row>
    <row r="1503" spans="24:24">
      <c r="X1503" s="1071"/>
    </row>
    <row r="1504" spans="24:24">
      <c r="X1504" s="1071"/>
    </row>
    <row r="1505" spans="24:24">
      <c r="X1505" s="1071"/>
    </row>
    <row r="1506" spans="24:24">
      <c r="X1506" s="1071"/>
    </row>
    <row r="1507" spans="24:24">
      <c r="X1507" s="1071"/>
    </row>
    <row r="1508" spans="24:24">
      <c r="X1508" s="1071"/>
    </row>
    <row r="1509" spans="24:24">
      <c r="X1509" s="1071"/>
    </row>
    <row r="1510" spans="24:24">
      <c r="X1510" s="1071"/>
    </row>
    <row r="1511" spans="24:24">
      <c r="X1511" s="1071"/>
    </row>
    <row r="1512" spans="24:24">
      <c r="X1512" s="1071"/>
    </row>
    <row r="1513" spans="24:24">
      <c r="X1513" s="1071"/>
    </row>
    <row r="1514" spans="24:24">
      <c r="X1514" s="1071"/>
    </row>
    <row r="1515" spans="24:24">
      <c r="X1515" s="1071"/>
    </row>
    <row r="1516" spans="24:24">
      <c r="X1516" s="1071"/>
    </row>
    <row r="1517" spans="24:24">
      <c r="X1517" s="1071"/>
    </row>
    <row r="1518" spans="24:24">
      <c r="X1518" s="1071"/>
    </row>
    <row r="1519" spans="24:24">
      <c r="X1519" s="1071"/>
    </row>
    <row r="1520" spans="24:24">
      <c r="X1520" s="1071"/>
    </row>
    <row r="1521" spans="24:24">
      <c r="X1521" s="1071"/>
    </row>
    <row r="1522" spans="24:24">
      <c r="X1522" s="1071"/>
    </row>
    <row r="1523" spans="24:24">
      <c r="X1523" s="1071"/>
    </row>
    <row r="1524" spans="24:24">
      <c r="X1524" s="1071"/>
    </row>
    <row r="1525" spans="24:24">
      <c r="X1525" s="1071"/>
    </row>
    <row r="1526" spans="24:24">
      <c r="X1526" s="1071"/>
    </row>
    <row r="1527" spans="24:24">
      <c r="X1527" s="1071"/>
    </row>
    <row r="1528" spans="24:24">
      <c r="X1528" s="1071"/>
    </row>
    <row r="1529" spans="24:24">
      <c r="X1529" s="1071"/>
    </row>
    <row r="1530" spans="24:24">
      <c r="X1530" s="1071"/>
    </row>
    <row r="1531" spans="24:24">
      <c r="X1531" s="1071"/>
    </row>
    <row r="1532" spans="24:24">
      <c r="X1532" s="1071"/>
    </row>
    <row r="1533" spans="24:24">
      <c r="X1533" s="1071"/>
    </row>
    <row r="1534" spans="24:24">
      <c r="X1534" s="1071"/>
    </row>
    <row r="1535" spans="24:24">
      <c r="X1535" s="1071"/>
    </row>
    <row r="1536" spans="24:24">
      <c r="X1536" s="1071"/>
    </row>
    <row r="1537" spans="24:24">
      <c r="X1537" s="1071"/>
    </row>
    <row r="1538" spans="24:24">
      <c r="X1538" s="1071"/>
    </row>
    <row r="1539" spans="24:24">
      <c r="X1539" s="1071"/>
    </row>
    <row r="1540" spans="24:24">
      <c r="X1540" s="1071"/>
    </row>
    <row r="1541" spans="24:24">
      <c r="X1541" s="1071"/>
    </row>
    <row r="1542" spans="24:24">
      <c r="X1542" s="1071"/>
    </row>
    <row r="1543" spans="24:24">
      <c r="X1543" s="1071"/>
    </row>
    <row r="1544" spans="24:24">
      <c r="X1544" s="1071"/>
    </row>
    <row r="1545" spans="24:24">
      <c r="X1545" s="1071"/>
    </row>
    <row r="1546" spans="24:24">
      <c r="X1546" s="1071"/>
    </row>
    <row r="1547" spans="24:24">
      <c r="X1547" s="1071"/>
    </row>
    <row r="1548" spans="24:24">
      <c r="X1548" s="1071"/>
    </row>
    <row r="1549" spans="24:24">
      <c r="X1549" s="1071"/>
    </row>
    <row r="1550" spans="24:24">
      <c r="X1550" s="1071"/>
    </row>
    <row r="1551" spans="24:24">
      <c r="X1551" s="1071"/>
    </row>
    <row r="1552" spans="24:24">
      <c r="X1552" s="1071"/>
    </row>
    <row r="1553" spans="24:24">
      <c r="X1553" s="1071"/>
    </row>
    <row r="1554" spans="24:24">
      <c r="X1554" s="1071"/>
    </row>
    <row r="1555" spans="24:24">
      <c r="X1555" s="1071"/>
    </row>
    <row r="1556" spans="24:24">
      <c r="X1556" s="1071"/>
    </row>
    <row r="1557" spans="24:24">
      <c r="X1557" s="1071"/>
    </row>
    <row r="1558" spans="24:24">
      <c r="X1558" s="1071"/>
    </row>
    <row r="1559" spans="24:24">
      <c r="X1559" s="1071"/>
    </row>
    <row r="1560" spans="24:24">
      <c r="X1560" s="1071"/>
    </row>
    <row r="1561" spans="24:24">
      <c r="X1561" s="1071"/>
    </row>
    <row r="1562" spans="24:24">
      <c r="X1562" s="1071"/>
    </row>
    <row r="1563" spans="24:24">
      <c r="X1563" s="1071"/>
    </row>
    <row r="1564" spans="24:24">
      <c r="X1564" s="1071"/>
    </row>
    <row r="1565" spans="24:24">
      <c r="X1565" s="1071"/>
    </row>
    <row r="1566" spans="24:24">
      <c r="X1566" s="1071"/>
    </row>
    <row r="1567" spans="24:24">
      <c r="X1567" s="1071"/>
    </row>
    <row r="1568" spans="24:24">
      <c r="X1568" s="1071"/>
    </row>
    <row r="1569" spans="24:24">
      <c r="X1569" s="1071"/>
    </row>
    <row r="1570" spans="24:24">
      <c r="X1570" s="1071"/>
    </row>
    <row r="1571" spans="24:24">
      <c r="X1571" s="1071"/>
    </row>
    <row r="1572" spans="24:24">
      <c r="X1572" s="1071"/>
    </row>
    <row r="1573" spans="24:24">
      <c r="X1573" s="1071"/>
    </row>
    <row r="1574" spans="24:24">
      <c r="X1574" s="1071"/>
    </row>
    <row r="1575" spans="24:24">
      <c r="X1575" s="1071"/>
    </row>
    <row r="1576" spans="24:24">
      <c r="X1576" s="1071"/>
    </row>
    <row r="1577" spans="24:24">
      <c r="X1577" s="1071"/>
    </row>
    <row r="1578" spans="24:24">
      <c r="X1578" s="1071"/>
    </row>
    <row r="1579" spans="24:24">
      <c r="X1579" s="1071"/>
    </row>
    <row r="1580" spans="24:24">
      <c r="X1580" s="1071"/>
    </row>
    <row r="1581" spans="24:24">
      <c r="X1581" s="1071"/>
    </row>
    <row r="1582" spans="24:24">
      <c r="X1582" s="1071"/>
    </row>
    <row r="1583" spans="24:24">
      <c r="X1583" s="1071"/>
    </row>
    <row r="1584" spans="24:24">
      <c r="X1584" s="1071"/>
    </row>
    <row r="1585" spans="24:24">
      <c r="X1585" s="1071"/>
    </row>
    <row r="1586" spans="24:24">
      <c r="X1586" s="1071"/>
    </row>
    <row r="1587" spans="24:24">
      <c r="X1587" s="1071"/>
    </row>
    <row r="1588" spans="24:24">
      <c r="X1588" s="1071"/>
    </row>
    <row r="1589" spans="24:24">
      <c r="X1589" s="1071"/>
    </row>
    <row r="1590" spans="24:24">
      <c r="X1590" s="1071"/>
    </row>
    <row r="1591" spans="24:24">
      <c r="X1591" s="1071"/>
    </row>
    <row r="1592" spans="24:24">
      <c r="X1592" s="1071"/>
    </row>
    <row r="1593" spans="24:24">
      <c r="X1593" s="1071"/>
    </row>
    <row r="1594" spans="24:24">
      <c r="X1594" s="1071"/>
    </row>
    <row r="1595" spans="24:24">
      <c r="X1595" s="1071"/>
    </row>
    <row r="1596" spans="24:24">
      <c r="X1596" s="1071"/>
    </row>
    <row r="1597" spans="24:24">
      <c r="X1597" s="1071"/>
    </row>
    <row r="1598" spans="24:24">
      <c r="X1598" s="1071"/>
    </row>
    <row r="1599" spans="24:24">
      <c r="X1599" s="1071"/>
    </row>
    <row r="1600" spans="24:24">
      <c r="X1600" s="1071"/>
    </row>
    <row r="1601" spans="24:24">
      <c r="X1601" s="1071"/>
    </row>
    <row r="1602" spans="24:24">
      <c r="X1602" s="1071"/>
    </row>
    <row r="1603" spans="24:24">
      <c r="X1603" s="1071"/>
    </row>
    <row r="1604" spans="24:24">
      <c r="X1604" s="1071"/>
    </row>
    <row r="1605" spans="24:24">
      <c r="X1605" s="1071"/>
    </row>
    <row r="1606" spans="24:24">
      <c r="X1606" s="1071"/>
    </row>
    <row r="1607" spans="24:24">
      <c r="X1607" s="1071"/>
    </row>
    <row r="1608" spans="24:24">
      <c r="X1608" s="1071"/>
    </row>
    <row r="1609" spans="24:24">
      <c r="X1609" s="1071"/>
    </row>
    <row r="1610" spans="24:24">
      <c r="X1610" s="1071"/>
    </row>
    <row r="1611" spans="24:24">
      <c r="X1611" s="1071"/>
    </row>
    <row r="1612" spans="24:24">
      <c r="X1612" s="1071"/>
    </row>
    <row r="1613" spans="24:24">
      <c r="X1613" s="1071"/>
    </row>
    <row r="1614" spans="24:24">
      <c r="X1614" s="1071"/>
    </row>
    <row r="1615" spans="24:24">
      <c r="X1615" s="1071"/>
    </row>
    <row r="1616" spans="24:24">
      <c r="X1616" s="1071"/>
    </row>
    <row r="1617" spans="24:24">
      <c r="X1617" s="1071"/>
    </row>
    <row r="1618" spans="24:24">
      <c r="X1618" s="1071"/>
    </row>
    <row r="1619" spans="24:24">
      <c r="X1619" s="1071"/>
    </row>
    <row r="1620" spans="24:24">
      <c r="X1620" s="1071"/>
    </row>
    <row r="1621" spans="24:24">
      <c r="X1621" s="1071"/>
    </row>
    <row r="1622" spans="24:24">
      <c r="X1622" s="1071"/>
    </row>
    <row r="1623" spans="24:24">
      <c r="X1623" s="1071"/>
    </row>
    <row r="1624" spans="24:24">
      <c r="X1624" s="1071"/>
    </row>
    <row r="1625" spans="24:24">
      <c r="X1625" s="1071"/>
    </row>
    <row r="1626" spans="24:24">
      <c r="X1626" s="1071"/>
    </row>
    <row r="1627" spans="24:24">
      <c r="X1627" s="1071"/>
    </row>
    <row r="1628" spans="24:24">
      <c r="X1628" s="1071"/>
    </row>
    <row r="1629" spans="24:24">
      <c r="X1629" s="1071"/>
    </row>
    <row r="1630" spans="24:24">
      <c r="X1630" s="1071"/>
    </row>
    <row r="1631" spans="24:24">
      <c r="X1631" s="1071"/>
    </row>
    <row r="1632" spans="24:24">
      <c r="X1632" s="1071"/>
    </row>
    <row r="1633" spans="24:24">
      <c r="X1633" s="1071"/>
    </row>
    <row r="1634" spans="24:24">
      <c r="X1634" s="1071"/>
    </row>
    <row r="1635" spans="24:24">
      <c r="X1635" s="1071"/>
    </row>
    <row r="1636" spans="24:24">
      <c r="X1636" s="1071"/>
    </row>
    <row r="1637" spans="24:24">
      <c r="X1637" s="1071"/>
    </row>
    <row r="1638" spans="24:24">
      <c r="X1638" s="1071"/>
    </row>
    <row r="1639" spans="24:24">
      <c r="X1639" s="1071"/>
    </row>
    <row r="1640" spans="24:24">
      <c r="X1640" s="1071"/>
    </row>
    <row r="1641" spans="24:24">
      <c r="X1641" s="1071"/>
    </row>
    <row r="1642" spans="24:24">
      <c r="X1642" s="1071"/>
    </row>
    <row r="1643" spans="24:24">
      <c r="X1643" s="1071"/>
    </row>
    <row r="1644" spans="24:24">
      <c r="X1644" s="1071"/>
    </row>
    <row r="1645" spans="24:24">
      <c r="X1645" s="1071"/>
    </row>
    <row r="1646" spans="24:24">
      <c r="X1646" s="1071"/>
    </row>
    <row r="1647" spans="24:24">
      <c r="X1647" s="1071"/>
    </row>
    <row r="1648" spans="24:24">
      <c r="X1648" s="1071"/>
    </row>
    <row r="1649" spans="24:24">
      <c r="X1649" s="1071"/>
    </row>
    <row r="1650" spans="24:24">
      <c r="X1650" s="1071"/>
    </row>
    <row r="1651" spans="24:24">
      <c r="X1651" s="1071"/>
    </row>
    <row r="1652" spans="24:24">
      <c r="X1652" s="1071"/>
    </row>
    <row r="1653" spans="24:24">
      <c r="X1653" s="1071"/>
    </row>
    <row r="1654" spans="24:24">
      <c r="X1654" s="1071"/>
    </row>
    <row r="1655" spans="24:24">
      <c r="X1655" s="1071"/>
    </row>
    <row r="1656" spans="24:24">
      <c r="X1656" s="1071"/>
    </row>
    <row r="1657" spans="24:24">
      <c r="X1657" s="1071"/>
    </row>
    <row r="1658" spans="24:24">
      <c r="X1658" s="1071"/>
    </row>
    <row r="1659" spans="24:24">
      <c r="X1659" s="1071"/>
    </row>
    <row r="1660" spans="24:24">
      <c r="X1660" s="1071"/>
    </row>
    <row r="1661" spans="24:24">
      <c r="X1661" s="1071"/>
    </row>
    <row r="1662" spans="24:24">
      <c r="X1662" s="1071"/>
    </row>
    <row r="1663" spans="24:24">
      <c r="X1663" s="1071"/>
    </row>
    <row r="1664" spans="24:24">
      <c r="X1664" s="1071"/>
    </row>
    <row r="1665" spans="24:24">
      <c r="X1665" s="1071"/>
    </row>
    <row r="1666" spans="24:24">
      <c r="X1666" s="1071"/>
    </row>
    <row r="1667" spans="24:24">
      <c r="X1667" s="1071"/>
    </row>
    <row r="1668" spans="24:24">
      <c r="X1668" s="1071"/>
    </row>
    <row r="1669" spans="24:24">
      <c r="X1669" s="1071"/>
    </row>
    <row r="1670" spans="24:24">
      <c r="X1670" s="1071"/>
    </row>
    <row r="1671" spans="24:24">
      <c r="X1671" s="1071"/>
    </row>
    <row r="1672" spans="24:24">
      <c r="X1672" s="1071"/>
    </row>
    <row r="1673" spans="24:24">
      <c r="X1673" s="1071"/>
    </row>
    <row r="1674" spans="24:24">
      <c r="X1674" s="1071"/>
    </row>
    <row r="1675" spans="24:24">
      <c r="X1675" s="1071"/>
    </row>
    <row r="1676" spans="24:24">
      <c r="X1676" s="1071"/>
    </row>
    <row r="1677" spans="24:24">
      <c r="X1677" s="1071"/>
    </row>
    <row r="1678" spans="24:24">
      <c r="X1678" s="1071"/>
    </row>
    <row r="1679" spans="24:24">
      <c r="X1679" s="1071"/>
    </row>
    <row r="1680" spans="24:24">
      <c r="X1680" s="1071"/>
    </row>
    <row r="1681" spans="24:24">
      <c r="X1681" s="1071"/>
    </row>
    <row r="1682" spans="24:24">
      <c r="X1682" s="1071"/>
    </row>
    <row r="1683" spans="24:24">
      <c r="X1683" s="1071"/>
    </row>
    <row r="1684" spans="24:24">
      <c r="X1684" s="1071"/>
    </row>
    <row r="1685" spans="24:24">
      <c r="X1685" s="1071"/>
    </row>
    <row r="1686" spans="24:24">
      <c r="X1686" s="1071"/>
    </row>
    <row r="1687" spans="24:24">
      <c r="X1687" s="1071"/>
    </row>
    <row r="1688" spans="24:24">
      <c r="X1688" s="1071"/>
    </row>
    <row r="1689" spans="24:24">
      <c r="X1689" s="1071"/>
    </row>
    <row r="1690" spans="24:24">
      <c r="X1690" s="1071"/>
    </row>
    <row r="1691" spans="24:24">
      <c r="X1691" s="1071"/>
    </row>
    <row r="1692" spans="24:24">
      <c r="X1692" s="1071"/>
    </row>
    <row r="1693" spans="24:24">
      <c r="X1693" s="1071"/>
    </row>
    <row r="1694" spans="24:24">
      <c r="X1694" s="1071"/>
    </row>
    <row r="1695" spans="24:24">
      <c r="X1695" s="1071"/>
    </row>
    <row r="1696" spans="24:24">
      <c r="X1696" s="1071"/>
    </row>
    <row r="1697" spans="24:24">
      <c r="X1697" s="1071"/>
    </row>
    <row r="1698" spans="24:24">
      <c r="X1698" s="1071"/>
    </row>
    <row r="1699" spans="24:24">
      <c r="X1699" s="1071"/>
    </row>
    <row r="1700" spans="24:24">
      <c r="X1700" s="1071"/>
    </row>
    <row r="1701" spans="24:24">
      <c r="X1701" s="1071"/>
    </row>
    <row r="1702" spans="24:24">
      <c r="X1702" s="1071"/>
    </row>
    <row r="1703" spans="24:24">
      <c r="X1703" s="1071"/>
    </row>
    <row r="1704" spans="24:24">
      <c r="X1704" s="1071"/>
    </row>
    <row r="1705" spans="24:24">
      <c r="X1705" s="1071"/>
    </row>
    <row r="1706" spans="24:24">
      <c r="X1706" s="1071"/>
    </row>
    <row r="1707" spans="24:24">
      <c r="X1707" s="1071"/>
    </row>
    <row r="1708" spans="24:24">
      <c r="X1708" s="1071"/>
    </row>
    <row r="1709" spans="24:24">
      <c r="X1709" s="1071"/>
    </row>
    <row r="1710" spans="24:24">
      <c r="X1710" s="1071"/>
    </row>
    <row r="1711" spans="24:24">
      <c r="X1711" s="1071"/>
    </row>
    <row r="1712" spans="24:24">
      <c r="X1712" s="1071"/>
    </row>
    <row r="1713" spans="24:24">
      <c r="X1713" s="1071"/>
    </row>
    <row r="1714" spans="24:24">
      <c r="X1714" s="1071"/>
    </row>
    <row r="1715" spans="24:24">
      <c r="X1715" s="1071"/>
    </row>
    <row r="1716" spans="24:24">
      <c r="X1716" s="1071"/>
    </row>
    <row r="1717" spans="24:24">
      <c r="X1717" s="1071"/>
    </row>
    <row r="1718" spans="24:24">
      <c r="X1718" s="1071"/>
    </row>
    <row r="1719" spans="24:24">
      <c r="X1719" s="1071"/>
    </row>
    <row r="1720" spans="24:24">
      <c r="X1720" s="1071"/>
    </row>
    <row r="1721" spans="24:24">
      <c r="X1721" s="1071"/>
    </row>
    <row r="1722" spans="24:24">
      <c r="X1722" s="1071"/>
    </row>
    <row r="1723" spans="24:24">
      <c r="X1723" s="1071"/>
    </row>
    <row r="1724" spans="24:24">
      <c r="X1724" s="1071"/>
    </row>
    <row r="1725" spans="24:24">
      <c r="X1725" s="1071"/>
    </row>
    <row r="1726" spans="24:24">
      <c r="X1726" s="1071"/>
    </row>
    <row r="1727" spans="24:24">
      <c r="X1727" s="1071"/>
    </row>
    <row r="1728" spans="24:24">
      <c r="X1728" s="1071"/>
    </row>
    <row r="1729" spans="24:24">
      <c r="X1729" s="1071"/>
    </row>
    <row r="1730" spans="24:24">
      <c r="X1730" s="1071"/>
    </row>
    <row r="1731" spans="24:24">
      <c r="X1731" s="1071"/>
    </row>
    <row r="1732" spans="24:24">
      <c r="X1732" s="1071"/>
    </row>
    <row r="1733" spans="24:24">
      <c r="X1733" s="1071"/>
    </row>
    <row r="1734" spans="24:24">
      <c r="X1734" s="1071"/>
    </row>
    <row r="1735" spans="24:24">
      <c r="X1735" s="1071"/>
    </row>
    <row r="1736" spans="24:24">
      <c r="X1736" s="1071"/>
    </row>
    <row r="1737" spans="24:24">
      <c r="X1737" s="1071"/>
    </row>
    <row r="1738" spans="24:24">
      <c r="X1738" s="1071"/>
    </row>
    <row r="1739" spans="24:24">
      <c r="X1739" s="1071"/>
    </row>
    <row r="1740" spans="24:24">
      <c r="X1740" s="1071"/>
    </row>
    <row r="1741" spans="24:24">
      <c r="X1741" s="1071"/>
    </row>
    <row r="1742" spans="24:24">
      <c r="X1742" s="1071"/>
    </row>
    <row r="1743" spans="24:24">
      <c r="X1743" s="1071"/>
    </row>
    <row r="1744" spans="24:24">
      <c r="X1744" s="1071"/>
    </row>
    <row r="1745" spans="24:24">
      <c r="X1745" s="1071"/>
    </row>
    <row r="1746" spans="24:24">
      <c r="X1746" s="1071"/>
    </row>
    <row r="1747" spans="24:24">
      <c r="X1747" s="1071"/>
    </row>
    <row r="1748" spans="24:24">
      <c r="X1748" s="1071"/>
    </row>
    <row r="1749" spans="24:24">
      <c r="X1749" s="1071"/>
    </row>
    <row r="1750" spans="24:24">
      <c r="X1750" s="1071"/>
    </row>
    <row r="1751" spans="24:24">
      <c r="X1751" s="1071"/>
    </row>
    <row r="1752" spans="24:24">
      <c r="X1752" s="1071"/>
    </row>
    <row r="1753" spans="24:24">
      <c r="X1753" s="1071"/>
    </row>
    <row r="1754" spans="24:24">
      <c r="X1754" s="1071"/>
    </row>
    <row r="1755" spans="24:24">
      <c r="X1755" s="1071"/>
    </row>
    <row r="1756" spans="24:24">
      <c r="X1756" s="1071"/>
    </row>
    <row r="1757" spans="24:24">
      <c r="X1757" s="1071"/>
    </row>
    <row r="1758" spans="24:24">
      <c r="X1758" s="1071"/>
    </row>
    <row r="1759" spans="24:24">
      <c r="X1759" s="1071"/>
    </row>
    <row r="1760" spans="24:24">
      <c r="X1760" s="1071"/>
    </row>
    <row r="1761" spans="24:24">
      <c r="X1761" s="1071"/>
    </row>
    <row r="1762" spans="24:24">
      <c r="X1762" s="1071"/>
    </row>
    <row r="1763" spans="24:24">
      <c r="X1763" s="1071"/>
    </row>
    <row r="1764" spans="24:24">
      <c r="X1764" s="1071"/>
    </row>
    <row r="1765" spans="24:24">
      <c r="X1765" s="1071"/>
    </row>
    <row r="1766" spans="24:24">
      <c r="X1766" s="1071"/>
    </row>
    <row r="1767" spans="24:24">
      <c r="X1767" s="1071"/>
    </row>
    <row r="1768" spans="24:24">
      <c r="X1768" s="1071"/>
    </row>
    <row r="1769" spans="24:24">
      <c r="X1769" s="1071"/>
    </row>
    <row r="1770" spans="24:24">
      <c r="X1770" s="1071"/>
    </row>
    <row r="1771" spans="24:24">
      <c r="X1771" s="1071"/>
    </row>
    <row r="1772" spans="24:24">
      <c r="X1772" s="1071"/>
    </row>
    <row r="1773" spans="24:24">
      <c r="X1773" s="1071"/>
    </row>
    <row r="1774" spans="24:24">
      <c r="X1774" s="1071"/>
    </row>
    <row r="1775" spans="24:24">
      <c r="X1775" s="1071"/>
    </row>
    <row r="1776" spans="24:24">
      <c r="X1776" s="1071"/>
    </row>
    <row r="1777" spans="24:24">
      <c r="X1777" s="1071"/>
    </row>
    <row r="1778" spans="24:24">
      <c r="X1778" s="1071"/>
    </row>
    <row r="1779" spans="24:24">
      <c r="X1779" s="1071"/>
    </row>
    <row r="1780" spans="24:24">
      <c r="X1780" s="1071"/>
    </row>
    <row r="1781" spans="24:24">
      <c r="X1781" s="1071"/>
    </row>
    <row r="1782" spans="24:24">
      <c r="X1782" s="1071"/>
    </row>
    <row r="1783" spans="24:24">
      <c r="X1783" s="1071"/>
    </row>
    <row r="1784" spans="24:24">
      <c r="X1784" s="1071"/>
    </row>
    <row r="1785" spans="24:24">
      <c r="X1785" s="1071"/>
    </row>
    <row r="1786" spans="24:24">
      <c r="X1786" s="1071"/>
    </row>
    <row r="1787" spans="24:24">
      <c r="X1787" s="1071"/>
    </row>
    <row r="1788" spans="24:24">
      <c r="X1788" s="1071"/>
    </row>
    <row r="1789" spans="24:24">
      <c r="X1789" s="1071"/>
    </row>
    <row r="1790" spans="24:24">
      <c r="X1790" s="1071"/>
    </row>
    <row r="1791" spans="24:24">
      <c r="X1791" s="1071"/>
    </row>
    <row r="1792" spans="24:24">
      <c r="X1792" s="1071"/>
    </row>
    <row r="1793" spans="24:24">
      <c r="X1793" s="1071"/>
    </row>
    <row r="1794" spans="24:24">
      <c r="X1794" s="1071"/>
    </row>
    <row r="1795" spans="24:24">
      <c r="X1795" s="1071"/>
    </row>
    <row r="1796" spans="24:24">
      <c r="X1796" s="1071"/>
    </row>
    <row r="1797" spans="24:24">
      <c r="X1797" s="1071"/>
    </row>
    <row r="1798" spans="24:24">
      <c r="X1798" s="1071"/>
    </row>
    <row r="1799" spans="24:24">
      <c r="X1799" s="1071"/>
    </row>
    <row r="1800" spans="24:24">
      <c r="X1800" s="1071"/>
    </row>
    <row r="1801" spans="24:24">
      <c r="X1801" s="1071"/>
    </row>
    <row r="1802" spans="24:24">
      <c r="X1802" s="1071"/>
    </row>
    <row r="1803" spans="24:24">
      <c r="X1803" s="1071"/>
    </row>
    <row r="1804" spans="24:24">
      <c r="X1804" s="1071"/>
    </row>
    <row r="1805" spans="24:24">
      <c r="X1805" s="1071"/>
    </row>
    <row r="1806" spans="24:24">
      <c r="X1806" s="1071"/>
    </row>
    <row r="1807" spans="24:24">
      <c r="X1807" s="1071"/>
    </row>
    <row r="1808" spans="24:24">
      <c r="X1808" s="1071"/>
    </row>
    <row r="1809" spans="24:24">
      <c r="X1809" s="1071"/>
    </row>
    <row r="1810" spans="24:24">
      <c r="X1810" s="1071"/>
    </row>
    <row r="1811" spans="24:24">
      <c r="X1811" s="1071"/>
    </row>
    <row r="1812" spans="24:24">
      <c r="X1812" s="1071"/>
    </row>
    <row r="1813" spans="24:24">
      <c r="X1813" s="1071"/>
    </row>
    <row r="1814" spans="24:24">
      <c r="X1814" s="1071"/>
    </row>
    <row r="1815" spans="24:24">
      <c r="X1815" s="1071"/>
    </row>
    <row r="1816" spans="24:24">
      <c r="X1816" s="1071"/>
    </row>
    <row r="1817" spans="24:24">
      <c r="X1817" s="1071"/>
    </row>
    <row r="1818" spans="24:24">
      <c r="X1818" s="1071"/>
    </row>
    <row r="1819" spans="24:24">
      <c r="X1819" s="1071"/>
    </row>
    <row r="1820" spans="24:24">
      <c r="X1820" s="1071"/>
    </row>
    <row r="1821" spans="24:24">
      <c r="X1821" s="1071"/>
    </row>
    <row r="1822" spans="24:24">
      <c r="X1822" s="1071"/>
    </row>
    <row r="1823" spans="24:24">
      <c r="X1823" s="1071"/>
    </row>
    <row r="1824" spans="24:24">
      <c r="X1824" s="1071"/>
    </row>
    <row r="1825" spans="24:24">
      <c r="X1825" s="1071"/>
    </row>
    <row r="1826" spans="24:24">
      <c r="X1826" s="1071"/>
    </row>
    <row r="1827" spans="24:24">
      <c r="X1827" s="1071"/>
    </row>
    <row r="1828" spans="24:24">
      <c r="X1828" s="1071"/>
    </row>
    <row r="1829" spans="24:24">
      <c r="X1829" s="1071"/>
    </row>
    <row r="1830" spans="24:24">
      <c r="X1830" s="1071"/>
    </row>
    <row r="1831" spans="24:24">
      <c r="X1831" s="1071"/>
    </row>
    <row r="1832" spans="24:24">
      <c r="X1832" s="1071"/>
    </row>
    <row r="1833" spans="24:24">
      <c r="X1833" s="1071"/>
    </row>
    <row r="1834" spans="24:24">
      <c r="X1834" s="1071"/>
    </row>
    <row r="1835" spans="24:24">
      <c r="X1835" s="1071"/>
    </row>
    <row r="1836" spans="24:24">
      <c r="X1836" s="1071"/>
    </row>
    <row r="1837" spans="24:24">
      <c r="X1837" s="1071"/>
    </row>
    <row r="1838" spans="24:24">
      <c r="X1838" s="1071"/>
    </row>
    <row r="1839" spans="24:24">
      <c r="X1839" s="1071"/>
    </row>
    <row r="1840" spans="24:24">
      <c r="X1840" s="1071"/>
    </row>
    <row r="1841" spans="24:24">
      <c r="X1841" s="1071"/>
    </row>
    <row r="1842" spans="24:24">
      <c r="X1842" s="1071"/>
    </row>
    <row r="1843" spans="24:24">
      <c r="X1843" s="1071"/>
    </row>
    <row r="1844" spans="24:24">
      <c r="X1844" s="1071"/>
    </row>
    <row r="1845" spans="24:24">
      <c r="X1845" s="1071"/>
    </row>
    <row r="1846" spans="24:24">
      <c r="X1846" s="1071"/>
    </row>
    <row r="1847" spans="24:24">
      <c r="X1847" s="1071"/>
    </row>
    <row r="1848" spans="24:24">
      <c r="X1848" s="1071"/>
    </row>
    <row r="1849" spans="24:24">
      <c r="X1849" s="1071"/>
    </row>
    <row r="1850" spans="24:24">
      <c r="X1850" s="1071"/>
    </row>
    <row r="1851" spans="24:24">
      <c r="X1851" s="1071"/>
    </row>
    <row r="1852" spans="24:24">
      <c r="X1852" s="1071"/>
    </row>
    <row r="1853" spans="24:24">
      <c r="X1853" s="1071"/>
    </row>
    <row r="1854" spans="24:24">
      <c r="X1854" s="1071"/>
    </row>
    <row r="1855" spans="24:24">
      <c r="X1855" s="1071"/>
    </row>
    <row r="1856" spans="24:24">
      <c r="X1856" s="1071"/>
    </row>
    <row r="1857" spans="24:24">
      <c r="X1857" s="1071"/>
    </row>
    <row r="1858" spans="24:24">
      <c r="X1858" s="1071"/>
    </row>
    <row r="1859" spans="24:24">
      <c r="X1859" s="1071"/>
    </row>
    <row r="1860" spans="24:24">
      <c r="X1860" s="1071"/>
    </row>
    <row r="1861" spans="24:24">
      <c r="X1861" s="1071"/>
    </row>
    <row r="1862" spans="24:24">
      <c r="X1862" s="1071"/>
    </row>
    <row r="1863" spans="24:24">
      <c r="X1863" s="1071"/>
    </row>
    <row r="1864" spans="24:24">
      <c r="X1864" s="1071"/>
    </row>
    <row r="1865" spans="24:24">
      <c r="X1865" s="1071"/>
    </row>
    <row r="1866" spans="24:24">
      <c r="X1866" s="1071"/>
    </row>
    <row r="1867" spans="24:24">
      <c r="X1867" s="1071"/>
    </row>
    <row r="1868" spans="24:24">
      <c r="X1868" s="1071"/>
    </row>
    <row r="1869" spans="24:24">
      <c r="X1869" s="1071"/>
    </row>
    <row r="1870" spans="24:24">
      <c r="X1870" s="1071"/>
    </row>
    <row r="1871" spans="24:24">
      <c r="X1871" s="1071"/>
    </row>
    <row r="1872" spans="24:24">
      <c r="X1872" s="1071"/>
    </row>
    <row r="1873" spans="24:24">
      <c r="X1873" s="1071"/>
    </row>
    <row r="1874" spans="24:24">
      <c r="X1874" s="1071"/>
    </row>
    <row r="1875" spans="24:24">
      <c r="X1875" s="1071"/>
    </row>
    <row r="1876" spans="24:24">
      <c r="X1876" s="1071"/>
    </row>
    <row r="1877" spans="24:24">
      <c r="X1877" s="1071"/>
    </row>
    <row r="1878" spans="24:24">
      <c r="X1878" s="1071"/>
    </row>
    <row r="1879" spans="24:24">
      <c r="X1879" s="1071"/>
    </row>
    <row r="1880" spans="24:24">
      <c r="X1880" s="1071"/>
    </row>
    <row r="1881" spans="24:24">
      <c r="X1881" s="1071"/>
    </row>
    <row r="1882" spans="24:24">
      <c r="X1882" s="1071"/>
    </row>
    <row r="1883" spans="24:24">
      <c r="X1883" s="1071"/>
    </row>
    <row r="1884" spans="24:24">
      <c r="X1884" s="1071"/>
    </row>
    <row r="1885" spans="24:24">
      <c r="X1885" s="1071"/>
    </row>
    <row r="1886" spans="24:24">
      <c r="X1886" s="1071"/>
    </row>
    <row r="1887" spans="24:24">
      <c r="X1887" s="1071"/>
    </row>
    <row r="1888" spans="24:24">
      <c r="X1888" s="1071"/>
    </row>
    <row r="1889" spans="24:24">
      <c r="X1889" s="1071"/>
    </row>
    <row r="1890" spans="24:24">
      <c r="X1890" s="1071"/>
    </row>
    <row r="1891" spans="24:24">
      <c r="X1891" s="1071"/>
    </row>
    <row r="1892" spans="24:24">
      <c r="X1892" s="1071"/>
    </row>
    <row r="1893" spans="24:24">
      <c r="X1893" s="1071"/>
    </row>
    <row r="1894" spans="24:24">
      <c r="X1894" s="1071"/>
    </row>
    <row r="1895" spans="24:24">
      <c r="X1895" s="1071"/>
    </row>
    <row r="1896" spans="24:24">
      <c r="X1896" s="1071"/>
    </row>
    <row r="1897" spans="24:24">
      <c r="X1897" s="1071"/>
    </row>
    <row r="1898" spans="24:24">
      <c r="X1898" s="1071"/>
    </row>
    <row r="1899" spans="24:24">
      <c r="X1899" s="1071"/>
    </row>
    <row r="1900" spans="24:24">
      <c r="X1900" s="1071"/>
    </row>
    <row r="1901" spans="24:24">
      <c r="X1901" s="1071"/>
    </row>
    <row r="1902" spans="24:24">
      <c r="X1902" s="1071"/>
    </row>
    <row r="1903" spans="24:24">
      <c r="X1903" s="1071"/>
    </row>
    <row r="1904" spans="24:24">
      <c r="X1904" s="1071"/>
    </row>
    <row r="1905" spans="24:24">
      <c r="X1905" s="1071"/>
    </row>
    <row r="1906" spans="24:24">
      <c r="X1906" s="1071"/>
    </row>
    <row r="1907" spans="24:24">
      <c r="X1907" s="1071"/>
    </row>
    <row r="1908" spans="24:24">
      <c r="X1908" s="1071"/>
    </row>
    <row r="1909" spans="24:24">
      <c r="X1909" s="1071"/>
    </row>
    <row r="1910" spans="24:24">
      <c r="X1910" s="1071"/>
    </row>
    <row r="1911" spans="24:24">
      <c r="X1911" s="1071"/>
    </row>
    <row r="1912" spans="24:24">
      <c r="X1912" s="1071"/>
    </row>
    <row r="1913" spans="24:24">
      <c r="X1913" s="1071"/>
    </row>
    <row r="1914" spans="24:24">
      <c r="X1914" s="1071"/>
    </row>
    <row r="1915" spans="24:24">
      <c r="X1915" s="1071"/>
    </row>
    <row r="1916" spans="24:24">
      <c r="X1916" s="1071"/>
    </row>
    <row r="1917" spans="24:24">
      <c r="X1917" s="1071"/>
    </row>
    <row r="1918" spans="24:24">
      <c r="X1918" s="1071"/>
    </row>
    <row r="1919" spans="24:24">
      <c r="X1919" s="1071"/>
    </row>
    <row r="1920" spans="24:24">
      <c r="X1920" s="1071"/>
    </row>
    <row r="1921" spans="24:24">
      <c r="X1921" s="1071"/>
    </row>
    <row r="1922" spans="24:24">
      <c r="X1922" s="1071"/>
    </row>
    <row r="1923" spans="24:24">
      <c r="X1923" s="1071"/>
    </row>
    <row r="1924" spans="24:24">
      <c r="X1924" s="1071"/>
    </row>
    <row r="1925" spans="24:24">
      <c r="X1925" s="1071"/>
    </row>
    <row r="1926" spans="24:24">
      <c r="X1926" s="1071"/>
    </row>
    <row r="1927" spans="24:24">
      <c r="X1927" s="1071"/>
    </row>
    <row r="1928" spans="24:24">
      <c r="X1928" s="1071"/>
    </row>
    <row r="1929" spans="24:24">
      <c r="X1929" s="1071"/>
    </row>
    <row r="1930" spans="24:24">
      <c r="X1930" s="1071"/>
    </row>
    <row r="1931" spans="24:24">
      <c r="X1931" s="1071"/>
    </row>
    <row r="1932" spans="24:24">
      <c r="X1932" s="1071"/>
    </row>
    <row r="1933" spans="24:24">
      <c r="X1933" s="1071"/>
    </row>
    <row r="1934" spans="24:24">
      <c r="X1934" s="1071"/>
    </row>
    <row r="1935" spans="24:24">
      <c r="X1935" s="1071"/>
    </row>
    <row r="1936" spans="24:24">
      <c r="X1936" s="1071"/>
    </row>
    <row r="1937" spans="24:24">
      <c r="X1937" s="1071"/>
    </row>
    <row r="1938" spans="24:24">
      <c r="X1938" s="1071"/>
    </row>
    <row r="1939" spans="24:24">
      <c r="X1939" s="1071"/>
    </row>
    <row r="1940" spans="24:24">
      <c r="X1940" s="1071"/>
    </row>
    <row r="1941" spans="24:24">
      <c r="X1941" s="1071"/>
    </row>
    <row r="1942" spans="24:24">
      <c r="X1942" s="1071"/>
    </row>
    <row r="1943" spans="24:24">
      <c r="X1943" s="1071"/>
    </row>
    <row r="1944" spans="24:24">
      <c r="X1944" s="1071"/>
    </row>
    <row r="1945" spans="24:24">
      <c r="X1945" s="1071"/>
    </row>
    <row r="1946" spans="24:24">
      <c r="X1946" s="1071"/>
    </row>
    <row r="1947" spans="24:24">
      <c r="X1947" s="1071"/>
    </row>
    <row r="1948" spans="24:24">
      <c r="X1948" s="1071"/>
    </row>
    <row r="1949" spans="24:24">
      <c r="X1949" s="1071"/>
    </row>
    <row r="1950" spans="24:24">
      <c r="X1950" s="1071"/>
    </row>
    <row r="1951" spans="24:24">
      <c r="X1951" s="1071"/>
    </row>
    <row r="1952" spans="24:24">
      <c r="X1952" s="1071"/>
    </row>
    <row r="1953" spans="24:24">
      <c r="X1953" s="1071"/>
    </row>
    <row r="1954" spans="24:24">
      <c r="X1954" s="1071"/>
    </row>
    <row r="1955" spans="24:24">
      <c r="X1955" s="1071"/>
    </row>
    <row r="1956" spans="24:24">
      <c r="X1956" s="1071"/>
    </row>
    <row r="1957" spans="24:24">
      <c r="X1957" s="1071"/>
    </row>
    <row r="1958" spans="24:24">
      <c r="X1958" s="1071"/>
    </row>
    <row r="1959" spans="24:24">
      <c r="X1959" s="1071"/>
    </row>
    <row r="1960" spans="24:24">
      <c r="X1960" s="1071"/>
    </row>
    <row r="1961" spans="24:24">
      <c r="X1961" s="1071"/>
    </row>
    <row r="1962" spans="24:24">
      <c r="X1962" s="1071"/>
    </row>
    <row r="1963" spans="24:24">
      <c r="X1963" s="1071"/>
    </row>
    <row r="1964" spans="24:24">
      <c r="X1964" s="1071"/>
    </row>
    <row r="1965" spans="24:24">
      <c r="X1965" s="1071"/>
    </row>
    <row r="1966" spans="24:24">
      <c r="X1966" s="1071"/>
    </row>
    <row r="1967" spans="24:24">
      <c r="X1967" s="1071"/>
    </row>
    <row r="1968" spans="24:24">
      <c r="X1968" s="1071"/>
    </row>
    <row r="1969" spans="24:24">
      <c r="X1969" s="1071"/>
    </row>
    <row r="1970" spans="24:24">
      <c r="X1970" s="1071"/>
    </row>
    <row r="1971" spans="24:24">
      <c r="X1971" s="1071"/>
    </row>
    <row r="1972" spans="24:24">
      <c r="X1972" s="1071"/>
    </row>
    <row r="1973" spans="24:24">
      <c r="X1973" s="1071"/>
    </row>
    <row r="1974" spans="24:24">
      <c r="X1974" s="1071"/>
    </row>
    <row r="1975" spans="24:24">
      <c r="X1975" s="1071"/>
    </row>
    <row r="1976" spans="24:24">
      <c r="X1976" s="1071"/>
    </row>
    <row r="1977" spans="24:24">
      <c r="X1977" s="1071"/>
    </row>
    <row r="1978" spans="24:24">
      <c r="X1978" s="1071"/>
    </row>
    <row r="1979" spans="24:24">
      <c r="X1979" s="1071"/>
    </row>
    <row r="1980" spans="24:24">
      <c r="X1980" s="1071"/>
    </row>
    <row r="1981" spans="24:24">
      <c r="X1981" s="1071"/>
    </row>
    <row r="1982" spans="24:24">
      <c r="X1982" s="1071"/>
    </row>
    <row r="1983" spans="24:24">
      <c r="X1983" s="1071"/>
    </row>
    <row r="1984" spans="24:24">
      <c r="X1984" s="1071"/>
    </row>
    <row r="1985" spans="24:24">
      <c r="X1985" s="1071"/>
    </row>
    <row r="1986" spans="24:24">
      <c r="X1986" s="1071"/>
    </row>
    <row r="1987" spans="24:24">
      <c r="X1987" s="1071"/>
    </row>
    <row r="1988" spans="24:24">
      <c r="X1988" s="1071"/>
    </row>
    <row r="1989" spans="24:24">
      <c r="X1989" s="1071"/>
    </row>
    <row r="1990" spans="24:24">
      <c r="X1990" s="1071"/>
    </row>
    <row r="1991" spans="24:24">
      <c r="X1991" s="1071"/>
    </row>
    <row r="1992" spans="24:24">
      <c r="X1992" s="1071"/>
    </row>
    <row r="1993" spans="24:24">
      <c r="X1993" s="1071"/>
    </row>
    <row r="1994" spans="24:24">
      <c r="X1994" s="1071"/>
    </row>
    <row r="1995" spans="24:24">
      <c r="X1995" s="1071"/>
    </row>
    <row r="1996" spans="24:24">
      <c r="X1996" s="1071"/>
    </row>
    <row r="1997" spans="24:24">
      <c r="X1997" s="1071"/>
    </row>
    <row r="1998" spans="24:24">
      <c r="X1998" s="1071"/>
    </row>
    <row r="1999" spans="24:24">
      <c r="X1999" s="1071"/>
    </row>
    <row r="2000" spans="24:24">
      <c r="X2000" s="1071"/>
    </row>
    <row r="2001" spans="24:24">
      <c r="X2001" s="1071"/>
    </row>
    <row r="2002" spans="24:24">
      <c r="X2002" s="1071"/>
    </row>
    <row r="2003" spans="24:24">
      <c r="X2003" s="1071"/>
    </row>
    <row r="2004" spans="24:24">
      <c r="X2004" s="1071"/>
    </row>
    <row r="2005" spans="24:24">
      <c r="X2005" s="1071"/>
    </row>
    <row r="2006" spans="24:24">
      <c r="X2006" s="1071"/>
    </row>
    <row r="2007" spans="24:24">
      <c r="X2007" s="1071"/>
    </row>
    <row r="2008" spans="24:24">
      <c r="X2008" s="1071"/>
    </row>
    <row r="2009" spans="24:24">
      <c r="X2009" s="1071"/>
    </row>
    <row r="2010" spans="24:24">
      <c r="X2010" s="1071"/>
    </row>
    <row r="2011" spans="24:24">
      <c r="X2011" s="1071"/>
    </row>
    <row r="2012" spans="24:24">
      <c r="X2012" s="1071"/>
    </row>
    <row r="2013" spans="24:24">
      <c r="X2013" s="1071"/>
    </row>
    <row r="2014" spans="24:24">
      <c r="X2014" s="1071"/>
    </row>
    <row r="2015" spans="24:24">
      <c r="X2015" s="1071"/>
    </row>
    <row r="2016" spans="24:24">
      <c r="X2016" s="1071"/>
    </row>
    <row r="2017" spans="24:24">
      <c r="X2017" s="1071"/>
    </row>
    <row r="2018" spans="24:24">
      <c r="X2018" s="1071"/>
    </row>
    <row r="2019" spans="24:24">
      <c r="X2019" s="1071"/>
    </row>
    <row r="2020" spans="24:24">
      <c r="X2020" s="1071"/>
    </row>
    <row r="2021" spans="24:24">
      <c r="X2021" s="1071"/>
    </row>
    <row r="2022" spans="24:24">
      <c r="X2022" s="1071"/>
    </row>
    <row r="2023" spans="24:24">
      <c r="X2023" s="1071"/>
    </row>
    <row r="2024" spans="24:24">
      <c r="X2024" s="1071"/>
    </row>
    <row r="2025" spans="24:24">
      <c r="X2025" s="1071"/>
    </row>
    <row r="2026" spans="24:24">
      <c r="X2026" s="1071"/>
    </row>
    <row r="2027" spans="24:24">
      <c r="X2027" s="1071"/>
    </row>
    <row r="2028" spans="24:24">
      <c r="X2028" s="1071"/>
    </row>
    <row r="2029" spans="24:24">
      <c r="X2029" s="1071"/>
    </row>
    <row r="2030" spans="24:24">
      <c r="X2030" s="1071"/>
    </row>
    <row r="2031" spans="24:24">
      <c r="X2031" s="1071"/>
    </row>
    <row r="2032" spans="24:24">
      <c r="X2032" s="1071"/>
    </row>
    <row r="2033" spans="24:24">
      <c r="X2033" s="1071"/>
    </row>
    <row r="2034" spans="24:24">
      <c r="X2034" s="1071"/>
    </row>
    <row r="2035" spans="24:24">
      <c r="X2035" s="1071"/>
    </row>
    <row r="2036" spans="24:24">
      <c r="X2036" s="1071"/>
    </row>
    <row r="2037" spans="24:24">
      <c r="X2037" s="1071"/>
    </row>
    <row r="2038" spans="24:24">
      <c r="X2038" s="1071"/>
    </row>
    <row r="2039" spans="24:24">
      <c r="X2039" s="1071"/>
    </row>
    <row r="2040" spans="24:24">
      <c r="X2040" s="1071"/>
    </row>
    <row r="2041" spans="24:24">
      <c r="X2041" s="1071"/>
    </row>
    <row r="2042" spans="24:24">
      <c r="X2042" s="1071"/>
    </row>
    <row r="2043" spans="24:24">
      <c r="X2043" s="1071"/>
    </row>
    <row r="2044" spans="24:24">
      <c r="X2044" s="1071"/>
    </row>
    <row r="2045" spans="24:24">
      <c r="X2045" s="1071"/>
    </row>
    <row r="2046" spans="24:24">
      <c r="X2046" s="1071"/>
    </row>
    <row r="2047" spans="24:24">
      <c r="X2047" s="1071"/>
    </row>
    <row r="2048" spans="24:24">
      <c r="X2048" s="1071"/>
    </row>
    <row r="2049" spans="24:24">
      <c r="X2049" s="1071"/>
    </row>
    <row r="2050" spans="24:24">
      <c r="X2050" s="1071"/>
    </row>
    <row r="2051" spans="24:24">
      <c r="X2051" s="1071"/>
    </row>
    <row r="2052" spans="24:24">
      <c r="X2052" s="1071"/>
    </row>
    <row r="2053" spans="24:24">
      <c r="X2053" s="1071"/>
    </row>
    <row r="2054" spans="24:24">
      <c r="X2054" s="1071"/>
    </row>
    <row r="2055" spans="24:24">
      <c r="X2055" s="1071"/>
    </row>
    <row r="2056" spans="24:24">
      <c r="X2056" s="1071"/>
    </row>
    <row r="2057" spans="24:24">
      <c r="X2057" s="1071"/>
    </row>
    <row r="2058" spans="24:24">
      <c r="X2058" s="1071"/>
    </row>
    <row r="2059" spans="24:24">
      <c r="X2059" s="1071"/>
    </row>
    <row r="2060" spans="24:24">
      <c r="X2060" s="1071"/>
    </row>
    <row r="2061" spans="24:24">
      <c r="X2061" s="1071"/>
    </row>
    <row r="2062" spans="24:24">
      <c r="X2062" s="1071"/>
    </row>
    <row r="2063" spans="24:24">
      <c r="X2063" s="1071"/>
    </row>
    <row r="2064" spans="24:24">
      <c r="X2064" s="1071"/>
    </row>
    <row r="2065" spans="24:24">
      <c r="X2065" s="1071"/>
    </row>
    <row r="2066" spans="24:24">
      <c r="X2066" s="1071"/>
    </row>
    <row r="2067" spans="24:24">
      <c r="X2067" s="1071"/>
    </row>
    <row r="2068" spans="24:24">
      <c r="X2068" s="1071"/>
    </row>
    <row r="2069" spans="24:24">
      <c r="X2069" s="1071"/>
    </row>
    <row r="2070" spans="24:24">
      <c r="X2070" s="1071"/>
    </row>
    <row r="2071" spans="24:24">
      <c r="X2071" s="1071"/>
    </row>
    <row r="2072" spans="24:24">
      <c r="X2072" s="1071"/>
    </row>
    <row r="2073" spans="24:24">
      <c r="X2073" s="1071"/>
    </row>
    <row r="2074" spans="24:24">
      <c r="X2074" s="1071"/>
    </row>
    <row r="2075" spans="24:24">
      <c r="X2075" s="1071"/>
    </row>
    <row r="2076" spans="24:24">
      <c r="X2076" s="1071"/>
    </row>
    <row r="2077" spans="24:24">
      <c r="X2077" s="1071"/>
    </row>
    <row r="2078" spans="24:24">
      <c r="X2078" s="1071"/>
    </row>
    <row r="2079" spans="24:24">
      <c r="X2079" s="1071"/>
    </row>
    <row r="2080" spans="24:24">
      <c r="X2080" s="1071"/>
    </row>
    <row r="2081" spans="24:24">
      <c r="X2081" s="1071"/>
    </row>
    <row r="2082" spans="24:24">
      <c r="X2082" s="1071"/>
    </row>
    <row r="2083" spans="24:24">
      <c r="X2083" s="1071"/>
    </row>
    <row r="2084" spans="24:24">
      <c r="X2084" s="1071"/>
    </row>
    <row r="2085" spans="24:24">
      <c r="X2085" s="1071"/>
    </row>
    <row r="2086" spans="24:24">
      <c r="X2086" s="1071"/>
    </row>
    <row r="2087" spans="24:24">
      <c r="X2087" s="1071"/>
    </row>
    <row r="2088" spans="24:24">
      <c r="X2088" s="1071"/>
    </row>
    <row r="2089" spans="24:24">
      <c r="X2089" s="1071"/>
    </row>
    <row r="2090" spans="24:24">
      <c r="X2090" s="1071"/>
    </row>
    <row r="2091" spans="24:24">
      <c r="X2091" s="1071"/>
    </row>
    <row r="2092" spans="24:24">
      <c r="X2092" s="1071"/>
    </row>
    <row r="2093" spans="24:24">
      <c r="X2093" s="1071"/>
    </row>
    <row r="2094" spans="24:24">
      <c r="X2094" s="1071"/>
    </row>
    <row r="2095" spans="24:24">
      <c r="X2095" s="1071"/>
    </row>
    <row r="2096" spans="24:24">
      <c r="X2096" s="1071"/>
    </row>
    <row r="2097" spans="24:24">
      <c r="X2097" s="1071"/>
    </row>
    <row r="2098" spans="24:24">
      <c r="X2098" s="1071"/>
    </row>
    <row r="2099" spans="24:24">
      <c r="X2099" s="1071"/>
    </row>
    <row r="2100" spans="24:24">
      <c r="X2100" s="1071"/>
    </row>
    <row r="2101" spans="24:24">
      <c r="X2101" s="1071"/>
    </row>
    <row r="2102" spans="24:24">
      <c r="X2102" s="1071"/>
    </row>
    <row r="2103" spans="24:24">
      <c r="X2103" s="1071"/>
    </row>
    <row r="2104" spans="24:24">
      <c r="X2104" s="1071"/>
    </row>
    <row r="2105" spans="24:24">
      <c r="X2105" s="1071"/>
    </row>
    <row r="2106" spans="24:24">
      <c r="X2106" s="1071"/>
    </row>
    <row r="2107" spans="24:24">
      <c r="X2107" s="1071"/>
    </row>
    <row r="2108" spans="24:24">
      <c r="X2108" s="1071"/>
    </row>
    <row r="2109" spans="24:24">
      <c r="X2109" s="1071"/>
    </row>
    <row r="2110" spans="24:24">
      <c r="X2110" s="1071"/>
    </row>
    <row r="2111" spans="24:24">
      <c r="X2111" s="1071"/>
    </row>
    <row r="2112" spans="24:24">
      <c r="X2112" s="1071"/>
    </row>
    <row r="2113" spans="24:24">
      <c r="X2113" s="1071"/>
    </row>
    <row r="2114" spans="24:24">
      <c r="X2114" s="1071"/>
    </row>
    <row r="2115" spans="24:24">
      <c r="X2115" s="1071"/>
    </row>
    <row r="2116" spans="24:24">
      <c r="X2116" s="1071"/>
    </row>
    <row r="2117" spans="24:24">
      <c r="X2117" s="1071"/>
    </row>
    <row r="2118" spans="24:24">
      <c r="X2118" s="1071"/>
    </row>
    <row r="2119" spans="24:24">
      <c r="X2119" s="1071"/>
    </row>
    <row r="2120" spans="24:24">
      <c r="X2120" s="1071"/>
    </row>
    <row r="2121" spans="24:24">
      <c r="X2121" s="1071"/>
    </row>
    <row r="2122" spans="24:24">
      <c r="X2122" s="1071"/>
    </row>
    <row r="2123" spans="24:24">
      <c r="X2123" s="1071"/>
    </row>
    <row r="2124" spans="24:24">
      <c r="X2124" s="1071"/>
    </row>
    <row r="2125" spans="24:24">
      <c r="X2125" s="1071"/>
    </row>
    <row r="2126" spans="24:24">
      <c r="X2126" s="1071"/>
    </row>
    <row r="2127" spans="24:24">
      <c r="X2127" s="1071"/>
    </row>
    <row r="2128" spans="24:24">
      <c r="X2128" s="1071"/>
    </row>
    <row r="2129" spans="24:24">
      <c r="X2129" s="1071"/>
    </row>
    <row r="2130" spans="24:24">
      <c r="X2130" s="1071"/>
    </row>
    <row r="2131" spans="24:24">
      <c r="X2131" s="1071"/>
    </row>
    <row r="2132" spans="24:24">
      <c r="X2132" s="1071"/>
    </row>
    <row r="2133" spans="24:24">
      <c r="X2133" s="1071"/>
    </row>
    <row r="2134" spans="24:24">
      <c r="X2134" s="1071"/>
    </row>
    <row r="2135" spans="24:24">
      <c r="X2135" s="1071"/>
    </row>
    <row r="2136" spans="24:24">
      <c r="X2136" s="1071"/>
    </row>
    <row r="2137" spans="24:24">
      <c r="X2137" s="1071"/>
    </row>
    <row r="2138" spans="24:24">
      <c r="X2138" s="1071"/>
    </row>
    <row r="2139" spans="24:24">
      <c r="X2139" s="1071"/>
    </row>
    <row r="2140" spans="24:24">
      <c r="X2140" s="1071"/>
    </row>
    <row r="2141" spans="24:24">
      <c r="X2141" s="1071"/>
    </row>
    <row r="2142" spans="24:24">
      <c r="X2142" s="1071"/>
    </row>
    <row r="2143" spans="24:24">
      <c r="X2143" s="1071"/>
    </row>
    <row r="2144" spans="24:24">
      <c r="X2144" s="1071"/>
    </row>
    <row r="2145" spans="24:24">
      <c r="X2145" s="1071"/>
    </row>
    <row r="2146" spans="24:24">
      <c r="X2146" s="1071"/>
    </row>
    <row r="2147" spans="24:24">
      <c r="X2147" s="1071"/>
    </row>
    <row r="2148" spans="24:24">
      <c r="X2148" s="1071"/>
    </row>
    <row r="2149" spans="24:24">
      <c r="X2149" s="1071"/>
    </row>
    <row r="2150" spans="24:24">
      <c r="X2150" s="1071"/>
    </row>
    <row r="2151" spans="24:24">
      <c r="X2151" s="1071"/>
    </row>
    <row r="2152" spans="24:24">
      <c r="X2152" s="1071"/>
    </row>
    <row r="2153" spans="24:24">
      <c r="X2153" s="1071"/>
    </row>
    <row r="2154" spans="24:24">
      <c r="X2154" s="1071"/>
    </row>
    <row r="2155" spans="24:24">
      <c r="X2155" s="1071"/>
    </row>
    <row r="2156" spans="24:24">
      <c r="X2156" s="1071"/>
    </row>
    <row r="2157" spans="24:24">
      <c r="X2157" s="1071"/>
    </row>
    <row r="2158" spans="24:24">
      <c r="X2158" s="1071"/>
    </row>
    <row r="2159" spans="24:24">
      <c r="X2159" s="1071"/>
    </row>
    <row r="2160" spans="24:24">
      <c r="X2160" s="1071"/>
    </row>
    <row r="2161" spans="24:24">
      <c r="X2161" s="1071"/>
    </row>
    <row r="2162" spans="24:24">
      <c r="X2162" s="1071"/>
    </row>
    <row r="2163" spans="24:24">
      <c r="X2163" s="1071"/>
    </row>
    <row r="2164" spans="24:24">
      <c r="X2164" s="1071"/>
    </row>
    <row r="2165" spans="24:24">
      <c r="X2165" s="1071"/>
    </row>
    <row r="2166" spans="24:24">
      <c r="X2166" s="1071"/>
    </row>
    <row r="2167" spans="24:24">
      <c r="X2167" s="1071"/>
    </row>
    <row r="2168" spans="24:24">
      <c r="X2168" s="1071"/>
    </row>
    <row r="2169" spans="24:24">
      <c r="X2169" s="1071"/>
    </row>
    <row r="2170" spans="24:24">
      <c r="X2170" s="1071"/>
    </row>
    <row r="2171" spans="24:24">
      <c r="X2171" s="1071"/>
    </row>
    <row r="2172" spans="24:24">
      <c r="X2172" s="1071"/>
    </row>
    <row r="2173" spans="24:24">
      <c r="X2173" s="1071"/>
    </row>
    <row r="2174" spans="24:24">
      <c r="X2174" s="1071"/>
    </row>
    <row r="2175" spans="24:24">
      <c r="X2175" s="1071"/>
    </row>
    <row r="2176" spans="24:24">
      <c r="X2176" s="1071"/>
    </row>
    <row r="2177" spans="24:24">
      <c r="X2177" s="1071"/>
    </row>
    <row r="2178" spans="24:24">
      <c r="X2178" s="1071"/>
    </row>
    <row r="2179" spans="24:24">
      <c r="X2179" s="1071"/>
    </row>
    <row r="2180" spans="24:24">
      <c r="X2180" s="1071"/>
    </row>
    <row r="2181" spans="24:24">
      <c r="X2181" s="1071"/>
    </row>
    <row r="2182" spans="24:24">
      <c r="X2182" s="1071"/>
    </row>
    <row r="2183" spans="24:24">
      <c r="X2183" s="1071"/>
    </row>
    <row r="2184" spans="24:24">
      <c r="X2184" s="1071"/>
    </row>
    <row r="2185" spans="24:24">
      <c r="X2185" s="1071"/>
    </row>
    <row r="2186" spans="24:24">
      <c r="X2186" s="1071"/>
    </row>
    <row r="2187" spans="24:24">
      <c r="X2187" s="1071"/>
    </row>
    <row r="2188" spans="24:24">
      <c r="X2188" s="1071"/>
    </row>
    <row r="2189" spans="24:24">
      <c r="X2189" s="1071"/>
    </row>
    <row r="2190" spans="24:24">
      <c r="X2190" s="1071"/>
    </row>
    <row r="2191" spans="24:24">
      <c r="X2191" s="1071"/>
    </row>
    <row r="2192" spans="24:24">
      <c r="X2192" s="1071"/>
    </row>
    <row r="2193" spans="24:24">
      <c r="X2193" s="1071"/>
    </row>
    <row r="2194" spans="24:24">
      <c r="X2194" s="1071"/>
    </row>
    <row r="2195" spans="24:24">
      <c r="X2195" s="1071"/>
    </row>
    <row r="2196" spans="24:24">
      <c r="X2196" s="1071"/>
    </row>
    <row r="2197" spans="24:24">
      <c r="X2197" s="1071"/>
    </row>
    <row r="2198" spans="24:24">
      <c r="X2198" s="1071"/>
    </row>
    <row r="2199" spans="24:24">
      <c r="X2199" s="1071"/>
    </row>
    <row r="2200" spans="24:24">
      <c r="X2200" s="1071"/>
    </row>
    <row r="2201" spans="24:24">
      <c r="X2201" s="1071"/>
    </row>
    <row r="2202" spans="24:24">
      <c r="X2202" s="1071"/>
    </row>
    <row r="2203" spans="24:24">
      <c r="X2203" s="1071"/>
    </row>
    <row r="2204" spans="24:24">
      <c r="X2204" s="1071"/>
    </row>
    <row r="2205" spans="24:24">
      <c r="X2205" s="1071"/>
    </row>
    <row r="2206" spans="24:24">
      <c r="X2206" s="1071"/>
    </row>
    <row r="2207" spans="24:24">
      <c r="X2207" s="1071"/>
    </row>
    <row r="2208" spans="24:24">
      <c r="X2208" s="1071"/>
    </row>
    <row r="2209" spans="24:24">
      <c r="X2209" s="1071"/>
    </row>
    <row r="2210" spans="24:24">
      <c r="X2210" s="1071"/>
    </row>
    <row r="2211" spans="24:24">
      <c r="X2211" s="1071"/>
    </row>
    <row r="2212" spans="24:24">
      <c r="X2212" s="1071"/>
    </row>
    <row r="2213" spans="24:24">
      <c r="X2213" s="1071"/>
    </row>
    <row r="2214" spans="24:24">
      <c r="X2214" s="1071"/>
    </row>
    <row r="2215" spans="24:24">
      <c r="X2215" s="1071"/>
    </row>
    <row r="2216" spans="24:24">
      <c r="X2216" s="1071"/>
    </row>
    <row r="2217" spans="24:24">
      <c r="X2217" s="1071"/>
    </row>
    <row r="2218" spans="24:24">
      <c r="X2218" s="1071"/>
    </row>
    <row r="2219" spans="24:24">
      <c r="X2219" s="1071"/>
    </row>
    <row r="2220" spans="24:24">
      <c r="X2220" s="1071"/>
    </row>
    <row r="2221" spans="24:24">
      <c r="X2221" s="1071"/>
    </row>
    <row r="2222" spans="24:24">
      <c r="X2222" s="1071"/>
    </row>
    <row r="2223" spans="24:24">
      <c r="X2223" s="1071"/>
    </row>
    <row r="2224" spans="24:24">
      <c r="X2224" s="1071"/>
    </row>
    <row r="2225" spans="24:24">
      <c r="X2225" s="1071"/>
    </row>
    <row r="2226" spans="24:24">
      <c r="X2226" s="1071"/>
    </row>
    <row r="2227" spans="24:24">
      <c r="X2227" s="1071"/>
    </row>
    <row r="2228" spans="24:24">
      <c r="X2228" s="1071"/>
    </row>
    <row r="2229" spans="24:24">
      <c r="X2229" s="1071"/>
    </row>
    <row r="2230" spans="24:24">
      <c r="X2230" s="1071"/>
    </row>
    <row r="2231" spans="24:24">
      <c r="X2231" s="1071"/>
    </row>
    <row r="2232" spans="24:24">
      <c r="X2232" s="1071"/>
    </row>
    <row r="2233" spans="24:24">
      <c r="X2233" s="1071"/>
    </row>
    <row r="2234" spans="24:24">
      <c r="X2234" s="1071"/>
    </row>
    <row r="2235" spans="24:24">
      <c r="X2235" s="1071"/>
    </row>
    <row r="2236" spans="24:24">
      <c r="X2236" s="1071"/>
    </row>
    <row r="2237" spans="24:24">
      <c r="X2237" s="1071"/>
    </row>
    <row r="2238" spans="24:24">
      <c r="X2238" s="1071"/>
    </row>
    <row r="2239" spans="24:24">
      <c r="X2239" s="1071"/>
    </row>
    <row r="2240" spans="24:24">
      <c r="X2240" s="1071"/>
    </row>
    <row r="2241" spans="24:24">
      <c r="X2241" s="1071"/>
    </row>
    <row r="2242" spans="24:24">
      <c r="X2242" s="1071"/>
    </row>
    <row r="2243" spans="24:24">
      <c r="X2243" s="1071"/>
    </row>
    <row r="2244" spans="24:24">
      <c r="X2244" s="1071"/>
    </row>
    <row r="2245" spans="24:24">
      <c r="X2245" s="1071"/>
    </row>
    <row r="2246" spans="24:24">
      <c r="X2246" s="1071"/>
    </row>
    <row r="2247" spans="24:24">
      <c r="X2247" s="1071"/>
    </row>
    <row r="2248" spans="24:24">
      <c r="X2248" s="1071"/>
    </row>
    <row r="2249" spans="24:24">
      <c r="X2249" s="1071"/>
    </row>
    <row r="2250" spans="24:24">
      <c r="X2250" s="1071"/>
    </row>
    <row r="2251" spans="24:24">
      <c r="X2251" s="1071"/>
    </row>
    <row r="2252" spans="24:24">
      <c r="X2252" s="1071"/>
    </row>
    <row r="2253" spans="24:24">
      <c r="X2253" s="1071"/>
    </row>
    <row r="2254" spans="24:24">
      <c r="X2254" s="1071"/>
    </row>
    <row r="2255" spans="24:24">
      <c r="X2255" s="1071"/>
    </row>
    <row r="2256" spans="24:24">
      <c r="X2256" s="1071"/>
    </row>
    <row r="2257" spans="24:24">
      <c r="X2257" s="1071"/>
    </row>
    <row r="2258" spans="24:24">
      <c r="X2258" s="1071"/>
    </row>
    <row r="2259" spans="24:24">
      <c r="X2259" s="1071"/>
    </row>
    <row r="2260" spans="24:24">
      <c r="X2260" s="1071"/>
    </row>
    <row r="2261" spans="24:24">
      <c r="X2261" s="1071"/>
    </row>
    <row r="2262" spans="24:24">
      <c r="X2262" s="1071"/>
    </row>
    <row r="2263" spans="24:24">
      <c r="X2263" s="1071"/>
    </row>
    <row r="2264" spans="24:24">
      <c r="X2264" s="1071"/>
    </row>
    <row r="2265" spans="24:24">
      <c r="X2265" s="1071"/>
    </row>
    <row r="2266" spans="24:24">
      <c r="X2266" s="1071"/>
    </row>
    <row r="2267" spans="24:24">
      <c r="X2267" s="1071"/>
    </row>
    <row r="2268" spans="24:24">
      <c r="X2268" s="1071"/>
    </row>
    <row r="2269" spans="24:24">
      <c r="X2269" s="1071"/>
    </row>
    <row r="2270" spans="24:24">
      <c r="X2270" s="1071"/>
    </row>
    <row r="2271" spans="24:24">
      <c r="X2271" s="1071"/>
    </row>
    <row r="2272" spans="24:24">
      <c r="X2272" s="1071"/>
    </row>
    <row r="2273" spans="24:24">
      <c r="X2273" s="1071"/>
    </row>
    <row r="2274" spans="24:24">
      <c r="X2274" s="1071"/>
    </row>
    <row r="2275" spans="24:24">
      <c r="X2275" s="1071"/>
    </row>
    <row r="2276" spans="24:24">
      <c r="X2276" s="1071"/>
    </row>
    <row r="2277" spans="24:24">
      <c r="X2277" s="1071"/>
    </row>
    <row r="2278" spans="24:24">
      <c r="X2278" s="1071"/>
    </row>
    <row r="2279" spans="24:24">
      <c r="X2279" s="1071"/>
    </row>
    <row r="2280" spans="24:24">
      <c r="X2280" s="1071"/>
    </row>
    <row r="2281" spans="24:24">
      <c r="X2281" s="1071"/>
    </row>
    <row r="2282" spans="24:24">
      <c r="X2282" s="1071"/>
    </row>
    <row r="2283" spans="24:24">
      <c r="X2283" s="1071"/>
    </row>
    <row r="2284" spans="24:24">
      <c r="X2284" s="1071"/>
    </row>
    <row r="2285" spans="24:24">
      <c r="X2285" s="1071"/>
    </row>
    <row r="2286" spans="24:24">
      <c r="X2286" s="1071"/>
    </row>
    <row r="2287" spans="24:24">
      <c r="X2287" s="1071"/>
    </row>
    <row r="2288" spans="24:24">
      <c r="X2288" s="1071"/>
    </row>
    <row r="2289" spans="24:24">
      <c r="X2289" s="1071"/>
    </row>
    <row r="2290" spans="24:24">
      <c r="X2290" s="1071"/>
    </row>
    <row r="2291" spans="24:24">
      <c r="X2291" s="1071"/>
    </row>
    <row r="2292" spans="24:24">
      <c r="X2292" s="1071"/>
    </row>
    <row r="2293" spans="24:24">
      <c r="X2293" s="1071"/>
    </row>
    <row r="2294" spans="24:24">
      <c r="X2294" s="1071"/>
    </row>
    <row r="2295" spans="24:24">
      <c r="X2295" s="1071"/>
    </row>
    <row r="2296" spans="24:24">
      <c r="X2296" s="1071"/>
    </row>
    <row r="2297" spans="24:24">
      <c r="X2297" s="1071"/>
    </row>
    <row r="2298" spans="24:24">
      <c r="X2298" s="1071"/>
    </row>
    <row r="2299" spans="24:24">
      <c r="X2299" s="1071"/>
    </row>
    <row r="2300" spans="24:24">
      <c r="X2300" s="1071"/>
    </row>
    <row r="2301" spans="24:24">
      <c r="X2301" s="1071"/>
    </row>
    <row r="2302" spans="24:24">
      <c r="X2302" s="1071"/>
    </row>
    <row r="2303" spans="24:24">
      <c r="X2303" s="1071"/>
    </row>
    <row r="2304" spans="24:24">
      <c r="X2304" s="1071"/>
    </row>
    <row r="2305" spans="24:24">
      <c r="X2305" s="1071"/>
    </row>
    <row r="2306" spans="24:24">
      <c r="X2306" s="1071"/>
    </row>
    <row r="2307" spans="24:24">
      <c r="X2307" s="1071"/>
    </row>
    <row r="2308" spans="24:24">
      <c r="X2308" s="1071"/>
    </row>
    <row r="2309" spans="24:24">
      <c r="X2309" s="1071"/>
    </row>
    <row r="2310" spans="24:24">
      <c r="X2310" s="1071"/>
    </row>
    <row r="2311" spans="24:24">
      <c r="X2311" s="1071"/>
    </row>
    <row r="2312" spans="24:24">
      <c r="X2312" s="1071"/>
    </row>
    <row r="2313" spans="24:24">
      <c r="X2313" s="1071"/>
    </row>
    <row r="2314" spans="24:24">
      <c r="X2314" s="1071"/>
    </row>
    <row r="2315" spans="24:24">
      <c r="X2315" s="1071"/>
    </row>
    <row r="2316" spans="24:24">
      <c r="X2316" s="1071"/>
    </row>
    <row r="2317" spans="24:24">
      <c r="X2317" s="1071"/>
    </row>
    <row r="2318" spans="24:24">
      <c r="X2318" s="1071"/>
    </row>
    <row r="2319" spans="24:24">
      <c r="X2319" s="1071"/>
    </row>
    <row r="2320" spans="24:24">
      <c r="X2320" s="1071"/>
    </row>
    <row r="2321" spans="24:24">
      <c r="X2321" s="1071"/>
    </row>
    <row r="2322" spans="24:24">
      <c r="X2322" s="1071"/>
    </row>
    <row r="2323" spans="24:24">
      <c r="X2323" s="1071"/>
    </row>
    <row r="2324" spans="24:24">
      <c r="X2324" s="1071"/>
    </row>
    <row r="2325" spans="24:24">
      <c r="X2325" s="1071"/>
    </row>
    <row r="2326" spans="24:24">
      <c r="X2326" s="1071"/>
    </row>
    <row r="2327" spans="24:24">
      <c r="X2327" s="1071"/>
    </row>
    <row r="2328" spans="24:24">
      <c r="X2328" s="1071"/>
    </row>
    <row r="2329" spans="24:24">
      <c r="X2329" s="1071"/>
    </row>
    <row r="2330" spans="24:24">
      <c r="X2330" s="1071"/>
    </row>
    <row r="2331" spans="24:24">
      <c r="X2331" s="1071"/>
    </row>
    <row r="2332" spans="24:24">
      <c r="X2332" s="1071"/>
    </row>
    <row r="2333" spans="24:24">
      <c r="X2333" s="1071"/>
    </row>
    <row r="2334" spans="24:24">
      <c r="X2334" s="1071"/>
    </row>
    <row r="2335" spans="24:24">
      <c r="X2335" s="1071"/>
    </row>
    <row r="2336" spans="24:24">
      <c r="X2336" s="1071"/>
    </row>
    <row r="2337" spans="24:24">
      <c r="X2337" s="1071"/>
    </row>
    <row r="2338" spans="24:24">
      <c r="X2338" s="1071"/>
    </row>
    <row r="2339" spans="24:24">
      <c r="X2339" s="1071"/>
    </row>
    <row r="2340" spans="24:24">
      <c r="X2340" s="1071"/>
    </row>
    <row r="2341" spans="24:24">
      <c r="X2341" s="1071"/>
    </row>
    <row r="2342" spans="24:24">
      <c r="X2342" s="1071"/>
    </row>
    <row r="2343" spans="24:24">
      <c r="X2343" s="1071"/>
    </row>
    <row r="2344" spans="24:24">
      <c r="X2344" s="1071"/>
    </row>
    <row r="2345" spans="24:24">
      <c r="X2345" s="1071"/>
    </row>
    <row r="2346" spans="24:24">
      <c r="X2346" s="1071"/>
    </row>
    <row r="2347" spans="24:24">
      <c r="X2347" s="1071"/>
    </row>
    <row r="2348" spans="24:24">
      <c r="X2348" s="1071"/>
    </row>
    <row r="2349" spans="24:24">
      <c r="X2349" s="1071"/>
    </row>
    <row r="2350" spans="24:24">
      <c r="X2350" s="1071"/>
    </row>
    <row r="2351" spans="24:24">
      <c r="X2351" s="1071"/>
    </row>
    <row r="2352" spans="24:24">
      <c r="X2352" s="1071"/>
    </row>
    <row r="2353" spans="24:24">
      <c r="X2353" s="1071"/>
    </row>
    <row r="2354" spans="24:24">
      <c r="X2354" s="1071"/>
    </row>
    <row r="2355" spans="24:24">
      <c r="X2355" s="1071"/>
    </row>
    <row r="2356" spans="24:24">
      <c r="X2356" s="1071"/>
    </row>
    <row r="2357" spans="24:24">
      <c r="X2357" s="1071"/>
    </row>
    <row r="2358" spans="24:24">
      <c r="X2358" s="1071"/>
    </row>
    <row r="2359" spans="24:24">
      <c r="X2359" s="1071"/>
    </row>
    <row r="2360" spans="24:24">
      <c r="X2360" s="1071"/>
    </row>
    <row r="2361" spans="24:24">
      <c r="X2361" s="1071"/>
    </row>
    <row r="2362" spans="24:24">
      <c r="X2362" s="1071"/>
    </row>
    <row r="2363" spans="24:24">
      <c r="X2363" s="1071"/>
    </row>
    <row r="2364" spans="24:24">
      <c r="X2364" s="1071"/>
    </row>
    <row r="2365" spans="24:24">
      <c r="X2365" s="1071"/>
    </row>
    <row r="2366" spans="24:24">
      <c r="X2366" s="1071"/>
    </row>
    <row r="2367" spans="24:24">
      <c r="X2367" s="1071"/>
    </row>
    <row r="2368" spans="24:24">
      <c r="X2368" s="1071"/>
    </row>
    <row r="2369" spans="24:24">
      <c r="X2369" s="1071"/>
    </row>
    <row r="2370" spans="24:24">
      <c r="X2370" s="1071"/>
    </row>
    <row r="2371" spans="24:24">
      <c r="X2371" s="1071"/>
    </row>
    <row r="2372" spans="24:24">
      <c r="X2372" s="1071"/>
    </row>
    <row r="2373" spans="24:24">
      <c r="X2373" s="1071"/>
    </row>
    <row r="2374" spans="24:24">
      <c r="X2374" s="1071"/>
    </row>
    <row r="2375" spans="24:24">
      <c r="X2375" s="1071"/>
    </row>
    <row r="2376" spans="24:24">
      <c r="X2376" s="1071"/>
    </row>
    <row r="2377" spans="24:24">
      <c r="X2377" s="1071"/>
    </row>
    <row r="2378" spans="24:24">
      <c r="X2378" s="1071"/>
    </row>
    <row r="2379" spans="24:24">
      <c r="X2379" s="1071"/>
    </row>
    <row r="2380" spans="24:24">
      <c r="X2380" s="1071"/>
    </row>
    <row r="2381" spans="24:24">
      <c r="X2381" s="1071"/>
    </row>
    <row r="2382" spans="24:24">
      <c r="X2382" s="1071"/>
    </row>
    <row r="2383" spans="24:24">
      <c r="X2383" s="1071"/>
    </row>
    <row r="2384" spans="24:24">
      <c r="X2384" s="1071"/>
    </row>
    <row r="2385" spans="24:24">
      <c r="X2385" s="1071"/>
    </row>
    <row r="2386" spans="24:24">
      <c r="X2386" s="1071"/>
    </row>
    <row r="2387" spans="24:24">
      <c r="X2387" s="1071"/>
    </row>
    <row r="2388" spans="24:24">
      <c r="X2388" s="1071"/>
    </row>
    <row r="2389" spans="24:24">
      <c r="X2389" s="1071"/>
    </row>
    <row r="2390" spans="24:24">
      <c r="X2390" s="1071"/>
    </row>
    <row r="2391" spans="24:24">
      <c r="X2391" s="1071"/>
    </row>
    <row r="2392" spans="24:24">
      <c r="X2392" s="1071"/>
    </row>
    <row r="2393" spans="24:24">
      <c r="X2393" s="1071"/>
    </row>
    <row r="2394" spans="24:24">
      <c r="X2394" s="1071"/>
    </row>
    <row r="2395" spans="24:24">
      <c r="X2395" s="1071"/>
    </row>
    <row r="2396" spans="24:24">
      <c r="X2396" s="1071"/>
    </row>
    <row r="2397" spans="24:24">
      <c r="X2397" s="1071"/>
    </row>
    <row r="2398" spans="24:24">
      <c r="X2398" s="1071"/>
    </row>
    <row r="2399" spans="24:24">
      <c r="X2399" s="1071"/>
    </row>
    <row r="2400" spans="24:24">
      <c r="X2400" s="1071"/>
    </row>
    <row r="2401" spans="24:24">
      <c r="X2401" s="1071"/>
    </row>
    <row r="2402" spans="24:24">
      <c r="X2402" s="1071"/>
    </row>
    <row r="2403" spans="24:24">
      <c r="X2403" s="1071"/>
    </row>
    <row r="2404" spans="24:24">
      <c r="X2404" s="1071"/>
    </row>
    <row r="2405" spans="24:24">
      <c r="X2405" s="1071"/>
    </row>
    <row r="2406" spans="24:24">
      <c r="X2406" s="1071"/>
    </row>
    <row r="2407" spans="24:24">
      <c r="X2407" s="1071"/>
    </row>
    <row r="2408" spans="24:24">
      <c r="X2408" s="1071"/>
    </row>
    <row r="2409" spans="24:24">
      <c r="X2409" s="1071"/>
    </row>
    <row r="2410" spans="24:24">
      <c r="X2410" s="1071"/>
    </row>
    <row r="2411" spans="24:24">
      <c r="X2411" s="1071"/>
    </row>
    <row r="2412" spans="24:24">
      <c r="X2412" s="1071"/>
    </row>
    <row r="2413" spans="24:24">
      <c r="X2413" s="1071"/>
    </row>
    <row r="2414" spans="24:24">
      <c r="X2414" s="1071"/>
    </row>
    <row r="2415" spans="24:24">
      <c r="X2415" s="1071"/>
    </row>
    <row r="2416" spans="24:24">
      <c r="X2416" s="1071"/>
    </row>
    <row r="2417" spans="24:24">
      <c r="X2417" s="1071"/>
    </row>
    <row r="2418" spans="24:24">
      <c r="X2418" s="1071"/>
    </row>
    <row r="2419" spans="24:24">
      <c r="X2419" s="1071"/>
    </row>
    <row r="2420" spans="24:24">
      <c r="X2420" s="1071"/>
    </row>
    <row r="2421" spans="24:24">
      <c r="X2421" s="1071"/>
    </row>
    <row r="2422" spans="24:24">
      <c r="X2422" s="1071"/>
    </row>
    <row r="2423" spans="24:24">
      <c r="X2423" s="1071"/>
    </row>
    <row r="2424" spans="24:24">
      <c r="X2424" s="1071"/>
    </row>
    <row r="2425" spans="24:24">
      <c r="X2425" s="1071"/>
    </row>
    <row r="2426" spans="24:24">
      <c r="X2426" s="1071"/>
    </row>
    <row r="2427" spans="24:24">
      <c r="X2427" s="1071"/>
    </row>
    <row r="2428" spans="24:24">
      <c r="X2428" s="1071"/>
    </row>
    <row r="2429" spans="24:24">
      <c r="X2429" s="1071"/>
    </row>
    <row r="2430" spans="24:24">
      <c r="X2430" s="1071"/>
    </row>
    <row r="2431" spans="24:24">
      <c r="X2431" s="1071"/>
    </row>
    <row r="2432" spans="24:24">
      <c r="X2432" s="1071"/>
    </row>
    <row r="2433" spans="24:24">
      <c r="X2433" s="1071"/>
    </row>
    <row r="2434" spans="24:24">
      <c r="X2434" s="1071"/>
    </row>
    <row r="2435" spans="24:24">
      <c r="X2435" s="1071"/>
    </row>
    <row r="2436" spans="24:24">
      <c r="X2436" s="1071"/>
    </row>
    <row r="2437" spans="24:24">
      <c r="X2437" s="1071"/>
    </row>
    <row r="2438" spans="24:24">
      <c r="X2438" s="1071"/>
    </row>
    <row r="2439" spans="24:24">
      <c r="X2439" s="1071"/>
    </row>
    <row r="2440" spans="24:24">
      <c r="X2440" s="1071"/>
    </row>
    <row r="2441" spans="24:24">
      <c r="X2441" s="1071"/>
    </row>
    <row r="2442" spans="24:24">
      <c r="X2442" s="1071"/>
    </row>
    <row r="2443" spans="24:24">
      <c r="X2443" s="1071"/>
    </row>
    <row r="2444" spans="24:24">
      <c r="X2444" s="1071"/>
    </row>
    <row r="2445" spans="24:24">
      <c r="X2445" s="1071"/>
    </row>
    <row r="2446" spans="24:24">
      <c r="X2446" s="1071"/>
    </row>
    <row r="2447" spans="24:24">
      <c r="X2447" s="1071"/>
    </row>
    <row r="2448" spans="24:24">
      <c r="X2448" s="1071"/>
    </row>
    <row r="2449" spans="24:24">
      <c r="X2449" s="1071"/>
    </row>
    <row r="2450" spans="24:24">
      <c r="X2450" s="1071"/>
    </row>
    <row r="2451" spans="24:24">
      <c r="X2451" s="1071"/>
    </row>
    <row r="2452" spans="24:24">
      <c r="X2452" s="1071"/>
    </row>
    <row r="2453" spans="24:24">
      <c r="X2453" s="1071"/>
    </row>
    <row r="2454" spans="24:24">
      <c r="X2454" s="1071"/>
    </row>
    <row r="2455" spans="24:24">
      <c r="X2455" s="1071"/>
    </row>
    <row r="2456" spans="24:24">
      <c r="X2456" s="1071"/>
    </row>
    <row r="2457" spans="24:24">
      <c r="X2457" s="1071"/>
    </row>
    <row r="2458" spans="24:24">
      <c r="X2458" s="1071"/>
    </row>
    <row r="2459" spans="24:24">
      <c r="X2459" s="1071"/>
    </row>
    <row r="2460" spans="24:24">
      <c r="X2460" s="1071"/>
    </row>
    <row r="2461" spans="24:24">
      <c r="X2461" s="1071"/>
    </row>
    <row r="2462" spans="24:24">
      <c r="X2462" s="1071"/>
    </row>
    <row r="2463" spans="24:24">
      <c r="X2463" s="1071"/>
    </row>
    <row r="2464" spans="24:24">
      <c r="X2464" s="1071"/>
    </row>
    <row r="2465" spans="24:24">
      <c r="X2465" s="1071"/>
    </row>
    <row r="2466" spans="24:24">
      <c r="X2466" s="1071"/>
    </row>
    <row r="2467" spans="24:24">
      <c r="X2467" s="1071"/>
    </row>
    <row r="2468" spans="24:24">
      <c r="X2468" s="1071"/>
    </row>
    <row r="2469" spans="24:24">
      <c r="X2469" s="1071"/>
    </row>
    <row r="2470" spans="24:24">
      <c r="X2470" s="1071"/>
    </row>
    <row r="2471" spans="24:24">
      <c r="X2471" s="1071"/>
    </row>
    <row r="2472" spans="24:24">
      <c r="X2472" s="1071"/>
    </row>
    <row r="2473" spans="24:24">
      <c r="X2473" s="1071"/>
    </row>
    <row r="2474" spans="24:24">
      <c r="X2474" s="1071"/>
    </row>
    <row r="2475" spans="24:24">
      <c r="X2475" s="1071"/>
    </row>
    <row r="2476" spans="24:24">
      <c r="X2476" s="1071"/>
    </row>
    <row r="2477" spans="24:24">
      <c r="X2477" s="1071"/>
    </row>
    <row r="2478" spans="24:24">
      <c r="X2478" s="1071"/>
    </row>
    <row r="2479" spans="24:24">
      <c r="X2479" s="1071"/>
    </row>
    <row r="2480" spans="24:24">
      <c r="X2480" s="1071"/>
    </row>
    <row r="2481" spans="24:24">
      <c r="X2481" s="1071"/>
    </row>
    <row r="2482" spans="24:24">
      <c r="X2482" s="1071"/>
    </row>
    <row r="2483" spans="24:24">
      <c r="X2483" s="1071"/>
    </row>
    <row r="2484" spans="24:24">
      <c r="X2484" s="1071"/>
    </row>
    <row r="2485" spans="24:24">
      <c r="X2485" s="1071"/>
    </row>
    <row r="2486" spans="24:24">
      <c r="X2486" s="1071"/>
    </row>
    <row r="2487" spans="24:24">
      <c r="X2487" s="1071"/>
    </row>
    <row r="2488" spans="24:24">
      <c r="X2488" s="1071"/>
    </row>
    <row r="2489" spans="24:24">
      <c r="X2489" s="1071"/>
    </row>
    <row r="2490" spans="24:24">
      <c r="X2490" s="1071"/>
    </row>
    <row r="2491" spans="24:24">
      <c r="X2491" s="1071"/>
    </row>
    <row r="2492" spans="24:24">
      <c r="X2492" s="1071"/>
    </row>
    <row r="2493" spans="24:24">
      <c r="X2493" s="1071"/>
    </row>
    <row r="2494" spans="24:24">
      <c r="X2494" s="1071"/>
    </row>
    <row r="2495" spans="24:24">
      <c r="X2495" s="1071"/>
    </row>
    <row r="2496" spans="24:24">
      <c r="X2496" s="1071"/>
    </row>
    <row r="2497" spans="24:24">
      <c r="X2497" s="1071"/>
    </row>
    <row r="2498" spans="24:24">
      <c r="X2498" s="1071"/>
    </row>
    <row r="2499" spans="24:24">
      <c r="X2499" s="1071"/>
    </row>
    <row r="2500" spans="24:24">
      <c r="X2500" s="1071"/>
    </row>
    <row r="2501" spans="24:24">
      <c r="X2501" s="1071"/>
    </row>
    <row r="2502" spans="24:24">
      <c r="X2502" s="1071"/>
    </row>
    <row r="2503" spans="24:24">
      <c r="X2503" s="1071"/>
    </row>
    <row r="2504" spans="24:24">
      <c r="X2504" s="1071"/>
    </row>
    <row r="2505" spans="24:24">
      <c r="X2505" s="1071"/>
    </row>
    <row r="2506" spans="24:24">
      <c r="X2506" s="1071"/>
    </row>
    <row r="2507" spans="24:24">
      <c r="X2507" s="1071"/>
    </row>
    <row r="2508" spans="24:24">
      <c r="X2508" s="1071"/>
    </row>
    <row r="2509" spans="24:24">
      <c r="X2509" s="1071"/>
    </row>
    <row r="2510" spans="24:24">
      <c r="X2510" s="1071"/>
    </row>
    <row r="2511" spans="24:24">
      <c r="X2511" s="1071"/>
    </row>
    <row r="2512" spans="24:24">
      <c r="X2512" s="1071"/>
    </row>
    <row r="2513" spans="24:24">
      <c r="X2513" s="1071"/>
    </row>
    <row r="2514" spans="24:24">
      <c r="X2514" s="1071"/>
    </row>
    <row r="2515" spans="24:24">
      <c r="X2515" s="1071"/>
    </row>
    <row r="2516" spans="24:24">
      <c r="X2516" s="1071"/>
    </row>
    <row r="2517" spans="24:24">
      <c r="X2517" s="1071"/>
    </row>
    <row r="2518" spans="24:24">
      <c r="X2518" s="1071"/>
    </row>
    <row r="2519" spans="24:24">
      <c r="X2519" s="1071"/>
    </row>
    <row r="2520" spans="24:24">
      <c r="X2520" s="1071"/>
    </row>
    <row r="2521" spans="24:24">
      <c r="X2521" s="1071"/>
    </row>
    <row r="2522" spans="24:24">
      <c r="X2522" s="1071"/>
    </row>
    <row r="2523" spans="24:24">
      <c r="X2523" s="1071"/>
    </row>
    <row r="2524" spans="24:24">
      <c r="X2524" s="1071"/>
    </row>
    <row r="2525" spans="24:24">
      <c r="X2525" s="1071"/>
    </row>
    <row r="2526" spans="24:24">
      <c r="X2526" s="1071"/>
    </row>
    <row r="2527" spans="24:24">
      <c r="X2527" s="1071"/>
    </row>
    <row r="2528" spans="24:24">
      <c r="X2528" s="1071"/>
    </row>
    <row r="2529" spans="24:24">
      <c r="X2529" s="1071"/>
    </row>
    <row r="2530" spans="24:24">
      <c r="X2530" s="1071"/>
    </row>
    <row r="2531" spans="24:24">
      <c r="X2531" s="1071"/>
    </row>
    <row r="2532" spans="24:24">
      <c r="X2532" s="1071"/>
    </row>
    <row r="2533" spans="24:24">
      <c r="X2533" s="1071"/>
    </row>
    <row r="2534" spans="24:24">
      <c r="X2534" s="1071"/>
    </row>
    <row r="2535" spans="24:24">
      <c r="X2535" s="1071"/>
    </row>
    <row r="2536" spans="24:24">
      <c r="X2536" s="1071"/>
    </row>
    <row r="2537" spans="24:24">
      <c r="X2537" s="1071"/>
    </row>
    <row r="2538" spans="24:24">
      <c r="X2538" s="1071"/>
    </row>
    <row r="2539" spans="24:24">
      <c r="X2539" s="1071"/>
    </row>
    <row r="2540" spans="24:24">
      <c r="X2540" s="1071"/>
    </row>
    <row r="2541" spans="24:24">
      <c r="X2541" s="1071"/>
    </row>
    <row r="2542" spans="24:24">
      <c r="X2542" s="1071"/>
    </row>
    <row r="2543" spans="24:24">
      <c r="X2543" s="1071"/>
    </row>
    <row r="2544" spans="24:24">
      <c r="X2544" s="1071"/>
    </row>
    <row r="2545" spans="24:24">
      <c r="X2545" s="1071"/>
    </row>
    <row r="2546" spans="24:24">
      <c r="X2546" s="1071"/>
    </row>
    <row r="2547" spans="24:24">
      <c r="X2547" s="1071"/>
    </row>
    <row r="2548" spans="24:24">
      <c r="X2548" s="1071"/>
    </row>
    <row r="2549" spans="24:24">
      <c r="X2549" s="1071"/>
    </row>
    <row r="2550" spans="24:24">
      <c r="X2550" s="1071"/>
    </row>
    <row r="2551" spans="24:24">
      <c r="X2551" s="1071"/>
    </row>
    <row r="2552" spans="24:24">
      <c r="X2552" s="1071"/>
    </row>
    <row r="2553" spans="24:24">
      <c r="X2553" s="1071"/>
    </row>
    <row r="2554" spans="24:24">
      <c r="X2554" s="1071"/>
    </row>
    <row r="2555" spans="24:24">
      <c r="X2555" s="1071"/>
    </row>
    <row r="2556" spans="24:24">
      <c r="X2556" s="1071"/>
    </row>
    <row r="2557" spans="24:24">
      <c r="X2557" s="1071"/>
    </row>
    <row r="2558" spans="24:24">
      <c r="X2558" s="1071"/>
    </row>
    <row r="2559" spans="24:24">
      <c r="X2559" s="1071"/>
    </row>
    <row r="2560" spans="24:24">
      <c r="X2560" s="1071"/>
    </row>
    <row r="2561" spans="24:24">
      <c r="X2561" s="1071"/>
    </row>
    <row r="2562" spans="24:24">
      <c r="X2562" s="1071"/>
    </row>
    <row r="2563" spans="24:24">
      <c r="X2563" s="1071"/>
    </row>
    <row r="2564" spans="24:24">
      <c r="X2564" s="1071"/>
    </row>
    <row r="2565" spans="24:24">
      <c r="X2565" s="1071"/>
    </row>
    <row r="2566" spans="24:24">
      <c r="X2566" s="1071"/>
    </row>
    <row r="2567" spans="24:24">
      <c r="X2567" s="1071"/>
    </row>
    <row r="2568" spans="24:24">
      <c r="X2568" s="1071"/>
    </row>
    <row r="2569" spans="24:24">
      <c r="X2569" s="1071"/>
    </row>
    <row r="2570" spans="24:24">
      <c r="X2570" s="1071"/>
    </row>
    <row r="2571" spans="24:24">
      <c r="X2571" s="1071"/>
    </row>
    <row r="2572" spans="24:24">
      <c r="X2572" s="1071"/>
    </row>
    <row r="2573" spans="24:24">
      <c r="X2573" s="1071"/>
    </row>
    <row r="2574" spans="24:24">
      <c r="X2574" s="1071"/>
    </row>
    <row r="2575" spans="24:24">
      <c r="X2575" s="1071"/>
    </row>
    <row r="2576" spans="24:24">
      <c r="X2576" s="1071"/>
    </row>
    <row r="2577" spans="24:24">
      <c r="X2577" s="1071"/>
    </row>
    <row r="2578" spans="24:24">
      <c r="X2578" s="1071"/>
    </row>
    <row r="2579" spans="24:24">
      <c r="X2579" s="1071"/>
    </row>
    <row r="2580" spans="24:24">
      <c r="X2580" s="1071"/>
    </row>
    <row r="2581" spans="24:24">
      <c r="X2581" s="1071"/>
    </row>
    <row r="2582" spans="24:24">
      <c r="X2582" s="1071"/>
    </row>
    <row r="2583" spans="24:24">
      <c r="X2583" s="1071"/>
    </row>
    <row r="2584" spans="24:24">
      <c r="X2584" s="1071"/>
    </row>
    <row r="2585" spans="24:24">
      <c r="X2585" s="1071"/>
    </row>
    <row r="2586" spans="24:24">
      <c r="X2586" s="1071"/>
    </row>
    <row r="2587" spans="24:24">
      <c r="X2587" s="1071"/>
    </row>
    <row r="2588" spans="24:24">
      <c r="X2588" s="1071"/>
    </row>
    <row r="2589" spans="24:24">
      <c r="X2589" s="1071"/>
    </row>
    <row r="2590" spans="24:24">
      <c r="X2590" s="1071"/>
    </row>
    <row r="2591" spans="24:24">
      <c r="X2591" s="1071"/>
    </row>
    <row r="2592" spans="24:24">
      <c r="X2592" s="1071"/>
    </row>
    <row r="2593" spans="24:24">
      <c r="X2593" s="1071"/>
    </row>
    <row r="2594" spans="24:24">
      <c r="X2594" s="1071"/>
    </row>
    <row r="2595" spans="24:24">
      <c r="X2595" s="1071"/>
    </row>
    <row r="2596" spans="24:24">
      <c r="X2596" s="1071"/>
    </row>
    <row r="2597" spans="24:24">
      <c r="X2597" s="1071"/>
    </row>
    <row r="2598" spans="24:24">
      <c r="X2598" s="1071"/>
    </row>
    <row r="2599" spans="24:24">
      <c r="X2599" s="1071"/>
    </row>
    <row r="2600" spans="24:24">
      <c r="X2600" s="1071"/>
    </row>
    <row r="2601" spans="24:24">
      <c r="X2601" s="1071"/>
    </row>
    <row r="2602" spans="24:24">
      <c r="X2602" s="1071"/>
    </row>
    <row r="2603" spans="24:24">
      <c r="X2603" s="1071"/>
    </row>
    <row r="2604" spans="24:24">
      <c r="X2604" s="1071"/>
    </row>
    <row r="2605" spans="24:24">
      <c r="X2605" s="1071"/>
    </row>
    <row r="2606" spans="24:24">
      <c r="X2606" s="1071"/>
    </row>
    <row r="2607" spans="24:24">
      <c r="X2607" s="1071"/>
    </row>
    <row r="2608" spans="24:24">
      <c r="X2608" s="1071"/>
    </row>
    <row r="2609" spans="24:24">
      <c r="X2609" s="1071"/>
    </row>
    <row r="2610" spans="24:24">
      <c r="X2610" s="1071"/>
    </row>
    <row r="2611" spans="24:24">
      <c r="X2611" s="1071"/>
    </row>
    <row r="2612" spans="24:24">
      <c r="X2612" s="1071"/>
    </row>
    <row r="2613" spans="24:24">
      <c r="X2613" s="1071"/>
    </row>
    <row r="2614" spans="24:24">
      <c r="X2614" s="1071"/>
    </row>
    <row r="2615" spans="24:24">
      <c r="X2615" s="1071"/>
    </row>
    <row r="2616" spans="24:24">
      <c r="X2616" s="1071"/>
    </row>
    <row r="2617" spans="24:24">
      <c r="X2617" s="1071"/>
    </row>
    <row r="2618" spans="24:24">
      <c r="X2618" s="1071"/>
    </row>
    <row r="2619" spans="24:24">
      <c r="X2619" s="1071"/>
    </row>
    <row r="2620" spans="24:24">
      <c r="X2620" s="1071"/>
    </row>
    <row r="2621" spans="24:24">
      <c r="X2621" s="1071"/>
    </row>
    <row r="2622" spans="24:24">
      <c r="X2622" s="1071"/>
    </row>
    <row r="2623" spans="24:24">
      <c r="X2623" s="1071"/>
    </row>
    <row r="2624" spans="24:24">
      <c r="X2624" s="1071"/>
    </row>
    <row r="2625" spans="24:24">
      <c r="X2625" s="1071"/>
    </row>
    <row r="2626" spans="24:24">
      <c r="X2626" s="1071"/>
    </row>
    <row r="2627" spans="24:24">
      <c r="X2627" s="1071"/>
    </row>
    <row r="2628" spans="24:24">
      <c r="X2628" s="1071"/>
    </row>
    <row r="2629" spans="24:24">
      <c r="X2629" s="1071"/>
    </row>
    <row r="2630" spans="24:24">
      <c r="X2630" s="1071"/>
    </row>
    <row r="2631" spans="24:24">
      <c r="X2631" s="1071"/>
    </row>
    <row r="2632" spans="24:24">
      <c r="X2632" s="1071"/>
    </row>
    <row r="2633" spans="24:24">
      <c r="X2633" s="1071"/>
    </row>
    <row r="2634" spans="24:24">
      <c r="X2634" s="1071"/>
    </row>
    <row r="2635" spans="24:24">
      <c r="X2635" s="1071"/>
    </row>
    <row r="2636" spans="24:24">
      <c r="X2636" s="1071"/>
    </row>
    <row r="2637" spans="24:24">
      <c r="X2637" s="1071"/>
    </row>
    <row r="2638" spans="24:24">
      <c r="X2638" s="1071"/>
    </row>
    <row r="2639" spans="24:24">
      <c r="X2639" s="1071"/>
    </row>
    <row r="2640" spans="24:24">
      <c r="X2640" s="1071"/>
    </row>
    <row r="2641" spans="24:24">
      <c r="X2641" s="1071"/>
    </row>
    <row r="2642" spans="24:24">
      <c r="X2642" s="1071"/>
    </row>
    <row r="2643" spans="24:24">
      <c r="X2643" s="1071"/>
    </row>
    <row r="2644" spans="24:24">
      <c r="X2644" s="1071"/>
    </row>
    <row r="2645" spans="24:24">
      <c r="X2645" s="1071"/>
    </row>
    <row r="2646" spans="24:24">
      <c r="X2646" s="1071"/>
    </row>
    <row r="2647" spans="24:24">
      <c r="X2647" s="1071"/>
    </row>
    <row r="2648" spans="24:24">
      <c r="X2648" s="1071"/>
    </row>
    <row r="2649" spans="24:24">
      <c r="X2649" s="1071"/>
    </row>
    <row r="2650" spans="24:24">
      <c r="X2650" s="1071"/>
    </row>
    <row r="2651" spans="24:24">
      <c r="X2651" s="1071"/>
    </row>
    <row r="2652" spans="24:24">
      <c r="X2652" s="1071"/>
    </row>
    <row r="2653" spans="24:24">
      <c r="X2653" s="1071"/>
    </row>
    <row r="2654" spans="24:24">
      <c r="X2654" s="1071"/>
    </row>
    <row r="2655" spans="24:24">
      <c r="X2655" s="1071"/>
    </row>
    <row r="2656" spans="24:24">
      <c r="X2656" s="1071"/>
    </row>
    <row r="2657" spans="24:24">
      <c r="X2657" s="1071"/>
    </row>
    <row r="2658" spans="24:24">
      <c r="X2658" s="1071"/>
    </row>
    <row r="2659" spans="24:24">
      <c r="X2659" s="1071"/>
    </row>
    <row r="2660" spans="24:24">
      <c r="X2660" s="1071"/>
    </row>
    <row r="2661" spans="24:24">
      <c r="X2661" s="1071"/>
    </row>
    <row r="2662" spans="24:24">
      <c r="X2662" s="1071"/>
    </row>
    <row r="2663" spans="24:24">
      <c r="X2663" s="1071"/>
    </row>
    <row r="2664" spans="24:24">
      <c r="X2664" s="1071"/>
    </row>
    <row r="2665" spans="24:24">
      <c r="X2665" s="1071"/>
    </row>
    <row r="2666" spans="24:24">
      <c r="X2666" s="1071"/>
    </row>
    <row r="2667" spans="24:24">
      <c r="X2667" s="1071"/>
    </row>
    <row r="2668" spans="24:24">
      <c r="X2668" s="1071"/>
    </row>
    <row r="2669" spans="24:24">
      <c r="X2669" s="1071"/>
    </row>
    <row r="2670" spans="24:24">
      <c r="X2670" s="1071"/>
    </row>
    <row r="2671" spans="24:24">
      <c r="X2671" s="1071"/>
    </row>
    <row r="2672" spans="24:24">
      <c r="X2672" s="1071"/>
    </row>
    <row r="2673" spans="24:24">
      <c r="X2673" s="1071"/>
    </row>
    <row r="2674" spans="24:24">
      <c r="X2674" s="1071"/>
    </row>
    <row r="2675" spans="24:24">
      <c r="X2675" s="1071"/>
    </row>
    <row r="2676" spans="24:24">
      <c r="X2676" s="1071"/>
    </row>
    <row r="2677" spans="24:24">
      <c r="X2677" s="1071"/>
    </row>
    <row r="2678" spans="24:24">
      <c r="X2678" s="1071"/>
    </row>
    <row r="2679" spans="24:24">
      <c r="X2679" s="1071"/>
    </row>
    <row r="2680" spans="24:24">
      <c r="X2680" s="1071"/>
    </row>
    <row r="2681" spans="24:24">
      <c r="X2681" s="1071"/>
    </row>
    <row r="2682" spans="24:24">
      <c r="X2682" s="1071"/>
    </row>
    <row r="2683" spans="24:24">
      <c r="X2683" s="1071"/>
    </row>
    <row r="2684" spans="24:24">
      <c r="X2684" s="1071"/>
    </row>
    <row r="2685" spans="24:24">
      <c r="X2685" s="1071"/>
    </row>
    <row r="2686" spans="24:24">
      <c r="X2686" s="1071"/>
    </row>
    <row r="2687" spans="24:24">
      <c r="X2687" s="1071"/>
    </row>
    <row r="2688" spans="24:24">
      <c r="X2688" s="1071"/>
    </row>
    <row r="2689" spans="24:24">
      <c r="X2689" s="1071"/>
    </row>
    <row r="2690" spans="24:24">
      <c r="X2690" s="1071"/>
    </row>
    <row r="2691" spans="24:24">
      <c r="X2691" s="1071"/>
    </row>
    <row r="2692" spans="24:24">
      <c r="X2692" s="1071"/>
    </row>
    <row r="2693" spans="24:24">
      <c r="X2693" s="1071"/>
    </row>
    <row r="2694" spans="24:24">
      <c r="X2694" s="1071"/>
    </row>
    <row r="2695" spans="24:24">
      <c r="X2695" s="1071"/>
    </row>
    <row r="2696" spans="24:24">
      <c r="X2696" s="1071"/>
    </row>
    <row r="2697" spans="24:24">
      <c r="X2697" s="1071"/>
    </row>
    <row r="2698" spans="24:24">
      <c r="X2698" s="1071"/>
    </row>
    <row r="2699" spans="24:24">
      <c r="X2699" s="1071"/>
    </row>
    <row r="2700" spans="24:24">
      <c r="X2700" s="1071"/>
    </row>
    <row r="2701" spans="24:24">
      <c r="X2701" s="1071"/>
    </row>
    <row r="2702" spans="24:24">
      <c r="X2702" s="1071"/>
    </row>
    <row r="2703" spans="24:24">
      <c r="X2703" s="1071"/>
    </row>
    <row r="2704" spans="24:24">
      <c r="X2704" s="1071"/>
    </row>
    <row r="2705" spans="24:24">
      <c r="X2705" s="1071"/>
    </row>
    <row r="2706" spans="24:24">
      <c r="X2706" s="1071"/>
    </row>
    <row r="2707" spans="24:24">
      <c r="X2707" s="1071"/>
    </row>
    <row r="2708" spans="24:24">
      <c r="X2708" s="1071"/>
    </row>
    <row r="2709" spans="24:24">
      <c r="X2709" s="1071"/>
    </row>
    <row r="2710" spans="24:24">
      <c r="X2710" s="1071"/>
    </row>
    <row r="2711" spans="24:24">
      <c r="X2711" s="1071"/>
    </row>
    <row r="2712" spans="24:24">
      <c r="X2712" s="1071"/>
    </row>
    <row r="2713" spans="24:24">
      <c r="X2713" s="1071"/>
    </row>
    <row r="2714" spans="24:24">
      <c r="X2714" s="1071"/>
    </row>
    <row r="2715" spans="24:24">
      <c r="X2715" s="1071"/>
    </row>
    <row r="2716" spans="24:24">
      <c r="X2716" s="1071"/>
    </row>
    <row r="2717" spans="24:24">
      <c r="X2717" s="1071"/>
    </row>
    <row r="2718" spans="24:24">
      <c r="X2718" s="1071"/>
    </row>
    <row r="2719" spans="24:24">
      <c r="X2719" s="1071"/>
    </row>
    <row r="2720" spans="24:24">
      <c r="X2720" s="1071"/>
    </row>
    <row r="2721" spans="24:24">
      <c r="X2721" s="1071"/>
    </row>
    <row r="2722" spans="24:24">
      <c r="X2722" s="1071"/>
    </row>
    <row r="2723" spans="24:24">
      <c r="X2723" s="1071"/>
    </row>
    <row r="2724" spans="24:24">
      <c r="X2724" s="1071"/>
    </row>
    <row r="2725" spans="24:24">
      <c r="X2725" s="1071"/>
    </row>
    <row r="2726" spans="24:24">
      <c r="X2726" s="1071"/>
    </row>
    <row r="2727" spans="24:24">
      <c r="X2727" s="1071"/>
    </row>
    <row r="2728" spans="24:24">
      <c r="X2728" s="1071"/>
    </row>
    <row r="2729" spans="24:24">
      <c r="X2729" s="1071"/>
    </row>
    <row r="2730" spans="24:24">
      <c r="X2730" s="1071"/>
    </row>
    <row r="2731" spans="24:24">
      <c r="X2731" s="1071"/>
    </row>
    <row r="2732" spans="24:24">
      <c r="X2732" s="1071"/>
    </row>
    <row r="2733" spans="24:24">
      <c r="X2733" s="1071"/>
    </row>
    <row r="2734" spans="24:24">
      <c r="X2734" s="1071"/>
    </row>
    <row r="2735" spans="24:24">
      <c r="X2735" s="1071"/>
    </row>
    <row r="2736" spans="24:24">
      <c r="X2736" s="1071"/>
    </row>
    <row r="2737" spans="24:24">
      <c r="X2737" s="1071"/>
    </row>
    <row r="2738" spans="24:24">
      <c r="X2738" s="1071"/>
    </row>
    <row r="2739" spans="24:24">
      <c r="X2739" s="1071"/>
    </row>
    <row r="2740" spans="24:24">
      <c r="X2740" s="1071"/>
    </row>
    <row r="2741" spans="24:24">
      <c r="X2741" s="1071"/>
    </row>
    <row r="2742" spans="24:24">
      <c r="X2742" s="1071"/>
    </row>
    <row r="2743" spans="24:24">
      <c r="X2743" s="1071"/>
    </row>
    <row r="2744" spans="24:24">
      <c r="X2744" s="1071"/>
    </row>
    <row r="2745" spans="24:24">
      <c r="X2745" s="1071"/>
    </row>
    <row r="2746" spans="24:24">
      <c r="X2746" s="1071"/>
    </row>
    <row r="2747" spans="24:24">
      <c r="X2747" s="1071"/>
    </row>
    <row r="2748" spans="24:24">
      <c r="X2748" s="1071"/>
    </row>
    <row r="2749" spans="24:24">
      <c r="X2749" s="1071"/>
    </row>
    <row r="2750" spans="24:24">
      <c r="X2750" s="1071"/>
    </row>
    <row r="2751" spans="24:24">
      <c r="X2751" s="1071"/>
    </row>
    <row r="2752" spans="24:24">
      <c r="X2752" s="1071"/>
    </row>
    <row r="2753" spans="24:24">
      <c r="X2753" s="1071"/>
    </row>
    <row r="2754" spans="24:24">
      <c r="X2754" s="1071"/>
    </row>
    <row r="2755" spans="24:24">
      <c r="X2755" s="1071"/>
    </row>
    <row r="2756" spans="24:24">
      <c r="X2756" s="1071"/>
    </row>
    <row r="2757" spans="24:24">
      <c r="X2757" s="1071"/>
    </row>
    <row r="2758" spans="24:24">
      <c r="X2758" s="1071"/>
    </row>
    <row r="2759" spans="24:24">
      <c r="X2759" s="1071"/>
    </row>
    <row r="2760" spans="24:24">
      <c r="X2760" s="1071"/>
    </row>
    <row r="2761" spans="24:24">
      <c r="X2761" s="1071"/>
    </row>
    <row r="2762" spans="24:24">
      <c r="X2762" s="1071"/>
    </row>
    <row r="2763" spans="24:24">
      <c r="X2763" s="1071"/>
    </row>
    <row r="2764" spans="24:24">
      <c r="X2764" s="1071"/>
    </row>
    <row r="2765" spans="24:24">
      <c r="X2765" s="1071"/>
    </row>
    <row r="2766" spans="24:24">
      <c r="X2766" s="1071"/>
    </row>
    <row r="2767" spans="24:24">
      <c r="X2767" s="1071"/>
    </row>
    <row r="2768" spans="24:24">
      <c r="X2768" s="1071"/>
    </row>
    <row r="2769" spans="24:24">
      <c r="X2769" s="1071"/>
    </row>
    <row r="2770" spans="24:24">
      <c r="X2770" s="1071"/>
    </row>
    <row r="2771" spans="24:24">
      <c r="X2771" s="1071"/>
    </row>
    <row r="2772" spans="24:24">
      <c r="X2772" s="1071"/>
    </row>
    <row r="2773" spans="24:24">
      <c r="X2773" s="1071"/>
    </row>
    <row r="2774" spans="24:24">
      <c r="X2774" s="1071"/>
    </row>
    <row r="2775" spans="24:24">
      <c r="X2775" s="1071"/>
    </row>
    <row r="2776" spans="24:24">
      <c r="X2776" s="1071"/>
    </row>
    <row r="2777" spans="24:24">
      <c r="X2777" s="1071"/>
    </row>
    <row r="2778" spans="24:24">
      <c r="X2778" s="1071"/>
    </row>
    <row r="2779" spans="24:24">
      <c r="X2779" s="1071"/>
    </row>
    <row r="2780" spans="24:24">
      <c r="X2780" s="1071"/>
    </row>
    <row r="2781" spans="24:24">
      <c r="X2781" s="1071"/>
    </row>
    <row r="2782" spans="24:24">
      <c r="X2782" s="1071"/>
    </row>
    <row r="2783" spans="24:24">
      <c r="X2783" s="1071"/>
    </row>
    <row r="2784" spans="24:24">
      <c r="X2784" s="1071"/>
    </row>
    <row r="2785" spans="24:24">
      <c r="X2785" s="1071"/>
    </row>
    <row r="2786" spans="24:24">
      <c r="X2786" s="1071"/>
    </row>
    <row r="2787" spans="24:24">
      <c r="X2787" s="1071"/>
    </row>
    <row r="2788" spans="24:24">
      <c r="X2788" s="1071"/>
    </row>
    <row r="2789" spans="24:24">
      <c r="X2789" s="1071"/>
    </row>
    <row r="2790" spans="24:24">
      <c r="X2790" s="1071"/>
    </row>
    <row r="2791" spans="24:24">
      <c r="X2791" s="1071"/>
    </row>
    <row r="2792" spans="24:24">
      <c r="X2792" s="1071"/>
    </row>
    <row r="2793" spans="24:24">
      <c r="X2793" s="1071"/>
    </row>
    <row r="2794" spans="24:24">
      <c r="X2794" s="1071"/>
    </row>
    <row r="2795" spans="24:24">
      <c r="X2795" s="1071"/>
    </row>
    <row r="2796" spans="24:24">
      <c r="X2796" s="1071"/>
    </row>
    <row r="2797" spans="24:24">
      <c r="X2797" s="1071"/>
    </row>
    <row r="2798" spans="24:24">
      <c r="X2798" s="1071"/>
    </row>
    <row r="2799" spans="24:24">
      <c r="X2799" s="1071"/>
    </row>
    <row r="2800" spans="24:24">
      <c r="X2800" s="1071"/>
    </row>
    <row r="2801" spans="24:24">
      <c r="X2801" s="1071"/>
    </row>
    <row r="2802" spans="24:24">
      <c r="X2802" s="1071"/>
    </row>
    <row r="2803" spans="24:24">
      <c r="X2803" s="1071"/>
    </row>
    <row r="2804" spans="24:24">
      <c r="X2804" s="1071"/>
    </row>
    <row r="2805" spans="24:24">
      <c r="X2805" s="1071"/>
    </row>
    <row r="2806" spans="24:24">
      <c r="X2806" s="1071"/>
    </row>
    <row r="2807" spans="24:24">
      <c r="X2807" s="1071"/>
    </row>
    <row r="2808" spans="24:24">
      <c r="X2808" s="1071"/>
    </row>
    <row r="2809" spans="24:24">
      <c r="X2809" s="1071"/>
    </row>
    <row r="2810" spans="24:24">
      <c r="X2810" s="1071"/>
    </row>
    <row r="2811" spans="24:24">
      <c r="X2811" s="1071"/>
    </row>
    <row r="2812" spans="24:24">
      <c r="X2812" s="1071"/>
    </row>
    <row r="2813" spans="24:24">
      <c r="X2813" s="1071"/>
    </row>
    <row r="2814" spans="24:24">
      <c r="X2814" s="1071"/>
    </row>
    <row r="2815" spans="24:24">
      <c r="X2815" s="1071"/>
    </row>
    <row r="2816" spans="24:24">
      <c r="X2816" s="1071"/>
    </row>
    <row r="2817" spans="24:24">
      <c r="X2817" s="1071"/>
    </row>
    <row r="2818" spans="24:24">
      <c r="X2818" s="1071"/>
    </row>
    <row r="2819" spans="24:24">
      <c r="X2819" s="1071"/>
    </row>
    <row r="2820" spans="24:24">
      <c r="X2820" s="1071"/>
    </row>
    <row r="2821" spans="24:24">
      <c r="X2821" s="1071"/>
    </row>
    <row r="2822" spans="24:24">
      <c r="X2822" s="1071"/>
    </row>
    <row r="2823" spans="24:24">
      <c r="X2823" s="1071"/>
    </row>
    <row r="2824" spans="24:24">
      <c r="X2824" s="1071"/>
    </row>
    <row r="2825" spans="24:24">
      <c r="X2825" s="1071"/>
    </row>
    <row r="2826" spans="24:24">
      <c r="X2826" s="1071"/>
    </row>
    <row r="2827" spans="24:24">
      <c r="X2827" s="1071"/>
    </row>
    <row r="2828" spans="24:24">
      <c r="X2828" s="1071"/>
    </row>
    <row r="2829" spans="24:24">
      <c r="X2829" s="1071"/>
    </row>
    <row r="2830" spans="24:24">
      <c r="X2830" s="1071"/>
    </row>
    <row r="2831" spans="24:24">
      <c r="X2831" s="1071"/>
    </row>
    <row r="2832" spans="24:24">
      <c r="X2832" s="1071"/>
    </row>
    <row r="2833" spans="24:24">
      <c r="X2833" s="1071"/>
    </row>
    <row r="2834" spans="24:24">
      <c r="X2834" s="1071"/>
    </row>
    <row r="2835" spans="24:24">
      <c r="X2835" s="1071"/>
    </row>
    <row r="2836" spans="24:24">
      <c r="X2836" s="1071"/>
    </row>
    <row r="2837" spans="24:24">
      <c r="X2837" s="1071"/>
    </row>
    <row r="2838" spans="24:24">
      <c r="X2838" s="1071"/>
    </row>
    <row r="2839" spans="24:24">
      <c r="X2839" s="1071"/>
    </row>
    <row r="2840" spans="24:24">
      <c r="X2840" s="1071"/>
    </row>
    <row r="2841" spans="24:24">
      <c r="X2841" s="1071"/>
    </row>
    <row r="2842" spans="24:24">
      <c r="X2842" s="1071"/>
    </row>
    <row r="2843" spans="24:24">
      <c r="X2843" s="1071"/>
    </row>
    <row r="2844" spans="24:24">
      <c r="X2844" s="1071"/>
    </row>
    <row r="2845" spans="24:24">
      <c r="X2845" s="1071"/>
    </row>
    <row r="2846" spans="24:24">
      <c r="X2846" s="1071"/>
    </row>
    <row r="2847" spans="24:24">
      <c r="X2847" s="1071"/>
    </row>
    <row r="2848" spans="24:24">
      <c r="X2848" s="1071"/>
    </row>
    <row r="2849" spans="24:24">
      <c r="X2849" s="1071"/>
    </row>
    <row r="2850" spans="24:24">
      <c r="X2850" s="1071"/>
    </row>
    <row r="2851" spans="24:24">
      <c r="X2851" s="1071"/>
    </row>
    <row r="2852" spans="24:24">
      <c r="X2852" s="1071"/>
    </row>
    <row r="2853" spans="24:24">
      <c r="X2853" s="1071"/>
    </row>
    <row r="2854" spans="24:24">
      <c r="X2854" s="1071"/>
    </row>
    <row r="2855" spans="24:24">
      <c r="X2855" s="1071"/>
    </row>
    <row r="2856" spans="24:24">
      <c r="X2856" s="1071"/>
    </row>
    <row r="2857" spans="24:24">
      <c r="X2857" s="1071"/>
    </row>
    <row r="2858" spans="24:24">
      <c r="X2858" s="1071"/>
    </row>
    <row r="2859" spans="24:24">
      <c r="X2859" s="1071"/>
    </row>
    <row r="2860" spans="24:24">
      <c r="X2860" s="1071"/>
    </row>
    <row r="2861" spans="24:24">
      <c r="X2861" s="1071"/>
    </row>
    <row r="2862" spans="24:24">
      <c r="X2862" s="1071"/>
    </row>
    <row r="2863" spans="24:24">
      <c r="X2863" s="1071"/>
    </row>
    <row r="2864" spans="24:24">
      <c r="X2864" s="1071"/>
    </row>
    <row r="2865" spans="24:24">
      <c r="X2865" s="1071"/>
    </row>
    <row r="2866" spans="24:24">
      <c r="X2866" s="1071"/>
    </row>
    <row r="2867" spans="24:24">
      <c r="X2867" s="1071"/>
    </row>
    <row r="2868" spans="24:24">
      <c r="X2868" s="1071"/>
    </row>
    <row r="2869" spans="24:24">
      <c r="X2869" s="1071"/>
    </row>
    <row r="2870" spans="24:24">
      <c r="X2870" s="1071"/>
    </row>
    <row r="2871" spans="24:24">
      <c r="X2871" s="1071"/>
    </row>
    <row r="2872" spans="24:24">
      <c r="X2872" s="1071"/>
    </row>
    <row r="2873" spans="24:24">
      <c r="X2873" s="1071"/>
    </row>
    <row r="2874" spans="24:24">
      <c r="X2874" s="1071"/>
    </row>
    <row r="2875" spans="24:24">
      <c r="X2875" s="1071"/>
    </row>
    <row r="2876" spans="24:24">
      <c r="X2876" s="1071"/>
    </row>
    <row r="2877" spans="24:24">
      <c r="X2877" s="1071"/>
    </row>
    <row r="2878" spans="24:24">
      <c r="X2878" s="1071"/>
    </row>
    <row r="2879" spans="24:24">
      <c r="X2879" s="1071"/>
    </row>
    <row r="2880" spans="24:24">
      <c r="X2880" s="1071"/>
    </row>
    <row r="2881" spans="24:24">
      <c r="X2881" s="1071"/>
    </row>
    <row r="2882" spans="24:24">
      <c r="X2882" s="1071"/>
    </row>
    <row r="2883" spans="24:24">
      <c r="X2883" s="1071"/>
    </row>
    <row r="2884" spans="24:24">
      <c r="X2884" s="1071"/>
    </row>
    <row r="2885" spans="24:24">
      <c r="X2885" s="1071"/>
    </row>
    <row r="2886" spans="24:24">
      <c r="X2886" s="1071"/>
    </row>
    <row r="2887" spans="24:24">
      <c r="X2887" s="1071"/>
    </row>
    <row r="2888" spans="24:24">
      <c r="X2888" s="1071"/>
    </row>
    <row r="2889" spans="24:24">
      <c r="X2889" s="1071"/>
    </row>
    <row r="2890" spans="24:24">
      <c r="X2890" s="1071"/>
    </row>
    <row r="2891" spans="24:24">
      <c r="X2891" s="1071"/>
    </row>
    <row r="2892" spans="24:24">
      <c r="X2892" s="1071"/>
    </row>
    <row r="2893" spans="24:24">
      <c r="X2893" s="1071"/>
    </row>
    <row r="2894" spans="24:24">
      <c r="X2894" s="1071"/>
    </row>
    <row r="2895" spans="24:24">
      <c r="X2895" s="1071"/>
    </row>
    <row r="2896" spans="24:24">
      <c r="X2896" s="1071"/>
    </row>
    <row r="2897" spans="24:24">
      <c r="X2897" s="1071"/>
    </row>
    <row r="2898" spans="24:24">
      <c r="X2898" s="1071"/>
    </row>
    <row r="2899" spans="24:24">
      <c r="X2899" s="1071"/>
    </row>
    <row r="2900" spans="24:24">
      <c r="X2900" s="1071"/>
    </row>
    <row r="2901" spans="24:24">
      <c r="X2901" s="1071"/>
    </row>
    <row r="2902" spans="24:24">
      <c r="X2902" s="1071"/>
    </row>
    <row r="2903" spans="24:24">
      <c r="X2903" s="1071"/>
    </row>
    <row r="2904" spans="24:24">
      <c r="X2904" s="1071"/>
    </row>
    <row r="2905" spans="24:24">
      <c r="X2905" s="1071"/>
    </row>
    <row r="2906" spans="24:24">
      <c r="X2906" s="1071"/>
    </row>
    <row r="2907" spans="24:24">
      <c r="X2907" s="1071"/>
    </row>
    <row r="2908" spans="24:24">
      <c r="X2908" s="1071"/>
    </row>
    <row r="2909" spans="24:24">
      <c r="X2909" s="1071"/>
    </row>
    <row r="2910" spans="24:24">
      <c r="X2910" s="1071"/>
    </row>
    <row r="2911" spans="24:24">
      <c r="X2911" s="1071"/>
    </row>
    <row r="2912" spans="24:24">
      <c r="X2912" s="1071"/>
    </row>
    <row r="2913" spans="24:24">
      <c r="X2913" s="1071"/>
    </row>
    <row r="2914" spans="24:24">
      <c r="X2914" s="1071"/>
    </row>
    <row r="2915" spans="24:24">
      <c r="X2915" s="1071"/>
    </row>
    <row r="2916" spans="24:24">
      <c r="X2916" s="1071"/>
    </row>
    <row r="2917" spans="24:24">
      <c r="X2917" s="1071"/>
    </row>
    <row r="2918" spans="24:24">
      <c r="X2918" s="1071"/>
    </row>
    <row r="2919" spans="24:24">
      <c r="X2919" s="1071"/>
    </row>
    <row r="2920" spans="24:24">
      <c r="X2920" s="1071"/>
    </row>
    <row r="2921" spans="24:24">
      <c r="X2921" s="1071"/>
    </row>
    <row r="2922" spans="24:24">
      <c r="X2922" s="1071"/>
    </row>
    <row r="2923" spans="24:24">
      <c r="X2923" s="1071"/>
    </row>
    <row r="2924" spans="24:24">
      <c r="X2924" s="1071"/>
    </row>
    <row r="2925" spans="24:24">
      <c r="X2925" s="1071"/>
    </row>
    <row r="2926" spans="24:24">
      <c r="X2926" s="1071"/>
    </row>
    <row r="2927" spans="24:24">
      <c r="X2927" s="1071"/>
    </row>
    <row r="2928" spans="24:24">
      <c r="X2928" s="1071"/>
    </row>
    <row r="2929" spans="24:24">
      <c r="X2929" s="1071"/>
    </row>
    <row r="2930" spans="24:24">
      <c r="X2930" s="1071"/>
    </row>
    <row r="2931" spans="24:24">
      <c r="X2931" s="1071"/>
    </row>
    <row r="2932" spans="24:24">
      <c r="X2932" s="1071"/>
    </row>
    <row r="2933" spans="24:24">
      <c r="X2933" s="1071"/>
    </row>
    <row r="2934" spans="24:24">
      <c r="X2934" s="1071"/>
    </row>
    <row r="2935" spans="24:24">
      <c r="X2935" s="1071"/>
    </row>
    <row r="2936" spans="24:24">
      <c r="X2936" s="1071"/>
    </row>
    <row r="2937" spans="24:24">
      <c r="X2937" s="1071"/>
    </row>
    <row r="2938" spans="24:24">
      <c r="X2938" s="1071"/>
    </row>
    <row r="2939" spans="24:24">
      <c r="X2939" s="1071"/>
    </row>
    <row r="2940" spans="24:24">
      <c r="X2940" s="1071"/>
    </row>
    <row r="2941" spans="24:24">
      <c r="X2941" s="1071"/>
    </row>
    <row r="2942" spans="24:24">
      <c r="X2942" s="1071"/>
    </row>
    <row r="2943" spans="24:24">
      <c r="X2943" s="1071"/>
    </row>
    <row r="2944" spans="24:24">
      <c r="X2944" s="1071"/>
    </row>
    <row r="2945" spans="24:24">
      <c r="X2945" s="1071"/>
    </row>
    <row r="2946" spans="24:24">
      <c r="X2946" s="1071"/>
    </row>
    <row r="2947" spans="24:24">
      <c r="X2947" s="1071"/>
    </row>
    <row r="2948" spans="24:24">
      <c r="X2948" s="1071"/>
    </row>
    <row r="2949" spans="24:24">
      <c r="X2949" s="1071"/>
    </row>
    <row r="2950" spans="24:24">
      <c r="X2950" s="1071"/>
    </row>
    <row r="2951" spans="24:24">
      <c r="X2951" s="1071"/>
    </row>
    <row r="2952" spans="24:24">
      <c r="X2952" s="1071"/>
    </row>
    <row r="2953" spans="24:24">
      <c r="X2953" s="1071"/>
    </row>
    <row r="2954" spans="24:24">
      <c r="X2954" s="1071"/>
    </row>
    <row r="2955" spans="24:24">
      <c r="X2955" s="1071"/>
    </row>
    <row r="2956" spans="24:24">
      <c r="X2956" s="1071"/>
    </row>
    <row r="2957" spans="24:24">
      <c r="X2957" s="1071"/>
    </row>
    <row r="2958" spans="24:24">
      <c r="X2958" s="1071"/>
    </row>
    <row r="2959" spans="24:24">
      <c r="X2959" s="1071"/>
    </row>
    <row r="2960" spans="24:24">
      <c r="X2960" s="1071"/>
    </row>
    <row r="2961" spans="24:24">
      <c r="X2961" s="1071"/>
    </row>
    <row r="2962" spans="24:24">
      <c r="X2962" s="1071"/>
    </row>
    <row r="2963" spans="24:24">
      <c r="X2963" s="1071"/>
    </row>
    <row r="2964" spans="24:24">
      <c r="X2964" s="1071"/>
    </row>
    <row r="2965" spans="24:24">
      <c r="X2965" s="1071"/>
    </row>
    <row r="2966" spans="24:24">
      <c r="X2966" s="1071"/>
    </row>
    <row r="2967" spans="24:24">
      <c r="X2967" s="1071"/>
    </row>
    <row r="2968" spans="24:24">
      <c r="X2968" s="1071"/>
    </row>
    <row r="2969" spans="24:24">
      <c r="X2969" s="1071"/>
    </row>
    <row r="2970" spans="24:24">
      <c r="X2970" s="1071"/>
    </row>
    <row r="2971" spans="24:24">
      <c r="X2971" s="1071"/>
    </row>
    <row r="2972" spans="24:24">
      <c r="X2972" s="1071"/>
    </row>
    <row r="2973" spans="24:24">
      <c r="X2973" s="1071"/>
    </row>
    <row r="2974" spans="24:24">
      <c r="X2974" s="1071"/>
    </row>
    <row r="2975" spans="24:24">
      <c r="X2975" s="1071"/>
    </row>
    <row r="2976" spans="24:24">
      <c r="X2976" s="1071"/>
    </row>
    <row r="2977" spans="24:24">
      <c r="X2977" s="1071"/>
    </row>
    <row r="2978" spans="24:24">
      <c r="X2978" s="1071"/>
    </row>
    <row r="2979" spans="24:24">
      <c r="X2979" s="1071"/>
    </row>
    <row r="2980" spans="24:24">
      <c r="X2980" s="1071"/>
    </row>
    <row r="2981" spans="24:24">
      <c r="X2981" s="1071"/>
    </row>
    <row r="2982" spans="24:24">
      <c r="X2982" s="1071"/>
    </row>
    <row r="2983" spans="24:24">
      <c r="X2983" s="1071"/>
    </row>
    <row r="2984" spans="24:24">
      <c r="X2984" s="1071"/>
    </row>
    <row r="2985" spans="24:24">
      <c r="X2985" s="1071"/>
    </row>
    <row r="2986" spans="24:24">
      <c r="X2986" s="1071"/>
    </row>
    <row r="2987" spans="24:24">
      <c r="X2987" s="1071"/>
    </row>
    <row r="2988" spans="24:24">
      <c r="X2988" s="1071"/>
    </row>
    <row r="2989" spans="24:24">
      <c r="X2989" s="1071"/>
    </row>
    <row r="2990" spans="24:24">
      <c r="X2990" s="1071"/>
    </row>
    <row r="2991" spans="24:24">
      <c r="X2991" s="1071"/>
    </row>
    <row r="2992" spans="24:24">
      <c r="X2992" s="1071"/>
    </row>
    <row r="2993" spans="24:24">
      <c r="X2993" s="1071"/>
    </row>
    <row r="2994" spans="24:24">
      <c r="X2994" s="1071"/>
    </row>
    <row r="2995" spans="24:24">
      <c r="X2995" s="1071"/>
    </row>
    <row r="2996" spans="24:24">
      <c r="X2996" s="1071"/>
    </row>
    <row r="2997" spans="24:24">
      <c r="X2997" s="1071"/>
    </row>
    <row r="2998" spans="24:24">
      <c r="X2998" s="1071"/>
    </row>
    <row r="2999" spans="24:24">
      <c r="X2999" s="1071"/>
    </row>
    <row r="3000" spans="24:24">
      <c r="X3000" s="1071"/>
    </row>
    <row r="3001" spans="24:24">
      <c r="X3001" s="1071"/>
    </row>
    <row r="3002" spans="24:24">
      <c r="X3002" s="1071"/>
    </row>
    <row r="3003" spans="24:24">
      <c r="X3003" s="1071"/>
    </row>
    <row r="3004" spans="24:24">
      <c r="X3004" s="1071"/>
    </row>
    <row r="3005" spans="24:24">
      <c r="X3005" s="1071"/>
    </row>
    <row r="3006" spans="24:24">
      <c r="X3006" s="1071"/>
    </row>
    <row r="3007" spans="24:24">
      <c r="X3007" s="1071"/>
    </row>
    <row r="3008" spans="24:24">
      <c r="X3008" s="1071"/>
    </row>
    <row r="3009" spans="24:24">
      <c r="X3009" s="1071"/>
    </row>
    <row r="3010" spans="24:24">
      <c r="X3010" s="1071"/>
    </row>
    <row r="3011" spans="24:24">
      <c r="X3011" s="1071"/>
    </row>
    <row r="3012" spans="24:24">
      <c r="X3012" s="1071"/>
    </row>
    <row r="3013" spans="24:24">
      <c r="X3013" s="1071"/>
    </row>
    <row r="3014" spans="24:24">
      <c r="X3014" s="1071"/>
    </row>
    <row r="3015" spans="24:24">
      <c r="X3015" s="1071"/>
    </row>
    <row r="3016" spans="24:24">
      <c r="X3016" s="1071"/>
    </row>
    <row r="3017" spans="24:24">
      <c r="X3017" s="1071"/>
    </row>
    <row r="3018" spans="24:24">
      <c r="X3018" s="1071"/>
    </row>
    <row r="3019" spans="24:24">
      <c r="X3019" s="1071"/>
    </row>
    <row r="3020" spans="24:24">
      <c r="X3020" s="1071"/>
    </row>
    <row r="3021" spans="24:24">
      <c r="X3021" s="1071"/>
    </row>
    <row r="3022" spans="24:24">
      <c r="X3022" s="1071"/>
    </row>
    <row r="3023" spans="24:24">
      <c r="X3023" s="1071"/>
    </row>
    <row r="3024" spans="24:24">
      <c r="X3024" s="1071"/>
    </row>
    <row r="3025" spans="24:24">
      <c r="X3025" s="1071"/>
    </row>
    <row r="3026" spans="24:24">
      <c r="X3026" s="1071"/>
    </row>
    <row r="3027" spans="24:24">
      <c r="X3027" s="1071"/>
    </row>
    <row r="3028" spans="24:24">
      <c r="X3028" s="1071"/>
    </row>
    <row r="3029" spans="24:24">
      <c r="X3029" s="1071"/>
    </row>
    <row r="3030" spans="24:24">
      <c r="X3030" s="1071"/>
    </row>
    <row r="3031" spans="24:24">
      <c r="X3031" s="1071"/>
    </row>
    <row r="3032" spans="24:24">
      <c r="X3032" s="1071"/>
    </row>
    <row r="3033" spans="24:24">
      <c r="X3033" s="1071"/>
    </row>
    <row r="3034" spans="24:24">
      <c r="X3034" s="1071"/>
    </row>
    <row r="3035" spans="24:24">
      <c r="X3035" s="1071"/>
    </row>
    <row r="3036" spans="24:24">
      <c r="X3036" s="1071"/>
    </row>
    <row r="3037" spans="24:24">
      <c r="X3037" s="1071"/>
    </row>
    <row r="3038" spans="24:24">
      <c r="X3038" s="1071"/>
    </row>
    <row r="3039" spans="24:24">
      <c r="X3039" s="1071"/>
    </row>
    <row r="3040" spans="24:24">
      <c r="X3040" s="1071"/>
    </row>
    <row r="3041" spans="24:24">
      <c r="X3041" s="1071"/>
    </row>
    <row r="3042" spans="24:24">
      <c r="X3042" s="1071"/>
    </row>
    <row r="3043" spans="24:24">
      <c r="X3043" s="1071"/>
    </row>
    <row r="3044" spans="24:24">
      <c r="X3044" s="1071"/>
    </row>
    <row r="3045" spans="24:24">
      <c r="X3045" s="1071"/>
    </row>
    <row r="3046" spans="24:24">
      <c r="X3046" s="1071"/>
    </row>
    <row r="3047" spans="24:24">
      <c r="X3047" s="1071"/>
    </row>
    <row r="3048" spans="24:24">
      <c r="X3048" s="1071"/>
    </row>
    <row r="3049" spans="24:24">
      <c r="X3049" s="1071"/>
    </row>
    <row r="3050" spans="24:24">
      <c r="X3050" s="1071"/>
    </row>
    <row r="3051" spans="24:24">
      <c r="X3051" s="1071"/>
    </row>
    <row r="3052" spans="24:24">
      <c r="X3052" s="1071"/>
    </row>
    <row r="3053" spans="24:24">
      <c r="X3053" s="1071"/>
    </row>
    <row r="3054" spans="24:24">
      <c r="X3054" s="1071"/>
    </row>
    <row r="3055" spans="24:24">
      <c r="X3055" s="1071"/>
    </row>
    <row r="3056" spans="24:24">
      <c r="X3056" s="1071"/>
    </row>
    <row r="3057" spans="24:24">
      <c r="X3057" s="1071"/>
    </row>
    <row r="3058" spans="24:24">
      <c r="X3058" s="1071"/>
    </row>
    <row r="3059" spans="24:24">
      <c r="X3059" s="1071"/>
    </row>
    <row r="3060" spans="24:24">
      <c r="X3060" s="1071"/>
    </row>
    <row r="3061" spans="24:24">
      <c r="X3061" s="1071"/>
    </row>
    <row r="3062" spans="24:24">
      <c r="X3062" s="1071"/>
    </row>
    <row r="3063" spans="24:24">
      <c r="X3063" s="1071"/>
    </row>
    <row r="3064" spans="24:24">
      <c r="X3064" s="1071"/>
    </row>
    <row r="3065" spans="24:24">
      <c r="X3065" s="1071"/>
    </row>
    <row r="3066" spans="24:24">
      <c r="X3066" s="1071"/>
    </row>
    <row r="3067" spans="24:24">
      <c r="X3067" s="1071"/>
    </row>
    <row r="3068" spans="24:24">
      <c r="X3068" s="1071"/>
    </row>
    <row r="3069" spans="24:24">
      <c r="X3069" s="1071"/>
    </row>
    <row r="3070" spans="24:24">
      <c r="X3070" s="1071"/>
    </row>
    <row r="3071" spans="24:24">
      <c r="X3071" s="1071"/>
    </row>
    <row r="3072" spans="24:24">
      <c r="X3072" s="1071"/>
    </row>
    <row r="3073" spans="24:24">
      <c r="X3073" s="1071"/>
    </row>
    <row r="3074" spans="24:24">
      <c r="X3074" s="1071"/>
    </row>
    <row r="3075" spans="24:24">
      <c r="X3075" s="1071"/>
    </row>
    <row r="3076" spans="24:24">
      <c r="X3076" s="1071"/>
    </row>
    <row r="3077" spans="24:24">
      <c r="X3077" s="1071"/>
    </row>
    <row r="3078" spans="24:24">
      <c r="X3078" s="1071"/>
    </row>
    <row r="3079" spans="24:24">
      <c r="X3079" s="1071"/>
    </row>
    <row r="3080" spans="24:24">
      <c r="X3080" s="1071"/>
    </row>
    <row r="3081" spans="24:24">
      <c r="X3081" s="1071"/>
    </row>
    <row r="3082" spans="24:24">
      <c r="X3082" s="1071"/>
    </row>
    <row r="3083" spans="24:24">
      <c r="X3083" s="1071"/>
    </row>
    <row r="3084" spans="24:24">
      <c r="X3084" s="1071"/>
    </row>
    <row r="3085" spans="24:24">
      <c r="X3085" s="1071"/>
    </row>
    <row r="3086" spans="24:24">
      <c r="X3086" s="1071"/>
    </row>
    <row r="3087" spans="24:24">
      <c r="X3087" s="1071"/>
    </row>
    <row r="3088" spans="24:24">
      <c r="X3088" s="1071"/>
    </row>
    <row r="3089" spans="24:24">
      <c r="X3089" s="1071"/>
    </row>
    <row r="3090" spans="24:24">
      <c r="X3090" s="1071"/>
    </row>
    <row r="3091" spans="24:24">
      <c r="X3091" s="1071"/>
    </row>
    <row r="3092" spans="24:24">
      <c r="X3092" s="1071"/>
    </row>
    <row r="3093" spans="24:24">
      <c r="X3093" s="1071"/>
    </row>
    <row r="3094" spans="24:24">
      <c r="X3094" s="1071"/>
    </row>
    <row r="3095" spans="24:24">
      <c r="X3095" s="1071"/>
    </row>
    <row r="3096" spans="24:24">
      <c r="X3096" s="1071"/>
    </row>
    <row r="3097" spans="24:24">
      <c r="X3097" s="1071"/>
    </row>
    <row r="3098" spans="24:24">
      <c r="X3098" s="1071"/>
    </row>
    <row r="3099" spans="24:24">
      <c r="X3099" s="1071"/>
    </row>
    <row r="3100" spans="24:24">
      <c r="X3100" s="1071"/>
    </row>
    <row r="3101" spans="24:24">
      <c r="X3101" s="1071"/>
    </row>
    <row r="3102" spans="24:24">
      <c r="X3102" s="1071"/>
    </row>
    <row r="3103" spans="24:24">
      <c r="X3103" s="1071"/>
    </row>
    <row r="3104" spans="24:24">
      <c r="X3104" s="1071"/>
    </row>
    <row r="3105" spans="24:24">
      <c r="X3105" s="1071"/>
    </row>
    <row r="3106" spans="24:24">
      <c r="X3106" s="1071"/>
    </row>
    <row r="3107" spans="24:24">
      <c r="X3107" s="1071"/>
    </row>
    <row r="3108" spans="24:24">
      <c r="X3108" s="1071"/>
    </row>
    <row r="3109" spans="24:24">
      <c r="X3109" s="1071"/>
    </row>
    <row r="3110" spans="24:24">
      <c r="X3110" s="1071"/>
    </row>
    <row r="3111" spans="24:24">
      <c r="X3111" s="1071"/>
    </row>
    <row r="3112" spans="24:24">
      <c r="X3112" s="1071"/>
    </row>
    <row r="3113" spans="24:24">
      <c r="X3113" s="1071"/>
    </row>
    <row r="3114" spans="24:24">
      <c r="X3114" s="1071"/>
    </row>
    <row r="3115" spans="24:24">
      <c r="X3115" s="1071"/>
    </row>
    <row r="3116" spans="24:24">
      <c r="X3116" s="1071"/>
    </row>
    <row r="3117" spans="24:24">
      <c r="X3117" s="1071"/>
    </row>
    <row r="3118" spans="24:24">
      <c r="X3118" s="1071"/>
    </row>
    <row r="3119" spans="24:24">
      <c r="X3119" s="1071"/>
    </row>
    <row r="3120" spans="24:24">
      <c r="X3120" s="1071"/>
    </row>
    <row r="3121" spans="24:24">
      <c r="X3121" s="1071"/>
    </row>
    <row r="3122" spans="24:24">
      <c r="X3122" s="1071"/>
    </row>
    <row r="3123" spans="24:24">
      <c r="X3123" s="1071"/>
    </row>
    <row r="3124" spans="24:24">
      <c r="X3124" s="1071"/>
    </row>
    <row r="3125" spans="24:24">
      <c r="X3125" s="1071"/>
    </row>
    <row r="3126" spans="24:24">
      <c r="X3126" s="1071"/>
    </row>
    <row r="3127" spans="24:24">
      <c r="X3127" s="1071"/>
    </row>
    <row r="3128" spans="24:24">
      <c r="X3128" s="1071"/>
    </row>
    <row r="3129" spans="24:24">
      <c r="X3129" s="1071"/>
    </row>
    <row r="3130" spans="24:24">
      <c r="X3130" s="1071"/>
    </row>
    <row r="3131" spans="24:24">
      <c r="X3131" s="1071"/>
    </row>
    <row r="3132" spans="24:24">
      <c r="X3132" s="1071"/>
    </row>
    <row r="3133" spans="24:24">
      <c r="X3133" s="1071"/>
    </row>
    <row r="3134" spans="24:24">
      <c r="X3134" s="1071"/>
    </row>
    <row r="3135" spans="24:24">
      <c r="X3135" s="1071"/>
    </row>
    <row r="3136" spans="24:24">
      <c r="X3136" s="1071"/>
    </row>
    <row r="3137" spans="24:24">
      <c r="X3137" s="1071"/>
    </row>
    <row r="3138" spans="24:24">
      <c r="X3138" s="1071"/>
    </row>
    <row r="3139" spans="24:24">
      <c r="X3139" s="1071"/>
    </row>
    <row r="3140" spans="24:24">
      <c r="X3140" s="1071"/>
    </row>
    <row r="3141" spans="24:24">
      <c r="X3141" s="1071"/>
    </row>
    <row r="3142" spans="24:24">
      <c r="X3142" s="1071"/>
    </row>
    <row r="3143" spans="24:24">
      <c r="X3143" s="1071"/>
    </row>
    <row r="3144" spans="24:24">
      <c r="X3144" s="1071"/>
    </row>
    <row r="3145" spans="24:24">
      <c r="X3145" s="1071"/>
    </row>
    <row r="3146" spans="24:24">
      <c r="X3146" s="1071"/>
    </row>
    <row r="3147" spans="24:24">
      <c r="X3147" s="1071"/>
    </row>
    <row r="3148" spans="24:24">
      <c r="X3148" s="1071"/>
    </row>
    <row r="3149" spans="24:24">
      <c r="X3149" s="1071"/>
    </row>
    <row r="3150" spans="24:24">
      <c r="X3150" s="1071"/>
    </row>
    <row r="3151" spans="24:24">
      <c r="X3151" s="1071"/>
    </row>
    <row r="3152" spans="24:24">
      <c r="X3152" s="1071"/>
    </row>
    <row r="3153" spans="24:24">
      <c r="X3153" s="1071"/>
    </row>
    <row r="3154" spans="24:24">
      <c r="X3154" s="1071"/>
    </row>
    <row r="3155" spans="24:24">
      <c r="X3155" s="1071"/>
    </row>
    <row r="3156" spans="24:24">
      <c r="X3156" s="1071"/>
    </row>
    <row r="3157" spans="24:24">
      <c r="X3157" s="1071"/>
    </row>
    <row r="3158" spans="24:24">
      <c r="X3158" s="1071"/>
    </row>
    <row r="3159" spans="24:24">
      <c r="X3159" s="1071"/>
    </row>
    <row r="3160" spans="24:24">
      <c r="X3160" s="1071"/>
    </row>
    <row r="3161" spans="24:24">
      <c r="X3161" s="1071"/>
    </row>
    <row r="3162" spans="24:24">
      <c r="X3162" s="1071"/>
    </row>
    <row r="3163" spans="24:24">
      <c r="X3163" s="1071"/>
    </row>
    <row r="3164" spans="24:24">
      <c r="X3164" s="1071"/>
    </row>
    <row r="3165" spans="24:24">
      <c r="X3165" s="1071"/>
    </row>
    <row r="3166" spans="24:24">
      <c r="X3166" s="1071"/>
    </row>
    <row r="3167" spans="24:24">
      <c r="X3167" s="1071"/>
    </row>
    <row r="3168" spans="24:24">
      <c r="X3168" s="1071"/>
    </row>
    <row r="3169" spans="24:24">
      <c r="X3169" s="1071"/>
    </row>
    <row r="3170" spans="24:24">
      <c r="X3170" s="1071"/>
    </row>
    <row r="3171" spans="24:24">
      <c r="X3171" s="1071"/>
    </row>
    <row r="3172" spans="24:24">
      <c r="X3172" s="1071"/>
    </row>
    <row r="3173" spans="24:24">
      <c r="X3173" s="1071"/>
    </row>
    <row r="3174" spans="24:24">
      <c r="X3174" s="1071"/>
    </row>
    <row r="3175" spans="24:24">
      <c r="X3175" s="1071"/>
    </row>
    <row r="3176" spans="24:24">
      <c r="X3176" s="1071"/>
    </row>
    <row r="3177" spans="24:24">
      <c r="X3177" s="1071"/>
    </row>
    <row r="3178" spans="24:24">
      <c r="X3178" s="1071"/>
    </row>
    <row r="3179" spans="24:24">
      <c r="X3179" s="1071"/>
    </row>
    <row r="3180" spans="24:24">
      <c r="X3180" s="1071"/>
    </row>
    <row r="3181" spans="24:24">
      <c r="X3181" s="1071"/>
    </row>
    <row r="3182" spans="24:24">
      <c r="X3182" s="1071"/>
    </row>
    <row r="3183" spans="24:24">
      <c r="X3183" s="1071"/>
    </row>
    <row r="3184" spans="24:24">
      <c r="X3184" s="1071"/>
    </row>
    <row r="3185" spans="24:24">
      <c r="X3185" s="1071"/>
    </row>
    <row r="3186" spans="24:24">
      <c r="X3186" s="1071"/>
    </row>
    <row r="3187" spans="24:24">
      <c r="X3187" s="1071"/>
    </row>
    <row r="3188" spans="24:24">
      <c r="X3188" s="1071"/>
    </row>
    <row r="3189" spans="24:24">
      <c r="X3189" s="1071"/>
    </row>
    <row r="3190" spans="24:24">
      <c r="X3190" s="1071"/>
    </row>
    <row r="3191" spans="24:24">
      <c r="X3191" s="1071"/>
    </row>
    <row r="3192" spans="24:24">
      <c r="X3192" s="1071"/>
    </row>
    <row r="3193" spans="24:24">
      <c r="X3193" s="1071"/>
    </row>
    <row r="3194" spans="24:24">
      <c r="X3194" s="1071"/>
    </row>
    <row r="3195" spans="24:24">
      <c r="X3195" s="1071"/>
    </row>
    <row r="3196" spans="24:24">
      <c r="X3196" s="1071"/>
    </row>
    <row r="3197" spans="24:24">
      <c r="X3197" s="1071"/>
    </row>
    <row r="3198" spans="24:24">
      <c r="X3198" s="1071"/>
    </row>
    <row r="3199" spans="24:24">
      <c r="X3199" s="1071"/>
    </row>
    <row r="3200" spans="24:24">
      <c r="X3200" s="1071"/>
    </row>
    <row r="3201" spans="24:24">
      <c r="X3201" s="1071"/>
    </row>
    <row r="3202" spans="24:24">
      <c r="X3202" s="1071"/>
    </row>
    <row r="3203" spans="24:24">
      <c r="X3203" s="1071"/>
    </row>
    <row r="3204" spans="24:24">
      <c r="X3204" s="1071"/>
    </row>
    <row r="3205" spans="24:24">
      <c r="X3205" s="1071"/>
    </row>
    <row r="3206" spans="24:24">
      <c r="X3206" s="1071"/>
    </row>
    <row r="3207" spans="24:24">
      <c r="X3207" s="1071"/>
    </row>
    <row r="3208" spans="24:24">
      <c r="X3208" s="1071"/>
    </row>
    <row r="3209" spans="24:24">
      <c r="X3209" s="1071"/>
    </row>
    <row r="3210" spans="24:24">
      <c r="X3210" s="1071"/>
    </row>
    <row r="3211" spans="24:24">
      <c r="X3211" s="1071"/>
    </row>
    <row r="3212" spans="24:24">
      <c r="X3212" s="1071"/>
    </row>
    <row r="3213" spans="24:24">
      <c r="X3213" s="1071"/>
    </row>
    <row r="3214" spans="24:24">
      <c r="X3214" s="1071"/>
    </row>
    <row r="3215" spans="24:24">
      <c r="X3215" s="1071"/>
    </row>
    <row r="3216" spans="24:24">
      <c r="X3216" s="1071"/>
    </row>
    <row r="3217" spans="24:24">
      <c r="X3217" s="1071"/>
    </row>
    <row r="3218" spans="24:24">
      <c r="X3218" s="1071"/>
    </row>
    <row r="3219" spans="24:24">
      <c r="X3219" s="1071"/>
    </row>
    <row r="3220" spans="24:24">
      <c r="X3220" s="1071"/>
    </row>
    <row r="3221" spans="24:24">
      <c r="X3221" s="1071"/>
    </row>
    <row r="3222" spans="24:24">
      <c r="X3222" s="1071"/>
    </row>
    <row r="3223" spans="24:24">
      <c r="X3223" s="1071"/>
    </row>
    <row r="3224" spans="24:24">
      <c r="X3224" s="1071"/>
    </row>
    <row r="3225" spans="24:24">
      <c r="X3225" s="1071"/>
    </row>
    <row r="3226" spans="24:24">
      <c r="X3226" s="1071"/>
    </row>
    <row r="3227" spans="24:24">
      <c r="X3227" s="1071"/>
    </row>
    <row r="3228" spans="24:24">
      <c r="X3228" s="1071"/>
    </row>
    <row r="3229" spans="24:24">
      <c r="X3229" s="1071"/>
    </row>
    <row r="3230" spans="24:24">
      <c r="X3230" s="1071"/>
    </row>
    <row r="3231" spans="24:24">
      <c r="X3231" s="1071"/>
    </row>
    <row r="3232" spans="24:24">
      <c r="X3232" s="1071"/>
    </row>
    <row r="3233" spans="24:24">
      <c r="X3233" s="1071"/>
    </row>
    <row r="3234" spans="24:24">
      <c r="X3234" s="1071"/>
    </row>
    <row r="3235" spans="24:24">
      <c r="X3235" s="1071"/>
    </row>
    <row r="3236" spans="24:24">
      <c r="X3236" s="1071"/>
    </row>
    <row r="3237" spans="24:24">
      <c r="X3237" s="1071"/>
    </row>
    <row r="3238" spans="24:24">
      <c r="X3238" s="1071"/>
    </row>
    <row r="3239" spans="24:24">
      <c r="X3239" s="1071"/>
    </row>
    <row r="3240" spans="24:24">
      <c r="X3240" s="1071"/>
    </row>
    <row r="3241" spans="24:24">
      <c r="X3241" s="1071"/>
    </row>
    <row r="3242" spans="24:24">
      <c r="X3242" s="1071"/>
    </row>
    <row r="3243" spans="24:24">
      <c r="X3243" s="1071"/>
    </row>
    <row r="3244" spans="24:24">
      <c r="X3244" s="1071"/>
    </row>
    <row r="3245" spans="24:24">
      <c r="X3245" s="1071"/>
    </row>
    <row r="3246" spans="24:24">
      <c r="X3246" s="1071"/>
    </row>
    <row r="3247" spans="24:24">
      <c r="X3247" s="1071"/>
    </row>
    <row r="3248" spans="24:24">
      <c r="X3248" s="1071"/>
    </row>
    <row r="3249" spans="24:24">
      <c r="X3249" s="1071"/>
    </row>
    <row r="3250" spans="24:24">
      <c r="X3250" s="1071"/>
    </row>
    <row r="3251" spans="24:24">
      <c r="X3251" s="1071"/>
    </row>
    <row r="3252" spans="24:24">
      <c r="X3252" s="1071"/>
    </row>
    <row r="3253" spans="24:24">
      <c r="X3253" s="1071"/>
    </row>
    <row r="3254" spans="24:24">
      <c r="X3254" s="1071"/>
    </row>
    <row r="3255" spans="24:24">
      <c r="X3255" s="1071"/>
    </row>
    <row r="3256" spans="24:24">
      <c r="X3256" s="1071"/>
    </row>
    <row r="3257" spans="24:24">
      <c r="X3257" s="1071"/>
    </row>
    <row r="3258" spans="24:24">
      <c r="X3258" s="1071"/>
    </row>
    <row r="3259" spans="24:24">
      <c r="X3259" s="1071"/>
    </row>
    <row r="3260" spans="24:24">
      <c r="X3260" s="1071"/>
    </row>
    <row r="3261" spans="24:24">
      <c r="X3261" s="1071"/>
    </row>
    <row r="3262" spans="24:24">
      <c r="X3262" s="1071"/>
    </row>
    <row r="3263" spans="24:24">
      <c r="X3263" s="1071"/>
    </row>
    <row r="3264" spans="24:24">
      <c r="X3264" s="1071"/>
    </row>
    <row r="3265" spans="24:24">
      <c r="X3265" s="1071"/>
    </row>
    <row r="3266" spans="24:24">
      <c r="X3266" s="1071"/>
    </row>
    <row r="3267" spans="24:24">
      <c r="X3267" s="1071"/>
    </row>
    <row r="3268" spans="24:24">
      <c r="X3268" s="1071"/>
    </row>
    <row r="3269" spans="24:24">
      <c r="X3269" s="1071"/>
    </row>
    <row r="3270" spans="24:24">
      <c r="X3270" s="1071"/>
    </row>
    <row r="3271" spans="24:24">
      <c r="X3271" s="1071"/>
    </row>
    <row r="3272" spans="24:24">
      <c r="X3272" s="1071"/>
    </row>
    <row r="3273" spans="24:24">
      <c r="X3273" s="1071"/>
    </row>
    <row r="3274" spans="24:24">
      <c r="X3274" s="1071"/>
    </row>
    <row r="3275" spans="24:24">
      <c r="X3275" s="1071"/>
    </row>
    <row r="3276" spans="24:24">
      <c r="X3276" s="1071"/>
    </row>
    <row r="3277" spans="24:24">
      <c r="X3277" s="1071"/>
    </row>
    <row r="3278" spans="24:24">
      <c r="X3278" s="1071"/>
    </row>
    <row r="3279" spans="24:24">
      <c r="X3279" s="1071"/>
    </row>
    <row r="3280" spans="24:24">
      <c r="X3280" s="1071"/>
    </row>
    <row r="3281" spans="24:24">
      <c r="X3281" s="1071"/>
    </row>
    <row r="3282" spans="24:24">
      <c r="X3282" s="1071"/>
    </row>
    <row r="3283" spans="24:24">
      <c r="X3283" s="1071"/>
    </row>
    <row r="3284" spans="24:24">
      <c r="X3284" s="1071"/>
    </row>
    <row r="3285" spans="24:24">
      <c r="X3285" s="1071"/>
    </row>
    <row r="3286" spans="24:24">
      <c r="X3286" s="1071"/>
    </row>
    <row r="3287" spans="24:24">
      <c r="X3287" s="1071"/>
    </row>
    <row r="3288" spans="24:24">
      <c r="X3288" s="1071"/>
    </row>
    <row r="3289" spans="24:24">
      <c r="X3289" s="1071"/>
    </row>
    <row r="3290" spans="24:24">
      <c r="X3290" s="1071"/>
    </row>
    <row r="3291" spans="24:24">
      <c r="X3291" s="1071"/>
    </row>
    <row r="3292" spans="24:24">
      <c r="X3292" s="1071"/>
    </row>
    <row r="3293" spans="24:24">
      <c r="X3293" s="1071"/>
    </row>
    <row r="3294" spans="24:24">
      <c r="X3294" s="1071"/>
    </row>
    <row r="3295" spans="24:24">
      <c r="X3295" s="1071"/>
    </row>
    <row r="3296" spans="24:24">
      <c r="X3296" s="1071"/>
    </row>
    <row r="3297" spans="24:24">
      <c r="X3297" s="1071"/>
    </row>
    <row r="3298" spans="24:24">
      <c r="X3298" s="1071"/>
    </row>
    <row r="3299" spans="24:24">
      <c r="X3299" s="1071"/>
    </row>
    <row r="3300" spans="24:24">
      <c r="X3300" s="1071"/>
    </row>
    <row r="3301" spans="24:24">
      <c r="X3301" s="1071"/>
    </row>
    <row r="3302" spans="24:24">
      <c r="X3302" s="1071"/>
    </row>
    <row r="3303" spans="24:24">
      <c r="X3303" s="1071"/>
    </row>
    <row r="3304" spans="24:24">
      <c r="X3304" s="1071"/>
    </row>
    <row r="3305" spans="24:24">
      <c r="X3305" s="1071"/>
    </row>
    <row r="3306" spans="24:24">
      <c r="X3306" s="1071"/>
    </row>
    <row r="3307" spans="24:24">
      <c r="X3307" s="1071"/>
    </row>
    <row r="3308" spans="24:24">
      <c r="X3308" s="1071"/>
    </row>
    <row r="3309" spans="24:24">
      <c r="X3309" s="1071"/>
    </row>
    <row r="3310" spans="24:24">
      <c r="X3310" s="1071"/>
    </row>
    <row r="3311" spans="24:24">
      <c r="X3311" s="1071"/>
    </row>
    <row r="3312" spans="24:24">
      <c r="X3312" s="1071"/>
    </row>
    <row r="3313" spans="24:24">
      <c r="X3313" s="1071"/>
    </row>
    <row r="3314" spans="24:24">
      <c r="X3314" s="1071"/>
    </row>
    <row r="3315" spans="24:24">
      <c r="X3315" s="1071"/>
    </row>
    <row r="3316" spans="24:24">
      <c r="X3316" s="1071"/>
    </row>
    <row r="3317" spans="24:24">
      <c r="X3317" s="1071"/>
    </row>
    <row r="3318" spans="24:24">
      <c r="X3318" s="1071"/>
    </row>
    <row r="3319" spans="24:24">
      <c r="X3319" s="1071"/>
    </row>
    <row r="3320" spans="24:24">
      <c r="X3320" s="1071"/>
    </row>
    <row r="3321" spans="24:24">
      <c r="X3321" s="1071"/>
    </row>
    <row r="3322" spans="24:24">
      <c r="X3322" s="1071"/>
    </row>
    <row r="3323" spans="24:24">
      <c r="X3323" s="1071"/>
    </row>
    <row r="3324" spans="24:24">
      <c r="X3324" s="1071"/>
    </row>
    <row r="3325" spans="24:24">
      <c r="X3325" s="1071"/>
    </row>
    <row r="3326" spans="24:24">
      <c r="X3326" s="1071"/>
    </row>
    <row r="3327" spans="24:24">
      <c r="X3327" s="1071"/>
    </row>
    <row r="3328" spans="24:24">
      <c r="X3328" s="1071"/>
    </row>
    <row r="3329" spans="24:24">
      <c r="X3329" s="1071"/>
    </row>
    <row r="3330" spans="24:24">
      <c r="X3330" s="1071"/>
    </row>
    <row r="3331" spans="24:24">
      <c r="X3331" s="1071"/>
    </row>
    <row r="3332" spans="24:24">
      <c r="X3332" s="1071"/>
    </row>
    <row r="3333" spans="24:24">
      <c r="X3333" s="1071"/>
    </row>
    <row r="3334" spans="24:24">
      <c r="X3334" s="1071"/>
    </row>
    <row r="3335" spans="24:24">
      <c r="X3335" s="1071"/>
    </row>
    <row r="3336" spans="24:24">
      <c r="X3336" s="1071"/>
    </row>
    <row r="3337" spans="24:24">
      <c r="X3337" s="1071"/>
    </row>
    <row r="3338" spans="24:24">
      <c r="X3338" s="1071"/>
    </row>
    <row r="3339" spans="24:24">
      <c r="X3339" s="1071"/>
    </row>
    <row r="3340" spans="24:24">
      <c r="X3340" s="1071"/>
    </row>
    <row r="3341" spans="24:24">
      <c r="X3341" s="1071"/>
    </row>
    <row r="3342" spans="24:24">
      <c r="X3342" s="1071"/>
    </row>
    <row r="3343" spans="24:24">
      <c r="X3343" s="1071"/>
    </row>
    <row r="3344" spans="24:24">
      <c r="X3344" s="1071"/>
    </row>
    <row r="3345" spans="24:24">
      <c r="X3345" s="1071"/>
    </row>
    <row r="3346" spans="24:24">
      <c r="X3346" s="1071"/>
    </row>
    <row r="3347" spans="24:24">
      <c r="X3347" s="1071"/>
    </row>
    <row r="3348" spans="24:24">
      <c r="X3348" s="1071"/>
    </row>
    <row r="3349" spans="24:24">
      <c r="X3349" s="1071"/>
    </row>
    <row r="3350" spans="24:24">
      <c r="X3350" s="1071"/>
    </row>
    <row r="3351" spans="24:24">
      <c r="X3351" s="1071"/>
    </row>
    <row r="3352" spans="24:24">
      <c r="X3352" s="1071"/>
    </row>
    <row r="3353" spans="24:24">
      <c r="X3353" s="1071"/>
    </row>
    <row r="3354" spans="24:24">
      <c r="X3354" s="1071"/>
    </row>
    <row r="3355" spans="24:24">
      <c r="X3355" s="1071"/>
    </row>
    <row r="3356" spans="24:24">
      <c r="X3356" s="1071"/>
    </row>
    <row r="3357" spans="24:24">
      <c r="X3357" s="1071"/>
    </row>
    <row r="3358" spans="24:24">
      <c r="X3358" s="1071"/>
    </row>
    <row r="3359" spans="24:24">
      <c r="X3359" s="1071"/>
    </row>
    <row r="3360" spans="24:24">
      <c r="X3360" s="1071"/>
    </row>
    <row r="3361" spans="24:24">
      <c r="X3361" s="1071"/>
    </row>
    <row r="3362" spans="24:24">
      <c r="X3362" s="1071"/>
    </row>
    <row r="3363" spans="24:24">
      <c r="X3363" s="1071"/>
    </row>
    <row r="3364" spans="24:24">
      <c r="X3364" s="1071"/>
    </row>
    <row r="3365" spans="24:24">
      <c r="X3365" s="1071"/>
    </row>
    <row r="3366" spans="24:24">
      <c r="X3366" s="1071"/>
    </row>
    <row r="3367" spans="24:24">
      <c r="X3367" s="1071"/>
    </row>
    <row r="3368" spans="24:24">
      <c r="X3368" s="1071"/>
    </row>
    <row r="3369" spans="24:24">
      <c r="X3369" s="1071"/>
    </row>
    <row r="3370" spans="24:24">
      <c r="X3370" s="1071"/>
    </row>
    <row r="3371" spans="24:24">
      <c r="X3371" s="1071"/>
    </row>
    <row r="3372" spans="24:24">
      <c r="X3372" s="1071"/>
    </row>
    <row r="3373" spans="24:24">
      <c r="X3373" s="1071"/>
    </row>
    <row r="3374" spans="24:24">
      <c r="X3374" s="1071"/>
    </row>
    <row r="3375" spans="24:24">
      <c r="X3375" s="1071"/>
    </row>
    <row r="3376" spans="24:24">
      <c r="X3376" s="1071"/>
    </row>
    <row r="3377" spans="24:24">
      <c r="X3377" s="1071"/>
    </row>
    <row r="3378" spans="24:24">
      <c r="X3378" s="1071"/>
    </row>
    <row r="3379" spans="24:24">
      <c r="X3379" s="1071"/>
    </row>
    <row r="3380" spans="24:24">
      <c r="X3380" s="1071"/>
    </row>
    <row r="3381" spans="24:24">
      <c r="X3381" s="1071"/>
    </row>
    <row r="3382" spans="24:24">
      <c r="X3382" s="1071"/>
    </row>
    <row r="3383" spans="24:24">
      <c r="X3383" s="1071"/>
    </row>
    <row r="3384" spans="24:24">
      <c r="X3384" s="1071"/>
    </row>
    <row r="3385" spans="24:24">
      <c r="X3385" s="1071"/>
    </row>
    <row r="3386" spans="24:24">
      <c r="X3386" s="1071"/>
    </row>
    <row r="3387" spans="24:24">
      <c r="X3387" s="1071"/>
    </row>
    <row r="3388" spans="24:24">
      <c r="X3388" s="1071"/>
    </row>
    <row r="3389" spans="24:24">
      <c r="X3389" s="1071"/>
    </row>
    <row r="3390" spans="24:24">
      <c r="X3390" s="1071"/>
    </row>
    <row r="3391" spans="24:24">
      <c r="X3391" s="1071"/>
    </row>
    <row r="3392" spans="24:24">
      <c r="X3392" s="1071"/>
    </row>
    <row r="3393" spans="24:24">
      <c r="X3393" s="1071"/>
    </row>
    <row r="3394" spans="24:24">
      <c r="X3394" s="1071"/>
    </row>
    <row r="3395" spans="24:24">
      <c r="X3395" s="1071"/>
    </row>
    <row r="3396" spans="24:24">
      <c r="X3396" s="1071"/>
    </row>
    <row r="3397" spans="24:24">
      <c r="X3397" s="1071"/>
    </row>
    <row r="3398" spans="24:24">
      <c r="X3398" s="1071"/>
    </row>
    <row r="3399" spans="24:24">
      <c r="X3399" s="1071"/>
    </row>
    <row r="3400" spans="24:24">
      <c r="X3400" s="1071"/>
    </row>
    <row r="3401" spans="24:24">
      <c r="X3401" s="1071"/>
    </row>
    <row r="3402" spans="24:24">
      <c r="X3402" s="1071"/>
    </row>
    <row r="3403" spans="24:24">
      <c r="X3403" s="1071"/>
    </row>
    <row r="3404" spans="24:24">
      <c r="X3404" s="1071"/>
    </row>
    <row r="3405" spans="24:24">
      <c r="X3405" s="1071"/>
    </row>
    <row r="3406" spans="24:24">
      <c r="X3406" s="1071"/>
    </row>
    <row r="3407" spans="24:24">
      <c r="X3407" s="1071"/>
    </row>
    <row r="3408" spans="24:24">
      <c r="X3408" s="1071"/>
    </row>
    <row r="3409" spans="24:24">
      <c r="X3409" s="1071"/>
    </row>
    <row r="3410" spans="24:24">
      <c r="X3410" s="1071"/>
    </row>
    <row r="3411" spans="24:24">
      <c r="X3411" s="1071"/>
    </row>
    <row r="3412" spans="24:24">
      <c r="X3412" s="1071"/>
    </row>
    <row r="3413" spans="24:24">
      <c r="X3413" s="1071"/>
    </row>
    <row r="3414" spans="24:24">
      <c r="X3414" s="1071"/>
    </row>
    <row r="3415" spans="24:24">
      <c r="X3415" s="1071"/>
    </row>
    <row r="3416" spans="24:24">
      <c r="X3416" s="1071"/>
    </row>
    <row r="3417" spans="24:24">
      <c r="X3417" s="1071"/>
    </row>
    <row r="3418" spans="24:24">
      <c r="X3418" s="1071"/>
    </row>
    <row r="3419" spans="24:24">
      <c r="X3419" s="1071"/>
    </row>
    <row r="3420" spans="24:24">
      <c r="X3420" s="1071"/>
    </row>
    <row r="3421" spans="24:24">
      <c r="X3421" s="1071"/>
    </row>
    <row r="3422" spans="24:24">
      <c r="X3422" s="1071"/>
    </row>
    <row r="3423" spans="24:24">
      <c r="X3423" s="1071"/>
    </row>
    <row r="3424" spans="24:24">
      <c r="X3424" s="1071"/>
    </row>
    <row r="3425" spans="24:24">
      <c r="X3425" s="1071"/>
    </row>
    <row r="3426" spans="24:24">
      <c r="X3426" s="1071"/>
    </row>
    <row r="3427" spans="24:24">
      <c r="X3427" s="1071"/>
    </row>
    <row r="3428" spans="24:24">
      <c r="X3428" s="1071"/>
    </row>
    <row r="3429" spans="24:24">
      <c r="X3429" s="1071"/>
    </row>
    <row r="3430" spans="24:24">
      <c r="X3430" s="1071"/>
    </row>
    <row r="3431" spans="24:24">
      <c r="X3431" s="1071"/>
    </row>
    <row r="3432" spans="24:24">
      <c r="X3432" s="1071"/>
    </row>
    <row r="3433" spans="24:24">
      <c r="X3433" s="1071"/>
    </row>
    <row r="3434" spans="24:24">
      <c r="X3434" s="1071"/>
    </row>
    <row r="3435" spans="24:24">
      <c r="X3435" s="1071"/>
    </row>
    <row r="3436" spans="24:24">
      <c r="X3436" s="1071"/>
    </row>
    <row r="3437" spans="24:24">
      <c r="X3437" s="1071"/>
    </row>
    <row r="3438" spans="24:24">
      <c r="X3438" s="1071"/>
    </row>
    <row r="3439" spans="24:24">
      <c r="X3439" s="1071"/>
    </row>
    <row r="3440" spans="24:24">
      <c r="X3440" s="1071"/>
    </row>
    <row r="3441" spans="24:24">
      <c r="X3441" s="1071"/>
    </row>
    <row r="3442" spans="24:24">
      <c r="X3442" s="1071"/>
    </row>
    <row r="3443" spans="24:24">
      <c r="X3443" s="1071"/>
    </row>
    <row r="3444" spans="24:24">
      <c r="X3444" s="1071"/>
    </row>
    <row r="3445" spans="24:24">
      <c r="X3445" s="1071"/>
    </row>
    <row r="3446" spans="24:24">
      <c r="X3446" s="1071"/>
    </row>
    <row r="3447" spans="24:24">
      <c r="X3447" s="1071"/>
    </row>
    <row r="3448" spans="24:24">
      <c r="X3448" s="1071"/>
    </row>
    <row r="3449" spans="24:24">
      <c r="X3449" s="1071"/>
    </row>
    <row r="3450" spans="24:24">
      <c r="X3450" s="1071"/>
    </row>
    <row r="3451" spans="24:24">
      <c r="X3451" s="1071"/>
    </row>
    <row r="3452" spans="24:24">
      <c r="X3452" s="1071"/>
    </row>
    <row r="3453" spans="24:24">
      <c r="X3453" s="1071"/>
    </row>
    <row r="3454" spans="24:24">
      <c r="X3454" s="1071"/>
    </row>
    <row r="3455" spans="24:24">
      <c r="X3455" s="1071"/>
    </row>
    <row r="3456" spans="24:24">
      <c r="X3456" s="1071"/>
    </row>
    <row r="3457" spans="24:24">
      <c r="X3457" s="1071"/>
    </row>
    <row r="3458" spans="24:24">
      <c r="X3458" s="1071"/>
    </row>
    <row r="3459" spans="24:24">
      <c r="X3459" s="1071"/>
    </row>
    <row r="3460" spans="24:24">
      <c r="X3460" s="1071"/>
    </row>
    <row r="3461" spans="24:24">
      <c r="X3461" s="1071"/>
    </row>
    <row r="3462" spans="24:24">
      <c r="X3462" s="1071"/>
    </row>
    <row r="3463" spans="24:24">
      <c r="X3463" s="1071"/>
    </row>
    <row r="3464" spans="24:24">
      <c r="X3464" s="1071"/>
    </row>
    <row r="3465" spans="24:24">
      <c r="X3465" s="1071"/>
    </row>
    <row r="3466" spans="24:24">
      <c r="X3466" s="1071"/>
    </row>
    <row r="3467" spans="24:24">
      <c r="X3467" s="1071"/>
    </row>
    <row r="3468" spans="24:24">
      <c r="X3468" s="1071"/>
    </row>
    <row r="3469" spans="24:24">
      <c r="X3469" s="1071"/>
    </row>
    <row r="3470" spans="24:24">
      <c r="X3470" s="1071"/>
    </row>
    <row r="3471" spans="24:24">
      <c r="X3471" s="1071"/>
    </row>
    <row r="3472" spans="24:24">
      <c r="X3472" s="1071"/>
    </row>
    <row r="3473" spans="24:24">
      <c r="X3473" s="1071"/>
    </row>
    <row r="3474" spans="24:24">
      <c r="X3474" s="1071"/>
    </row>
    <row r="3475" spans="24:24">
      <c r="X3475" s="1071"/>
    </row>
    <row r="3476" spans="24:24">
      <c r="X3476" s="1071"/>
    </row>
    <row r="3477" spans="24:24">
      <c r="X3477" s="1071"/>
    </row>
    <row r="3478" spans="24:24">
      <c r="X3478" s="1071"/>
    </row>
    <row r="3479" spans="24:24">
      <c r="X3479" s="1071"/>
    </row>
    <row r="3480" spans="24:24">
      <c r="X3480" s="1071"/>
    </row>
    <row r="3481" spans="24:24">
      <c r="X3481" s="1071"/>
    </row>
    <row r="3482" spans="24:24">
      <c r="X3482" s="1071"/>
    </row>
    <row r="3483" spans="24:24">
      <c r="X3483" s="1071"/>
    </row>
    <row r="3484" spans="24:24">
      <c r="X3484" s="1071"/>
    </row>
    <row r="3485" spans="24:24">
      <c r="X3485" s="1071"/>
    </row>
    <row r="3486" spans="24:24">
      <c r="X3486" s="1071"/>
    </row>
    <row r="3487" spans="24:24">
      <c r="X3487" s="1071"/>
    </row>
    <row r="3488" spans="24:24">
      <c r="X3488" s="1071"/>
    </row>
    <row r="3489" spans="24:24">
      <c r="X3489" s="1071"/>
    </row>
    <row r="3490" spans="24:24">
      <c r="X3490" s="1071"/>
    </row>
    <row r="3491" spans="24:24">
      <c r="X3491" s="1071"/>
    </row>
    <row r="3492" spans="24:24">
      <c r="X3492" s="1071"/>
    </row>
    <row r="3493" spans="24:24">
      <c r="X3493" s="1071"/>
    </row>
    <row r="3494" spans="24:24">
      <c r="X3494" s="1071"/>
    </row>
    <row r="3495" spans="24:24">
      <c r="X3495" s="1071"/>
    </row>
    <row r="3496" spans="24:24">
      <c r="X3496" s="1071"/>
    </row>
    <row r="3497" spans="24:24">
      <c r="X3497" s="1071"/>
    </row>
    <row r="3498" spans="24:24">
      <c r="X3498" s="1071"/>
    </row>
    <row r="3499" spans="24:24">
      <c r="X3499" s="1071"/>
    </row>
    <row r="3500" spans="24:24">
      <c r="X3500" s="1071"/>
    </row>
    <row r="3501" spans="24:24">
      <c r="X3501" s="1071"/>
    </row>
    <row r="3502" spans="24:24">
      <c r="X3502" s="1071"/>
    </row>
    <row r="3503" spans="24:24">
      <c r="X3503" s="1071"/>
    </row>
    <row r="3504" spans="24:24">
      <c r="X3504" s="1071"/>
    </row>
    <row r="3505" spans="24:24">
      <c r="X3505" s="1071"/>
    </row>
    <row r="3506" spans="24:24">
      <c r="X3506" s="1071"/>
    </row>
    <row r="3507" spans="24:24">
      <c r="X3507" s="1071"/>
    </row>
    <row r="3508" spans="24:24">
      <c r="X3508" s="1071"/>
    </row>
    <row r="3509" spans="24:24">
      <c r="X3509" s="1071"/>
    </row>
    <row r="3510" spans="24:24">
      <c r="X3510" s="1071"/>
    </row>
    <row r="3511" spans="24:24">
      <c r="X3511" s="1071"/>
    </row>
    <row r="3512" spans="24:24">
      <c r="X3512" s="1071"/>
    </row>
    <row r="3513" spans="24:24">
      <c r="X3513" s="1071"/>
    </row>
    <row r="3514" spans="24:24">
      <c r="X3514" s="1071"/>
    </row>
    <row r="3515" spans="24:24">
      <c r="X3515" s="1071"/>
    </row>
    <row r="3516" spans="24:24">
      <c r="X3516" s="1071"/>
    </row>
    <row r="3517" spans="24:24">
      <c r="X3517" s="1071"/>
    </row>
    <row r="3518" spans="24:24">
      <c r="X3518" s="1071"/>
    </row>
    <row r="3519" spans="24:24">
      <c r="X3519" s="1071"/>
    </row>
    <row r="3520" spans="24:24">
      <c r="X3520" s="1071"/>
    </row>
    <row r="3521" spans="24:24">
      <c r="X3521" s="1071"/>
    </row>
    <row r="3522" spans="24:24">
      <c r="X3522" s="1071"/>
    </row>
    <row r="3523" spans="24:24">
      <c r="X3523" s="1071"/>
    </row>
    <row r="3524" spans="24:24">
      <c r="X3524" s="1071"/>
    </row>
    <row r="3525" spans="24:24">
      <c r="X3525" s="1071"/>
    </row>
    <row r="3526" spans="24:24">
      <c r="X3526" s="1071"/>
    </row>
    <row r="3527" spans="24:24">
      <c r="X3527" s="1071"/>
    </row>
    <row r="3528" spans="24:24">
      <c r="X3528" s="1071"/>
    </row>
    <row r="3529" spans="24:24">
      <c r="X3529" s="1071"/>
    </row>
    <row r="3530" spans="24:24">
      <c r="X3530" s="1071"/>
    </row>
    <row r="3531" spans="24:24">
      <c r="X3531" s="1071"/>
    </row>
    <row r="3532" spans="24:24">
      <c r="X3532" s="1071"/>
    </row>
    <row r="3533" spans="24:24">
      <c r="X3533" s="1071"/>
    </row>
    <row r="3534" spans="24:24">
      <c r="X3534" s="1071"/>
    </row>
    <row r="3535" spans="24:24">
      <c r="X3535" s="1071"/>
    </row>
    <row r="3536" spans="24:24">
      <c r="X3536" s="1071"/>
    </row>
    <row r="3537" spans="24:24">
      <c r="X3537" s="1071"/>
    </row>
    <row r="3538" spans="24:24">
      <c r="X3538" s="1071"/>
    </row>
    <row r="3539" spans="24:24">
      <c r="X3539" s="1071"/>
    </row>
    <row r="3540" spans="24:24">
      <c r="X3540" s="1071"/>
    </row>
    <row r="3541" spans="24:24">
      <c r="X3541" s="1071"/>
    </row>
    <row r="3542" spans="24:24">
      <c r="X3542" s="1071"/>
    </row>
    <row r="3543" spans="24:24">
      <c r="X3543" s="1071"/>
    </row>
    <row r="3544" spans="24:24">
      <c r="X3544" s="1071"/>
    </row>
    <row r="3545" spans="24:24">
      <c r="X3545" s="1071"/>
    </row>
    <row r="3546" spans="24:24">
      <c r="X3546" s="1071"/>
    </row>
    <row r="3547" spans="24:24">
      <c r="X3547" s="1071"/>
    </row>
    <row r="3548" spans="24:24">
      <c r="X3548" s="1071"/>
    </row>
    <row r="3549" spans="24:24">
      <c r="X3549" s="1071"/>
    </row>
    <row r="3550" spans="24:24">
      <c r="X3550" s="1071"/>
    </row>
    <row r="3551" spans="24:24">
      <c r="X3551" s="1071"/>
    </row>
    <row r="3552" spans="24:24">
      <c r="X3552" s="1071"/>
    </row>
    <row r="3553" spans="24:24">
      <c r="X3553" s="1071"/>
    </row>
    <row r="3554" spans="24:24">
      <c r="X3554" s="1071"/>
    </row>
    <row r="3555" spans="24:24">
      <c r="X3555" s="1071"/>
    </row>
    <row r="3556" spans="24:24">
      <c r="X3556" s="1071"/>
    </row>
    <row r="3557" spans="24:24">
      <c r="X3557" s="1071"/>
    </row>
    <row r="3558" spans="24:24">
      <c r="X3558" s="1071"/>
    </row>
    <row r="3559" spans="24:24">
      <c r="X3559" s="1071"/>
    </row>
    <row r="3560" spans="24:24">
      <c r="X3560" s="1071"/>
    </row>
    <row r="3561" spans="24:24">
      <c r="X3561" s="1071"/>
    </row>
    <row r="3562" spans="24:24">
      <c r="X3562" s="1071"/>
    </row>
    <row r="3563" spans="24:24">
      <c r="X3563" s="1071"/>
    </row>
    <row r="3564" spans="24:24">
      <c r="X3564" s="1071"/>
    </row>
    <row r="3565" spans="24:24">
      <c r="X3565" s="1071"/>
    </row>
    <row r="3566" spans="24:24">
      <c r="X3566" s="1071"/>
    </row>
    <row r="3567" spans="24:24">
      <c r="X3567" s="1071"/>
    </row>
    <row r="3568" spans="24:24">
      <c r="X3568" s="1071"/>
    </row>
    <row r="3569" spans="24:24">
      <c r="X3569" s="1071"/>
    </row>
    <row r="3570" spans="24:24">
      <c r="X3570" s="1071"/>
    </row>
    <row r="3571" spans="24:24">
      <c r="X3571" s="1071"/>
    </row>
    <row r="3572" spans="24:24">
      <c r="X3572" s="1071"/>
    </row>
    <row r="3573" spans="24:24">
      <c r="X3573" s="1071"/>
    </row>
    <row r="3574" spans="24:24">
      <c r="X3574" s="1071"/>
    </row>
    <row r="3575" spans="24:24">
      <c r="X3575" s="1071"/>
    </row>
    <row r="3576" spans="24:24">
      <c r="X3576" s="1071"/>
    </row>
    <row r="3577" spans="24:24">
      <c r="X3577" s="1071"/>
    </row>
    <row r="3578" spans="24:24">
      <c r="X3578" s="1071"/>
    </row>
    <row r="3579" spans="24:24">
      <c r="X3579" s="1071"/>
    </row>
    <row r="3580" spans="24:24">
      <c r="X3580" s="1071"/>
    </row>
    <row r="3581" spans="24:24">
      <c r="X3581" s="1071"/>
    </row>
    <row r="3582" spans="24:24">
      <c r="X3582" s="1071"/>
    </row>
    <row r="3583" spans="24:24">
      <c r="X3583" s="1071"/>
    </row>
    <row r="3584" spans="24:24">
      <c r="X3584" s="1071"/>
    </row>
    <row r="3585" spans="24:24">
      <c r="X3585" s="1071"/>
    </row>
    <row r="3586" spans="24:24">
      <c r="X3586" s="1071"/>
    </row>
    <row r="3587" spans="24:24">
      <c r="X3587" s="1071"/>
    </row>
    <row r="3588" spans="24:24">
      <c r="X3588" s="1071"/>
    </row>
    <row r="3589" spans="24:24">
      <c r="X3589" s="1071"/>
    </row>
    <row r="3590" spans="24:24">
      <c r="X3590" s="1071"/>
    </row>
    <row r="3591" spans="24:24">
      <c r="X3591" s="1071"/>
    </row>
    <row r="3592" spans="24:24">
      <c r="X3592" s="1071"/>
    </row>
    <row r="3593" spans="24:24">
      <c r="X3593" s="1071"/>
    </row>
    <row r="3594" spans="24:24">
      <c r="X3594" s="1071"/>
    </row>
    <row r="3595" spans="24:24">
      <c r="X3595" s="1071"/>
    </row>
    <row r="3596" spans="24:24">
      <c r="X3596" s="1071"/>
    </row>
    <row r="3597" spans="24:24">
      <c r="X3597" s="1071"/>
    </row>
    <row r="3598" spans="24:24">
      <c r="X3598" s="1071"/>
    </row>
    <row r="3599" spans="24:24">
      <c r="X3599" s="1071"/>
    </row>
    <row r="3600" spans="24:24">
      <c r="X3600" s="1071"/>
    </row>
    <row r="3601" spans="24:24">
      <c r="X3601" s="1071"/>
    </row>
    <row r="3602" spans="24:24">
      <c r="X3602" s="1071"/>
    </row>
    <row r="3603" spans="24:24">
      <c r="X3603" s="1071"/>
    </row>
    <row r="3604" spans="24:24">
      <c r="X3604" s="1071"/>
    </row>
    <row r="3605" spans="24:24">
      <c r="X3605" s="1071"/>
    </row>
    <row r="3606" spans="24:24">
      <c r="X3606" s="1071"/>
    </row>
    <row r="3607" spans="24:24">
      <c r="X3607" s="1071"/>
    </row>
    <row r="3608" spans="24:24">
      <c r="X3608" s="1071"/>
    </row>
    <row r="3609" spans="24:24">
      <c r="X3609" s="1071"/>
    </row>
    <row r="3610" spans="24:24">
      <c r="X3610" s="1071"/>
    </row>
    <row r="3611" spans="24:24">
      <c r="X3611" s="1071"/>
    </row>
    <row r="3612" spans="24:24">
      <c r="X3612" s="1071"/>
    </row>
    <row r="3613" spans="24:24">
      <c r="X3613" s="1071"/>
    </row>
    <row r="3614" spans="24:24">
      <c r="X3614" s="1071"/>
    </row>
    <row r="3615" spans="24:24">
      <c r="X3615" s="1071"/>
    </row>
    <row r="3616" spans="24:24">
      <c r="X3616" s="1071"/>
    </row>
    <row r="3617" spans="24:24">
      <c r="X3617" s="1071"/>
    </row>
    <row r="3618" spans="24:24">
      <c r="X3618" s="1071"/>
    </row>
    <row r="3619" spans="24:24">
      <c r="X3619" s="1071"/>
    </row>
    <row r="3620" spans="24:24">
      <c r="X3620" s="1071"/>
    </row>
    <row r="3621" spans="24:24">
      <c r="X3621" s="1071"/>
    </row>
    <row r="3622" spans="24:24">
      <c r="X3622" s="1071"/>
    </row>
    <row r="3623" spans="24:24">
      <c r="X3623" s="1071"/>
    </row>
    <row r="3624" spans="24:24">
      <c r="X3624" s="1071"/>
    </row>
    <row r="3625" spans="24:24">
      <c r="X3625" s="1071"/>
    </row>
    <row r="3626" spans="24:24">
      <c r="X3626" s="1071"/>
    </row>
    <row r="3627" spans="24:24">
      <c r="X3627" s="1071"/>
    </row>
    <row r="3628" spans="24:24">
      <c r="X3628" s="1071"/>
    </row>
    <row r="3629" spans="24:24">
      <c r="X3629" s="1071"/>
    </row>
    <row r="3630" spans="24:24">
      <c r="X3630" s="1071"/>
    </row>
    <row r="3631" spans="24:24">
      <c r="X3631" s="1071"/>
    </row>
    <row r="3632" spans="24:24">
      <c r="X3632" s="1071"/>
    </row>
    <row r="3633" spans="24:24">
      <c r="X3633" s="1071"/>
    </row>
    <row r="3634" spans="24:24">
      <c r="X3634" s="1071"/>
    </row>
    <row r="3635" spans="24:24">
      <c r="X3635" s="1071"/>
    </row>
    <row r="3636" spans="24:24">
      <c r="X3636" s="1071"/>
    </row>
    <row r="3637" spans="24:24">
      <c r="X3637" s="1071"/>
    </row>
    <row r="3638" spans="24:24">
      <c r="X3638" s="1071"/>
    </row>
    <row r="3639" spans="24:24">
      <c r="X3639" s="1071"/>
    </row>
    <row r="3640" spans="24:24">
      <c r="X3640" s="1071"/>
    </row>
    <row r="3641" spans="24:24">
      <c r="X3641" s="1071"/>
    </row>
    <row r="3642" spans="24:24">
      <c r="X3642" s="1071"/>
    </row>
    <row r="3643" spans="24:24">
      <c r="X3643" s="1071"/>
    </row>
    <row r="3644" spans="24:24">
      <c r="X3644" s="1071"/>
    </row>
    <row r="3645" spans="24:24">
      <c r="X3645" s="1071"/>
    </row>
    <row r="3646" spans="24:24">
      <c r="X3646" s="1071"/>
    </row>
    <row r="3647" spans="24:24">
      <c r="X3647" s="1071"/>
    </row>
    <row r="3648" spans="24:24">
      <c r="X3648" s="1071"/>
    </row>
    <row r="3649" spans="24:24">
      <c r="X3649" s="1071"/>
    </row>
    <row r="3650" spans="24:24">
      <c r="X3650" s="1071"/>
    </row>
    <row r="3651" spans="24:24">
      <c r="X3651" s="1071"/>
    </row>
    <row r="3652" spans="24:24">
      <c r="X3652" s="1071"/>
    </row>
    <row r="3653" spans="24:24">
      <c r="X3653" s="1071"/>
    </row>
    <row r="3654" spans="24:24">
      <c r="X3654" s="1071"/>
    </row>
    <row r="3655" spans="24:24">
      <c r="X3655" s="1071"/>
    </row>
    <row r="3656" spans="24:24">
      <c r="X3656" s="1071"/>
    </row>
    <row r="3657" spans="24:24">
      <c r="X3657" s="1071"/>
    </row>
    <row r="3658" spans="24:24">
      <c r="X3658" s="1071"/>
    </row>
    <row r="3659" spans="24:24">
      <c r="X3659" s="1071"/>
    </row>
    <row r="3660" spans="24:24">
      <c r="X3660" s="1071"/>
    </row>
    <row r="3661" spans="24:24">
      <c r="X3661" s="1071"/>
    </row>
    <row r="3662" spans="24:24">
      <c r="X3662" s="1071"/>
    </row>
    <row r="3663" spans="24:24">
      <c r="X3663" s="1071"/>
    </row>
    <row r="3664" spans="24:24">
      <c r="X3664" s="1071"/>
    </row>
    <row r="3665" spans="24:24">
      <c r="X3665" s="1071"/>
    </row>
    <row r="3666" spans="24:24">
      <c r="X3666" s="1071"/>
    </row>
    <row r="3667" spans="24:24">
      <c r="X3667" s="1071"/>
    </row>
    <row r="3668" spans="24:24">
      <c r="X3668" s="1071"/>
    </row>
    <row r="3669" spans="24:24">
      <c r="X3669" s="1071"/>
    </row>
    <row r="3670" spans="24:24">
      <c r="X3670" s="1071"/>
    </row>
    <row r="3671" spans="24:24">
      <c r="X3671" s="1071"/>
    </row>
    <row r="3672" spans="24:24">
      <c r="X3672" s="1071"/>
    </row>
    <row r="3673" spans="24:24">
      <c r="X3673" s="1071"/>
    </row>
    <row r="3674" spans="24:24">
      <c r="X3674" s="1071"/>
    </row>
    <row r="3675" spans="24:24">
      <c r="X3675" s="1071"/>
    </row>
    <row r="3676" spans="24:24">
      <c r="X3676" s="1071"/>
    </row>
    <row r="3677" spans="24:24">
      <c r="X3677" s="1071"/>
    </row>
    <row r="3678" spans="24:24">
      <c r="X3678" s="1071"/>
    </row>
    <row r="3679" spans="24:24">
      <c r="X3679" s="1071"/>
    </row>
    <row r="3680" spans="24:24">
      <c r="X3680" s="1071"/>
    </row>
    <row r="3681" spans="24:24">
      <c r="X3681" s="1071"/>
    </row>
    <row r="3682" spans="24:24">
      <c r="X3682" s="1071"/>
    </row>
    <row r="3683" spans="24:24">
      <c r="X3683" s="1071"/>
    </row>
    <row r="3684" spans="24:24">
      <c r="X3684" s="1071"/>
    </row>
    <row r="3685" spans="24:24">
      <c r="X3685" s="1071"/>
    </row>
    <row r="3686" spans="24:24">
      <c r="X3686" s="1071"/>
    </row>
    <row r="3687" spans="24:24">
      <c r="X3687" s="1071"/>
    </row>
    <row r="3688" spans="24:24">
      <c r="X3688" s="1071"/>
    </row>
    <row r="3689" spans="24:24">
      <c r="X3689" s="1071"/>
    </row>
    <row r="3690" spans="24:24">
      <c r="X3690" s="1071"/>
    </row>
    <row r="3691" spans="24:24">
      <c r="X3691" s="1071"/>
    </row>
    <row r="3692" spans="24:24">
      <c r="X3692" s="1071"/>
    </row>
    <row r="3693" spans="24:24">
      <c r="X3693" s="1071"/>
    </row>
    <row r="3694" spans="24:24">
      <c r="X3694" s="1071"/>
    </row>
    <row r="3695" spans="24:24">
      <c r="X3695" s="1071"/>
    </row>
    <row r="3696" spans="24:24">
      <c r="X3696" s="1071"/>
    </row>
    <row r="3697" spans="24:24">
      <c r="X3697" s="1071"/>
    </row>
    <row r="3698" spans="24:24">
      <c r="X3698" s="1071"/>
    </row>
    <row r="3699" spans="24:24">
      <c r="X3699" s="1071"/>
    </row>
    <row r="3700" spans="24:24">
      <c r="X3700" s="1071"/>
    </row>
    <row r="3701" spans="24:24">
      <c r="X3701" s="1071"/>
    </row>
    <row r="3702" spans="24:24">
      <c r="X3702" s="1071"/>
    </row>
    <row r="3703" spans="24:24">
      <c r="X3703" s="1071"/>
    </row>
    <row r="3704" spans="24:24">
      <c r="X3704" s="1071"/>
    </row>
    <row r="3705" spans="24:24">
      <c r="X3705" s="1071"/>
    </row>
    <row r="3706" spans="24:24">
      <c r="X3706" s="1071"/>
    </row>
    <row r="3707" spans="24:24">
      <c r="X3707" s="1071"/>
    </row>
    <row r="3708" spans="24:24">
      <c r="X3708" s="1071"/>
    </row>
    <row r="3709" spans="24:24">
      <c r="X3709" s="1071"/>
    </row>
    <row r="3710" spans="24:24">
      <c r="X3710" s="1071"/>
    </row>
    <row r="3711" spans="24:24">
      <c r="X3711" s="1071"/>
    </row>
    <row r="3712" spans="24:24">
      <c r="X3712" s="1071"/>
    </row>
    <row r="3713" spans="24:24">
      <c r="X3713" s="1071"/>
    </row>
    <row r="3714" spans="24:24">
      <c r="X3714" s="1071"/>
    </row>
    <row r="3715" spans="24:24">
      <c r="X3715" s="1071"/>
    </row>
    <row r="3716" spans="24:24">
      <c r="X3716" s="1071"/>
    </row>
    <row r="3717" spans="24:24">
      <c r="X3717" s="1071"/>
    </row>
    <row r="3718" spans="24:24">
      <c r="X3718" s="1071"/>
    </row>
    <row r="3719" spans="24:24">
      <c r="X3719" s="1071"/>
    </row>
    <row r="3720" spans="24:24">
      <c r="X3720" s="1071"/>
    </row>
    <row r="3721" spans="24:24">
      <c r="X3721" s="1071"/>
    </row>
    <row r="3722" spans="24:24">
      <c r="X3722" s="1071"/>
    </row>
    <row r="3723" spans="24:24">
      <c r="X3723" s="1071"/>
    </row>
    <row r="3724" spans="24:24">
      <c r="X3724" s="1071"/>
    </row>
    <row r="3725" spans="24:24">
      <c r="X3725" s="1071"/>
    </row>
    <row r="3726" spans="24:24">
      <c r="X3726" s="1071"/>
    </row>
    <row r="3727" spans="24:24">
      <c r="X3727" s="1071"/>
    </row>
    <row r="3728" spans="24:24">
      <c r="X3728" s="1071"/>
    </row>
    <row r="3729" spans="24:24">
      <c r="X3729" s="1071"/>
    </row>
    <row r="3730" spans="24:24">
      <c r="X3730" s="1071"/>
    </row>
    <row r="3731" spans="24:24">
      <c r="X3731" s="1071"/>
    </row>
    <row r="3732" spans="24:24">
      <c r="X3732" s="1071"/>
    </row>
    <row r="3733" spans="24:24">
      <c r="X3733" s="1071"/>
    </row>
    <row r="3734" spans="24:24">
      <c r="X3734" s="1071"/>
    </row>
    <row r="3735" spans="24:24">
      <c r="X3735" s="1071"/>
    </row>
    <row r="3736" spans="24:24">
      <c r="X3736" s="1071"/>
    </row>
    <row r="3737" spans="24:24">
      <c r="X3737" s="1071"/>
    </row>
    <row r="3738" spans="24:24">
      <c r="X3738" s="1071"/>
    </row>
    <row r="3739" spans="24:24">
      <c r="X3739" s="1071"/>
    </row>
    <row r="3740" spans="24:24">
      <c r="X3740" s="1071"/>
    </row>
    <row r="3741" spans="24:24">
      <c r="X3741" s="1071"/>
    </row>
    <row r="3742" spans="24:24">
      <c r="X3742" s="1071"/>
    </row>
    <row r="3743" spans="24:24">
      <c r="X3743" s="1071"/>
    </row>
    <row r="3744" spans="24:24">
      <c r="X3744" s="1071"/>
    </row>
    <row r="3745" spans="24:24">
      <c r="X3745" s="1071"/>
    </row>
    <row r="3746" spans="24:24">
      <c r="X3746" s="1071"/>
    </row>
    <row r="3747" spans="24:24">
      <c r="X3747" s="1071"/>
    </row>
    <row r="3748" spans="24:24">
      <c r="X3748" s="1071"/>
    </row>
    <row r="3749" spans="24:24">
      <c r="X3749" s="1071"/>
    </row>
    <row r="3750" spans="24:24">
      <c r="X3750" s="1071"/>
    </row>
    <row r="3751" spans="24:24">
      <c r="X3751" s="1071"/>
    </row>
    <row r="3752" spans="24:24">
      <c r="X3752" s="1071"/>
    </row>
    <row r="3753" spans="24:24">
      <c r="X3753" s="1071"/>
    </row>
    <row r="3754" spans="24:24">
      <c r="X3754" s="1071"/>
    </row>
    <row r="3755" spans="24:24">
      <c r="X3755" s="1071"/>
    </row>
    <row r="3756" spans="24:24">
      <c r="X3756" s="1071"/>
    </row>
    <row r="3757" spans="24:24">
      <c r="X3757" s="1071"/>
    </row>
    <row r="3758" spans="24:24">
      <c r="X3758" s="1071"/>
    </row>
    <row r="3759" spans="24:24">
      <c r="X3759" s="1071"/>
    </row>
    <row r="3760" spans="24:24">
      <c r="X3760" s="1071"/>
    </row>
    <row r="3761" spans="24:24">
      <c r="X3761" s="1071"/>
    </row>
    <row r="3762" spans="24:24">
      <c r="X3762" s="1071"/>
    </row>
    <row r="3763" spans="24:24">
      <c r="X3763" s="1071"/>
    </row>
    <row r="3764" spans="24:24">
      <c r="X3764" s="1071"/>
    </row>
    <row r="3765" spans="24:24">
      <c r="X3765" s="1071"/>
    </row>
    <row r="3766" spans="24:24">
      <c r="X3766" s="1071"/>
    </row>
    <row r="3767" spans="24:24">
      <c r="X3767" s="1071"/>
    </row>
    <row r="3768" spans="24:24">
      <c r="X3768" s="1071"/>
    </row>
    <row r="3769" spans="24:24">
      <c r="X3769" s="1071"/>
    </row>
    <row r="3770" spans="24:24">
      <c r="X3770" s="1071"/>
    </row>
    <row r="3771" spans="24:24">
      <c r="X3771" s="1071"/>
    </row>
    <row r="3772" spans="24:24">
      <c r="X3772" s="1071"/>
    </row>
    <row r="3773" spans="24:24">
      <c r="X3773" s="1071"/>
    </row>
    <row r="3774" spans="24:24">
      <c r="X3774" s="1071"/>
    </row>
    <row r="3775" spans="24:24">
      <c r="X3775" s="1071"/>
    </row>
    <row r="3776" spans="24:24">
      <c r="X3776" s="1071"/>
    </row>
    <row r="3777" spans="24:24">
      <c r="X3777" s="1071"/>
    </row>
    <row r="3778" spans="24:24">
      <c r="X3778" s="1071"/>
    </row>
    <row r="3779" spans="24:24">
      <c r="X3779" s="1071"/>
    </row>
    <row r="3780" spans="24:24">
      <c r="X3780" s="1071"/>
    </row>
    <row r="3781" spans="24:24">
      <c r="X3781" s="1071"/>
    </row>
    <row r="3782" spans="24:24">
      <c r="X3782" s="1071"/>
    </row>
    <row r="3783" spans="24:24">
      <c r="X3783" s="1071"/>
    </row>
    <row r="3784" spans="24:24">
      <c r="X3784" s="1071"/>
    </row>
    <row r="3785" spans="24:24">
      <c r="X3785" s="1071"/>
    </row>
    <row r="3786" spans="24:24">
      <c r="X3786" s="1071"/>
    </row>
    <row r="3787" spans="24:24">
      <c r="X3787" s="1071"/>
    </row>
    <row r="3788" spans="24:24">
      <c r="X3788" s="1071"/>
    </row>
    <row r="3789" spans="24:24">
      <c r="X3789" s="1071"/>
    </row>
    <row r="3790" spans="24:24">
      <c r="X3790" s="1071"/>
    </row>
    <row r="3791" spans="24:24">
      <c r="X3791" s="1071"/>
    </row>
    <row r="3792" spans="24:24">
      <c r="X3792" s="1071"/>
    </row>
    <row r="3793" spans="24:24">
      <c r="X3793" s="1071"/>
    </row>
    <row r="3794" spans="24:24">
      <c r="X3794" s="1071"/>
    </row>
    <row r="3795" spans="24:24">
      <c r="X3795" s="1071"/>
    </row>
    <row r="3796" spans="24:24">
      <c r="X3796" s="1071"/>
    </row>
    <row r="3797" spans="24:24">
      <c r="X3797" s="1071"/>
    </row>
    <row r="3798" spans="24:24">
      <c r="X3798" s="1071"/>
    </row>
    <row r="3799" spans="24:24">
      <c r="X3799" s="1071"/>
    </row>
    <row r="3800" spans="24:24">
      <c r="X3800" s="1071"/>
    </row>
    <row r="3801" spans="24:24">
      <c r="X3801" s="1071"/>
    </row>
    <row r="3802" spans="24:24">
      <c r="X3802" s="1071"/>
    </row>
    <row r="3803" spans="24:24">
      <c r="X3803" s="1071"/>
    </row>
    <row r="3804" spans="24:24">
      <c r="X3804" s="1071"/>
    </row>
    <row r="3805" spans="24:24">
      <c r="X3805" s="1071"/>
    </row>
    <row r="3806" spans="24:24">
      <c r="X3806" s="1071"/>
    </row>
    <row r="3807" spans="24:24">
      <c r="X3807" s="1071"/>
    </row>
    <row r="3808" spans="24:24">
      <c r="X3808" s="1071"/>
    </row>
    <row r="3809" spans="24:24">
      <c r="X3809" s="1071"/>
    </row>
    <row r="3810" spans="24:24">
      <c r="X3810" s="1071"/>
    </row>
    <row r="3811" spans="24:24">
      <c r="X3811" s="1071"/>
    </row>
    <row r="3812" spans="24:24">
      <c r="X3812" s="1071"/>
    </row>
    <row r="3813" spans="24:24">
      <c r="X3813" s="1071"/>
    </row>
    <row r="3814" spans="24:24">
      <c r="X3814" s="1071"/>
    </row>
    <row r="3815" spans="24:24">
      <c r="X3815" s="1071"/>
    </row>
    <row r="3816" spans="24:24">
      <c r="X3816" s="1071"/>
    </row>
    <row r="3817" spans="24:24">
      <c r="X3817" s="1071"/>
    </row>
    <row r="3818" spans="24:24">
      <c r="X3818" s="1071"/>
    </row>
    <row r="3819" spans="24:24">
      <c r="X3819" s="1071"/>
    </row>
    <row r="3820" spans="24:24">
      <c r="X3820" s="1071"/>
    </row>
    <row r="3821" spans="24:24">
      <c r="X3821" s="1071"/>
    </row>
    <row r="3822" spans="24:24">
      <c r="X3822" s="1071"/>
    </row>
    <row r="3823" spans="24:24">
      <c r="X3823" s="1071"/>
    </row>
    <row r="3824" spans="24:24">
      <c r="X3824" s="1071"/>
    </row>
    <row r="3825" spans="24:24">
      <c r="X3825" s="1071"/>
    </row>
    <row r="3826" spans="24:24">
      <c r="X3826" s="1071"/>
    </row>
    <row r="3827" spans="24:24">
      <c r="X3827" s="1071"/>
    </row>
    <row r="3828" spans="24:24">
      <c r="X3828" s="1071"/>
    </row>
    <row r="3829" spans="24:24">
      <c r="X3829" s="1071"/>
    </row>
    <row r="3830" spans="24:24">
      <c r="X3830" s="1071"/>
    </row>
    <row r="3831" spans="24:24">
      <c r="X3831" s="1071"/>
    </row>
    <row r="3832" spans="24:24">
      <c r="X3832" s="1071"/>
    </row>
    <row r="3833" spans="24:24">
      <c r="X3833" s="1071"/>
    </row>
    <row r="3834" spans="24:24">
      <c r="X3834" s="1071"/>
    </row>
    <row r="3835" spans="24:24">
      <c r="X3835" s="1071"/>
    </row>
    <row r="3836" spans="24:24">
      <c r="X3836" s="1071"/>
    </row>
    <row r="3837" spans="24:24">
      <c r="X3837" s="1071"/>
    </row>
    <row r="3838" spans="24:24">
      <c r="X3838" s="1071"/>
    </row>
    <row r="3839" spans="24:24">
      <c r="X3839" s="1071"/>
    </row>
    <row r="3840" spans="24:24">
      <c r="X3840" s="1071"/>
    </row>
    <row r="3841" spans="24:24">
      <c r="X3841" s="1071"/>
    </row>
    <row r="3842" spans="24:24">
      <c r="X3842" s="1071"/>
    </row>
    <row r="3843" spans="24:24">
      <c r="X3843" s="1071"/>
    </row>
    <row r="3844" spans="24:24">
      <c r="X3844" s="1071"/>
    </row>
    <row r="3845" spans="24:24">
      <c r="X3845" s="1071"/>
    </row>
    <row r="3846" spans="24:24">
      <c r="X3846" s="1071"/>
    </row>
    <row r="3847" spans="24:24">
      <c r="X3847" s="1071"/>
    </row>
    <row r="3848" spans="24:24">
      <c r="X3848" s="1071"/>
    </row>
    <row r="3849" spans="24:24">
      <c r="X3849" s="1071"/>
    </row>
    <row r="3850" spans="24:24">
      <c r="X3850" s="1071"/>
    </row>
    <row r="3851" spans="24:24">
      <c r="X3851" s="1071"/>
    </row>
    <row r="3852" spans="24:24">
      <c r="X3852" s="1071"/>
    </row>
    <row r="3853" spans="24:24">
      <c r="X3853" s="1071"/>
    </row>
    <row r="3854" spans="24:24">
      <c r="X3854" s="1071"/>
    </row>
    <row r="3855" spans="24:24">
      <c r="X3855" s="1071"/>
    </row>
    <row r="3856" spans="24:24">
      <c r="X3856" s="1071"/>
    </row>
    <row r="3857" spans="24:24">
      <c r="X3857" s="1071"/>
    </row>
    <row r="3858" spans="24:24">
      <c r="X3858" s="1071"/>
    </row>
    <row r="3859" spans="24:24">
      <c r="X3859" s="1071"/>
    </row>
    <row r="3860" spans="24:24">
      <c r="X3860" s="1071"/>
    </row>
    <row r="3861" spans="24:24">
      <c r="X3861" s="1071"/>
    </row>
    <row r="3862" spans="24:24">
      <c r="X3862" s="1071"/>
    </row>
    <row r="3863" spans="24:24">
      <c r="X3863" s="1071"/>
    </row>
    <row r="3864" spans="24:24">
      <c r="X3864" s="1071"/>
    </row>
    <row r="3865" spans="24:24">
      <c r="X3865" s="1071"/>
    </row>
    <row r="3866" spans="24:24">
      <c r="X3866" s="1071"/>
    </row>
    <row r="3867" spans="24:24">
      <c r="X3867" s="1071"/>
    </row>
    <row r="3868" spans="24:24">
      <c r="X3868" s="1071"/>
    </row>
    <row r="3869" spans="24:24">
      <c r="X3869" s="1071"/>
    </row>
    <row r="3870" spans="24:24">
      <c r="X3870" s="1071"/>
    </row>
    <row r="3871" spans="24:24">
      <c r="X3871" s="1071"/>
    </row>
    <row r="3872" spans="24:24">
      <c r="X3872" s="1071"/>
    </row>
    <row r="3873" spans="24:24">
      <c r="X3873" s="1071"/>
    </row>
    <row r="3874" spans="24:24">
      <c r="X3874" s="1071"/>
    </row>
    <row r="3875" spans="24:24">
      <c r="X3875" s="1071"/>
    </row>
    <row r="3876" spans="24:24">
      <c r="X3876" s="1071"/>
    </row>
    <row r="3877" spans="24:24">
      <c r="X3877" s="1071"/>
    </row>
    <row r="3878" spans="24:24">
      <c r="X3878" s="1071"/>
    </row>
    <row r="3879" spans="24:24">
      <c r="X3879" s="1071"/>
    </row>
    <row r="3880" spans="24:24">
      <c r="X3880" s="1071"/>
    </row>
    <row r="3881" spans="24:24">
      <c r="X3881" s="1071"/>
    </row>
    <row r="3882" spans="24:24">
      <c r="X3882" s="1071"/>
    </row>
    <row r="3883" spans="24:24">
      <c r="X3883" s="1071"/>
    </row>
    <row r="3884" spans="24:24">
      <c r="X3884" s="1071"/>
    </row>
    <row r="3885" spans="24:24">
      <c r="X3885" s="1071"/>
    </row>
    <row r="3886" spans="24:24">
      <c r="X3886" s="1071"/>
    </row>
    <row r="3887" spans="24:24">
      <c r="X3887" s="1071"/>
    </row>
    <row r="3888" spans="24:24">
      <c r="X3888" s="1071"/>
    </row>
    <row r="3889" spans="24:24">
      <c r="X3889" s="1071"/>
    </row>
    <row r="3890" spans="24:24">
      <c r="X3890" s="1071"/>
    </row>
    <row r="3891" spans="24:24">
      <c r="X3891" s="1071"/>
    </row>
    <row r="3892" spans="24:24">
      <c r="X3892" s="1071"/>
    </row>
    <row r="3893" spans="24:24">
      <c r="X3893" s="1071"/>
    </row>
    <row r="3894" spans="24:24">
      <c r="X3894" s="1071"/>
    </row>
    <row r="3895" spans="24:24">
      <c r="X3895" s="1071"/>
    </row>
    <row r="3896" spans="24:24">
      <c r="X3896" s="1071"/>
    </row>
    <row r="3897" spans="24:24">
      <c r="X3897" s="1071"/>
    </row>
    <row r="3898" spans="24:24">
      <c r="X3898" s="1071"/>
    </row>
    <row r="3899" spans="24:24">
      <c r="X3899" s="1071"/>
    </row>
    <row r="3900" spans="24:24">
      <c r="X3900" s="1071"/>
    </row>
    <row r="3901" spans="24:24">
      <c r="X3901" s="1071"/>
    </row>
    <row r="3902" spans="24:24">
      <c r="X3902" s="1071"/>
    </row>
    <row r="3903" spans="24:24">
      <c r="X3903" s="1071"/>
    </row>
    <row r="3904" spans="24:24">
      <c r="X3904" s="1071"/>
    </row>
    <row r="3905" spans="24:24">
      <c r="X3905" s="1071"/>
    </row>
    <row r="3906" spans="24:24">
      <c r="X3906" s="1071"/>
    </row>
    <row r="3907" spans="24:24">
      <c r="X3907" s="1071"/>
    </row>
    <row r="3908" spans="24:24">
      <c r="X3908" s="1071"/>
    </row>
    <row r="3909" spans="24:24">
      <c r="X3909" s="1071"/>
    </row>
    <row r="3910" spans="24:24">
      <c r="X3910" s="1071"/>
    </row>
    <row r="3911" spans="24:24">
      <c r="X3911" s="1071"/>
    </row>
    <row r="3912" spans="24:24">
      <c r="X3912" s="1071"/>
    </row>
    <row r="3913" spans="24:24">
      <c r="X3913" s="1071"/>
    </row>
    <row r="3914" spans="24:24">
      <c r="X3914" s="1071"/>
    </row>
    <row r="3915" spans="24:24">
      <c r="X3915" s="1071"/>
    </row>
    <row r="3916" spans="24:24">
      <c r="X3916" s="1071"/>
    </row>
    <row r="3917" spans="24:24">
      <c r="X3917" s="1071"/>
    </row>
    <row r="3918" spans="24:24">
      <c r="X3918" s="1071"/>
    </row>
    <row r="3919" spans="24:24">
      <c r="X3919" s="1071"/>
    </row>
    <row r="3920" spans="24:24">
      <c r="X3920" s="1071"/>
    </row>
    <row r="3921" spans="24:24">
      <c r="X3921" s="1071"/>
    </row>
    <row r="3922" spans="24:24">
      <c r="X3922" s="1071"/>
    </row>
    <row r="3923" spans="24:24">
      <c r="X3923" s="1071"/>
    </row>
    <row r="3924" spans="24:24">
      <c r="X3924" s="1071"/>
    </row>
    <row r="3925" spans="24:24">
      <c r="X3925" s="1071"/>
    </row>
    <row r="3926" spans="24:24">
      <c r="X3926" s="1071"/>
    </row>
    <row r="3927" spans="24:24">
      <c r="X3927" s="1071"/>
    </row>
    <row r="3928" spans="24:24">
      <c r="X3928" s="1071"/>
    </row>
    <row r="3929" spans="24:24">
      <c r="X3929" s="1071"/>
    </row>
    <row r="3930" spans="24:24">
      <c r="X3930" s="1071"/>
    </row>
    <row r="3931" spans="24:24">
      <c r="X3931" s="1071"/>
    </row>
    <row r="3932" spans="24:24">
      <c r="X3932" s="1071"/>
    </row>
    <row r="3933" spans="24:24">
      <c r="X3933" s="1071"/>
    </row>
    <row r="3934" spans="24:24">
      <c r="X3934" s="1071"/>
    </row>
    <row r="3935" spans="24:24">
      <c r="X3935" s="1071"/>
    </row>
    <row r="3936" spans="24:24">
      <c r="X3936" s="1071"/>
    </row>
    <row r="3937" spans="24:24">
      <c r="X3937" s="1071"/>
    </row>
    <row r="3938" spans="24:24">
      <c r="X3938" s="1071"/>
    </row>
    <row r="3939" spans="24:24">
      <c r="X3939" s="1071"/>
    </row>
    <row r="3940" spans="24:24">
      <c r="X3940" s="1071"/>
    </row>
    <row r="3941" spans="24:24">
      <c r="X3941" s="1071"/>
    </row>
    <row r="3942" spans="24:24">
      <c r="X3942" s="1071"/>
    </row>
    <row r="3943" spans="24:24">
      <c r="X3943" s="1071"/>
    </row>
    <row r="3944" spans="24:24">
      <c r="X3944" s="1071"/>
    </row>
    <row r="3945" spans="24:24">
      <c r="X3945" s="1071"/>
    </row>
    <row r="3946" spans="24:24">
      <c r="X3946" s="1071"/>
    </row>
    <row r="3947" spans="24:24">
      <c r="X3947" s="1071"/>
    </row>
    <row r="3948" spans="24:24">
      <c r="X3948" s="1071"/>
    </row>
    <row r="3949" spans="24:24">
      <c r="X3949" s="1071"/>
    </row>
    <row r="3950" spans="24:24">
      <c r="X3950" s="1071"/>
    </row>
    <row r="3951" spans="24:24">
      <c r="X3951" s="1071"/>
    </row>
    <row r="3952" spans="24:24">
      <c r="X3952" s="1071"/>
    </row>
    <row r="3953" spans="24:24">
      <c r="X3953" s="1071"/>
    </row>
    <row r="3954" spans="24:24">
      <c r="X3954" s="1071"/>
    </row>
    <row r="3955" spans="24:24">
      <c r="X3955" s="1071"/>
    </row>
    <row r="3956" spans="24:24">
      <c r="X3956" s="1071"/>
    </row>
    <row r="3957" spans="24:24">
      <c r="X3957" s="1071"/>
    </row>
    <row r="3958" spans="24:24">
      <c r="X3958" s="1071"/>
    </row>
    <row r="3959" spans="24:24">
      <c r="X3959" s="1071"/>
    </row>
    <row r="3960" spans="24:24">
      <c r="X3960" s="1071"/>
    </row>
    <row r="3961" spans="24:24">
      <c r="X3961" s="1071"/>
    </row>
    <row r="3962" spans="24:24">
      <c r="X3962" s="1071"/>
    </row>
    <row r="3963" spans="24:24">
      <c r="X3963" s="1071"/>
    </row>
    <row r="3964" spans="24:24">
      <c r="X3964" s="1071"/>
    </row>
    <row r="3965" spans="24:24">
      <c r="X3965" s="1071"/>
    </row>
    <row r="3966" spans="24:24">
      <c r="X3966" s="1071"/>
    </row>
    <row r="3967" spans="24:24">
      <c r="X3967" s="1071"/>
    </row>
    <row r="3968" spans="24:24">
      <c r="X3968" s="1071"/>
    </row>
    <row r="3969" spans="24:24">
      <c r="X3969" s="1071"/>
    </row>
    <row r="3970" spans="24:24">
      <c r="X3970" s="1071"/>
    </row>
    <row r="3971" spans="24:24">
      <c r="X3971" s="1071"/>
    </row>
    <row r="3972" spans="24:24">
      <c r="X3972" s="1071"/>
    </row>
    <row r="3973" spans="24:24">
      <c r="X3973" s="1071"/>
    </row>
    <row r="3974" spans="24:24">
      <c r="X3974" s="1071"/>
    </row>
    <row r="3975" spans="24:24">
      <c r="X3975" s="1071"/>
    </row>
    <row r="3976" spans="24:24">
      <c r="X3976" s="1071"/>
    </row>
    <row r="3977" spans="24:24">
      <c r="X3977" s="1071"/>
    </row>
    <row r="3978" spans="24:24">
      <c r="X3978" s="1071"/>
    </row>
    <row r="3979" spans="24:24">
      <c r="X3979" s="1071"/>
    </row>
    <row r="3980" spans="24:24">
      <c r="X3980" s="1071"/>
    </row>
    <row r="3981" spans="24:24">
      <c r="X3981" s="1071"/>
    </row>
    <row r="3982" spans="24:24">
      <c r="X3982" s="1071"/>
    </row>
    <row r="3983" spans="24:24">
      <c r="X3983" s="1071"/>
    </row>
    <row r="3984" spans="24:24">
      <c r="X3984" s="1071"/>
    </row>
    <row r="3985" spans="24:24">
      <c r="X3985" s="1071"/>
    </row>
    <row r="3986" spans="24:24">
      <c r="X3986" s="1071"/>
    </row>
    <row r="3987" spans="24:24">
      <c r="X3987" s="1071"/>
    </row>
    <row r="3988" spans="24:24">
      <c r="X3988" s="1071"/>
    </row>
    <row r="3989" spans="24:24">
      <c r="X3989" s="1071"/>
    </row>
    <row r="3990" spans="24:24">
      <c r="X3990" s="1071"/>
    </row>
    <row r="3991" spans="24:24">
      <c r="X3991" s="1071"/>
    </row>
    <row r="3992" spans="24:24">
      <c r="X3992" s="1071"/>
    </row>
    <row r="3993" spans="24:24">
      <c r="X3993" s="1071"/>
    </row>
    <row r="3994" spans="24:24">
      <c r="X3994" s="1071"/>
    </row>
    <row r="3995" spans="24:24">
      <c r="X3995" s="1071"/>
    </row>
    <row r="3996" spans="24:24">
      <c r="X3996" s="1071"/>
    </row>
    <row r="3997" spans="24:24">
      <c r="X3997" s="1071"/>
    </row>
    <row r="3998" spans="24:24">
      <c r="X3998" s="1071"/>
    </row>
    <row r="3999" spans="24:24">
      <c r="X3999" s="1071"/>
    </row>
    <row r="4000" spans="24:24">
      <c r="X4000" s="1071"/>
    </row>
    <row r="4001" spans="24:24">
      <c r="X4001" s="1071"/>
    </row>
    <row r="4002" spans="24:24">
      <c r="X4002" s="1071"/>
    </row>
    <row r="4003" spans="24:24">
      <c r="X4003" s="1071"/>
    </row>
    <row r="4004" spans="24:24">
      <c r="X4004" s="1071"/>
    </row>
    <row r="4005" spans="24:24">
      <c r="X4005" s="1071"/>
    </row>
    <row r="4006" spans="24:24">
      <c r="X4006" s="1071"/>
    </row>
    <row r="4007" spans="24:24">
      <c r="X4007" s="1071"/>
    </row>
    <row r="4008" spans="24:24">
      <c r="X4008" s="1071"/>
    </row>
    <row r="4009" spans="24:24">
      <c r="X4009" s="1071"/>
    </row>
    <row r="4010" spans="24:24">
      <c r="X4010" s="1071"/>
    </row>
    <row r="4011" spans="24:24">
      <c r="X4011" s="1071"/>
    </row>
    <row r="4012" spans="24:24">
      <c r="X4012" s="1071"/>
    </row>
    <row r="4013" spans="24:24">
      <c r="X4013" s="1071"/>
    </row>
    <row r="4014" spans="24:24">
      <c r="X4014" s="1071"/>
    </row>
    <row r="4015" spans="24:24">
      <c r="X4015" s="1071"/>
    </row>
    <row r="4016" spans="24:24">
      <c r="X4016" s="1071"/>
    </row>
    <row r="4017" spans="24:24">
      <c r="X4017" s="1071"/>
    </row>
    <row r="4018" spans="24:24">
      <c r="X4018" s="1071"/>
    </row>
    <row r="4019" spans="24:24">
      <c r="X4019" s="1071"/>
    </row>
    <row r="4020" spans="24:24">
      <c r="X4020" s="1071"/>
    </row>
    <row r="4021" spans="24:24">
      <c r="X4021" s="1071"/>
    </row>
    <row r="4022" spans="24:24">
      <c r="X4022" s="1071"/>
    </row>
    <row r="4023" spans="24:24">
      <c r="X4023" s="1071"/>
    </row>
    <row r="4024" spans="24:24">
      <c r="X4024" s="1071"/>
    </row>
    <row r="4025" spans="24:24">
      <c r="X4025" s="1071"/>
    </row>
    <row r="4026" spans="24:24">
      <c r="X4026" s="1071"/>
    </row>
    <row r="4027" spans="24:24">
      <c r="X4027" s="1071"/>
    </row>
    <row r="4028" spans="24:24">
      <c r="X4028" s="1071"/>
    </row>
    <row r="4029" spans="24:24">
      <c r="X4029" s="1071"/>
    </row>
    <row r="4030" spans="24:24">
      <c r="X4030" s="1071"/>
    </row>
    <row r="4031" spans="24:24">
      <c r="X4031" s="1071"/>
    </row>
    <row r="4032" spans="24:24">
      <c r="X4032" s="1071"/>
    </row>
    <row r="4033" spans="24:24">
      <c r="X4033" s="1071"/>
    </row>
    <row r="4034" spans="24:24">
      <c r="X4034" s="1071"/>
    </row>
    <row r="4035" spans="24:24">
      <c r="X4035" s="1071"/>
    </row>
    <row r="4036" spans="24:24">
      <c r="X4036" s="1071"/>
    </row>
    <row r="4037" spans="24:24">
      <c r="X4037" s="1071"/>
    </row>
    <row r="4038" spans="24:24">
      <c r="X4038" s="1071"/>
    </row>
    <row r="4039" spans="24:24">
      <c r="X4039" s="1071"/>
    </row>
    <row r="4040" spans="24:24">
      <c r="X4040" s="1071"/>
    </row>
    <row r="4041" spans="24:24">
      <c r="X4041" s="1071"/>
    </row>
    <row r="4042" spans="24:24">
      <c r="X4042" s="1071"/>
    </row>
    <row r="4043" spans="24:24">
      <c r="X4043" s="1071"/>
    </row>
    <row r="4044" spans="24:24">
      <c r="X4044" s="1071"/>
    </row>
    <row r="4045" spans="24:24">
      <c r="X4045" s="1071"/>
    </row>
    <row r="4046" spans="24:24">
      <c r="X4046" s="1071"/>
    </row>
    <row r="4047" spans="24:24">
      <c r="X4047" s="1071"/>
    </row>
    <row r="4048" spans="24:24">
      <c r="X4048" s="1071"/>
    </row>
    <row r="4049" spans="24:24">
      <c r="X4049" s="1071"/>
    </row>
    <row r="4050" spans="24:24">
      <c r="X4050" s="1071"/>
    </row>
    <row r="4051" spans="24:24">
      <c r="X4051" s="1071"/>
    </row>
    <row r="4052" spans="24:24">
      <c r="X4052" s="1071"/>
    </row>
    <row r="4053" spans="24:24">
      <c r="X4053" s="1071"/>
    </row>
    <row r="4054" spans="24:24">
      <c r="X4054" s="1071"/>
    </row>
    <row r="4055" spans="24:24">
      <c r="X4055" s="1071"/>
    </row>
    <row r="4056" spans="24:24">
      <c r="X4056" s="1071"/>
    </row>
    <row r="4057" spans="24:24">
      <c r="X4057" s="1071"/>
    </row>
    <row r="4058" spans="24:24">
      <c r="X4058" s="1071"/>
    </row>
    <row r="4059" spans="24:24">
      <c r="X4059" s="1071"/>
    </row>
    <row r="4060" spans="24:24">
      <c r="X4060" s="1071"/>
    </row>
    <row r="4061" spans="24:24">
      <c r="X4061" s="1071"/>
    </row>
    <row r="4062" spans="24:24">
      <c r="X4062" s="1071"/>
    </row>
    <row r="4063" spans="24:24">
      <c r="X4063" s="1071"/>
    </row>
    <row r="4064" spans="24:24">
      <c r="X4064" s="1071"/>
    </row>
    <row r="4065" spans="24:24">
      <c r="X4065" s="1071"/>
    </row>
    <row r="4066" spans="24:24">
      <c r="X4066" s="1071"/>
    </row>
    <row r="4067" spans="24:24">
      <c r="X4067" s="1071"/>
    </row>
    <row r="4068" spans="24:24">
      <c r="X4068" s="1071"/>
    </row>
    <row r="4069" spans="24:24">
      <c r="X4069" s="1071"/>
    </row>
    <row r="4070" spans="24:24">
      <c r="X4070" s="1071"/>
    </row>
    <row r="4071" spans="24:24">
      <c r="X4071" s="1071"/>
    </row>
    <row r="4072" spans="24:24">
      <c r="X4072" s="1071"/>
    </row>
    <row r="4073" spans="24:24">
      <c r="X4073" s="1071"/>
    </row>
    <row r="4074" spans="24:24">
      <c r="X4074" s="1071"/>
    </row>
    <row r="4075" spans="24:24">
      <c r="X4075" s="1071"/>
    </row>
    <row r="4076" spans="24:24">
      <c r="X4076" s="1071"/>
    </row>
    <row r="4077" spans="24:24">
      <c r="X4077" s="1071"/>
    </row>
    <row r="4078" spans="24:24">
      <c r="X4078" s="1071"/>
    </row>
    <row r="4079" spans="24:24">
      <c r="X4079" s="1071"/>
    </row>
    <row r="4080" spans="24:24">
      <c r="X4080" s="1071"/>
    </row>
    <row r="4081" spans="24:24">
      <c r="X4081" s="1071"/>
    </row>
    <row r="4082" spans="24:24">
      <c r="X4082" s="1071"/>
    </row>
    <row r="4083" spans="24:24">
      <c r="X4083" s="1071"/>
    </row>
    <row r="4084" spans="24:24">
      <c r="X4084" s="1071"/>
    </row>
    <row r="4085" spans="24:24">
      <c r="X4085" s="1071"/>
    </row>
    <row r="4086" spans="24:24">
      <c r="X4086" s="1071"/>
    </row>
    <row r="4087" spans="24:24">
      <c r="X4087" s="1071"/>
    </row>
    <row r="4088" spans="24:24">
      <c r="X4088" s="1071"/>
    </row>
    <row r="4089" spans="24:24">
      <c r="X4089" s="1071"/>
    </row>
    <row r="4090" spans="24:24">
      <c r="X4090" s="1071"/>
    </row>
    <row r="4091" spans="24:24">
      <c r="X4091" s="1071"/>
    </row>
    <row r="4092" spans="24:24">
      <c r="X4092" s="1071"/>
    </row>
    <row r="4093" spans="24:24">
      <c r="X4093" s="1071"/>
    </row>
    <row r="4094" spans="24:24">
      <c r="X4094" s="1071"/>
    </row>
    <row r="4095" spans="24:24">
      <c r="X4095" s="1071"/>
    </row>
    <row r="4096" spans="24:24">
      <c r="X4096" s="1071"/>
    </row>
    <row r="4097" spans="24:24">
      <c r="X4097" s="1071"/>
    </row>
    <row r="4098" spans="24:24">
      <c r="X4098" s="1071"/>
    </row>
    <row r="4099" spans="24:24">
      <c r="X4099" s="1071"/>
    </row>
    <row r="4100" spans="24:24">
      <c r="X4100" s="1071"/>
    </row>
    <row r="4101" spans="24:24">
      <c r="X4101" s="1071"/>
    </row>
    <row r="4102" spans="24:24">
      <c r="X4102" s="1071"/>
    </row>
    <row r="4103" spans="24:24">
      <c r="X4103" s="1071"/>
    </row>
    <row r="4104" spans="24:24">
      <c r="X4104" s="1071"/>
    </row>
    <row r="4105" spans="24:24">
      <c r="X4105" s="1071"/>
    </row>
    <row r="4106" spans="24:24">
      <c r="X4106" s="1071"/>
    </row>
    <row r="4107" spans="24:24">
      <c r="X4107" s="1071"/>
    </row>
    <row r="4108" spans="24:24">
      <c r="X4108" s="1071"/>
    </row>
    <row r="4109" spans="24:24">
      <c r="X4109" s="1071"/>
    </row>
    <row r="4110" spans="24:24">
      <c r="X4110" s="1071"/>
    </row>
    <row r="4111" spans="24:24">
      <c r="X4111" s="1071"/>
    </row>
    <row r="4112" spans="24:24">
      <c r="X4112" s="1071"/>
    </row>
    <row r="4113" spans="24:24">
      <c r="X4113" s="1071"/>
    </row>
    <row r="4114" spans="24:24">
      <c r="X4114" s="1071"/>
    </row>
    <row r="4115" spans="24:24">
      <c r="X4115" s="1071"/>
    </row>
    <row r="4116" spans="24:24">
      <c r="X4116" s="1071"/>
    </row>
    <row r="4117" spans="24:24">
      <c r="X4117" s="1071"/>
    </row>
    <row r="4118" spans="24:24">
      <c r="X4118" s="1071"/>
    </row>
    <row r="4119" spans="24:24">
      <c r="X4119" s="1071"/>
    </row>
    <row r="4120" spans="24:24">
      <c r="X4120" s="1071"/>
    </row>
    <row r="4121" spans="24:24">
      <c r="X4121" s="1071"/>
    </row>
    <row r="4122" spans="24:24">
      <c r="X4122" s="1071"/>
    </row>
    <row r="4123" spans="24:24">
      <c r="X4123" s="1071"/>
    </row>
    <row r="4124" spans="24:24">
      <c r="X4124" s="1071"/>
    </row>
    <row r="4125" spans="24:24">
      <c r="X4125" s="1071"/>
    </row>
    <row r="4126" spans="24:24">
      <c r="X4126" s="1071"/>
    </row>
    <row r="4127" spans="24:24">
      <c r="X4127" s="1071"/>
    </row>
    <row r="4128" spans="24:24">
      <c r="X4128" s="1071"/>
    </row>
    <row r="4129" spans="24:24">
      <c r="X4129" s="1071"/>
    </row>
    <row r="4130" spans="24:24">
      <c r="X4130" s="1071"/>
    </row>
    <row r="4131" spans="24:24">
      <c r="X4131" s="1071"/>
    </row>
    <row r="4132" spans="24:24">
      <c r="X4132" s="1071"/>
    </row>
    <row r="4133" spans="24:24">
      <c r="X4133" s="1071"/>
    </row>
    <row r="4134" spans="24:24">
      <c r="X4134" s="1071"/>
    </row>
    <row r="4135" spans="24:24">
      <c r="X4135" s="1071"/>
    </row>
    <row r="4136" spans="24:24">
      <c r="X4136" s="1071"/>
    </row>
    <row r="4137" spans="24:24">
      <c r="X4137" s="1071"/>
    </row>
    <row r="4138" spans="24:24">
      <c r="X4138" s="1071"/>
    </row>
    <row r="4139" spans="24:24">
      <c r="X4139" s="1071"/>
    </row>
    <row r="4140" spans="24:24">
      <c r="X4140" s="1071"/>
    </row>
    <row r="4141" spans="24:24">
      <c r="X4141" s="1071"/>
    </row>
    <row r="4142" spans="24:24">
      <c r="X4142" s="1071"/>
    </row>
    <row r="4143" spans="24:24">
      <c r="X4143" s="1071"/>
    </row>
    <row r="4144" spans="24:24">
      <c r="X4144" s="1071"/>
    </row>
    <row r="4145" spans="24:24">
      <c r="X4145" s="1071"/>
    </row>
    <row r="4146" spans="24:24">
      <c r="X4146" s="1071"/>
    </row>
    <row r="4147" spans="24:24">
      <c r="X4147" s="1071"/>
    </row>
    <row r="4148" spans="24:24">
      <c r="X4148" s="1071"/>
    </row>
    <row r="4149" spans="24:24">
      <c r="X4149" s="1071"/>
    </row>
    <row r="4150" spans="24:24">
      <c r="X4150" s="1071"/>
    </row>
    <row r="4151" spans="24:24">
      <c r="X4151" s="1071"/>
    </row>
    <row r="4152" spans="24:24">
      <c r="X4152" s="1071"/>
    </row>
    <row r="4153" spans="24:24">
      <c r="X4153" s="1071"/>
    </row>
    <row r="4154" spans="24:24">
      <c r="X4154" s="1071"/>
    </row>
    <row r="4155" spans="24:24">
      <c r="X4155" s="1071"/>
    </row>
    <row r="4156" spans="24:24">
      <c r="X4156" s="1071"/>
    </row>
    <row r="4157" spans="24:24">
      <c r="X4157" s="1071"/>
    </row>
    <row r="4158" spans="24:24">
      <c r="X4158" s="1071"/>
    </row>
    <row r="4159" spans="24:24">
      <c r="X4159" s="1071"/>
    </row>
    <row r="4160" spans="24:24">
      <c r="X4160" s="1071"/>
    </row>
    <row r="4161" spans="24:24">
      <c r="X4161" s="1071"/>
    </row>
    <row r="4162" spans="24:24">
      <c r="X4162" s="1071"/>
    </row>
    <row r="4163" spans="24:24">
      <c r="X4163" s="1071"/>
    </row>
    <row r="4164" spans="24:24">
      <c r="X4164" s="1071"/>
    </row>
    <row r="4165" spans="24:24">
      <c r="X4165" s="1071"/>
    </row>
    <row r="4166" spans="24:24">
      <c r="X4166" s="1071"/>
    </row>
    <row r="4167" spans="24:24">
      <c r="X4167" s="1071"/>
    </row>
    <row r="4168" spans="24:24">
      <c r="X4168" s="1071"/>
    </row>
    <row r="4169" spans="24:24">
      <c r="X4169" s="1071"/>
    </row>
    <row r="4170" spans="24:24">
      <c r="X4170" s="1071"/>
    </row>
    <row r="4171" spans="24:24">
      <c r="X4171" s="1071"/>
    </row>
    <row r="4172" spans="24:24">
      <c r="X4172" s="1071"/>
    </row>
    <row r="4173" spans="24:24">
      <c r="X4173" s="1071"/>
    </row>
    <row r="4174" spans="24:24">
      <c r="X4174" s="1071"/>
    </row>
    <row r="4175" spans="24:24">
      <c r="X4175" s="1071"/>
    </row>
    <row r="4176" spans="24:24">
      <c r="X4176" s="1071"/>
    </row>
    <row r="4177" spans="24:24">
      <c r="X4177" s="1071"/>
    </row>
    <row r="4178" spans="24:24">
      <c r="X4178" s="1071"/>
    </row>
    <row r="4179" spans="24:24">
      <c r="X4179" s="1071"/>
    </row>
    <row r="4180" spans="24:24">
      <c r="X4180" s="1071"/>
    </row>
    <row r="4181" spans="24:24">
      <c r="X4181" s="1071"/>
    </row>
    <row r="4182" spans="24:24">
      <c r="X4182" s="1071"/>
    </row>
    <row r="4183" spans="24:24">
      <c r="X4183" s="1071"/>
    </row>
    <row r="4184" spans="24:24">
      <c r="X4184" s="1071"/>
    </row>
    <row r="4185" spans="24:24">
      <c r="X4185" s="1071"/>
    </row>
    <row r="4186" spans="24:24">
      <c r="X4186" s="1071"/>
    </row>
    <row r="4187" spans="24:24">
      <c r="X4187" s="1071"/>
    </row>
    <row r="4188" spans="24:24">
      <c r="X4188" s="1071"/>
    </row>
    <row r="4189" spans="24:24">
      <c r="X4189" s="1071"/>
    </row>
    <row r="4190" spans="24:24">
      <c r="X4190" s="1071"/>
    </row>
    <row r="4191" spans="24:24">
      <c r="X4191" s="1071"/>
    </row>
    <row r="4192" spans="24:24">
      <c r="X4192" s="1071"/>
    </row>
    <row r="4193" spans="24:24">
      <c r="X4193" s="1071"/>
    </row>
    <row r="4194" spans="24:24">
      <c r="X4194" s="1071"/>
    </row>
    <row r="4195" spans="24:24">
      <c r="X4195" s="1071"/>
    </row>
    <row r="4196" spans="24:24">
      <c r="X4196" s="1071"/>
    </row>
    <row r="4197" spans="24:24">
      <c r="X4197" s="1071"/>
    </row>
    <row r="4198" spans="24:24">
      <c r="X4198" s="1071"/>
    </row>
    <row r="4199" spans="24:24">
      <c r="X4199" s="1071"/>
    </row>
    <row r="4200" spans="24:24">
      <c r="X4200" s="1071"/>
    </row>
    <row r="4201" spans="24:24">
      <c r="X4201" s="1071"/>
    </row>
    <row r="4202" spans="24:24">
      <c r="X4202" s="1071"/>
    </row>
    <row r="4203" spans="24:24">
      <c r="X4203" s="1071"/>
    </row>
    <row r="4204" spans="24:24">
      <c r="X4204" s="1071"/>
    </row>
    <row r="4205" spans="24:24">
      <c r="X4205" s="1071"/>
    </row>
    <row r="4206" spans="24:24">
      <c r="X4206" s="1071"/>
    </row>
    <row r="4207" spans="24:24">
      <c r="X4207" s="1071"/>
    </row>
    <row r="4208" spans="24:24">
      <c r="X4208" s="1071"/>
    </row>
    <row r="4209" spans="24:24">
      <c r="X4209" s="1071"/>
    </row>
    <row r="4210" spans="24:24">
      <c r="X4210" s="1071"/>
    </row>
    <row r="4211" spans="24:24">
      <c r="X4211" s="1071"/>
    </row>
    <row r="4212" spans="24:24">
      <c r="X4212" s="1071"/>
    </row>
    <row r="4213" spans="24:24">
      <c r="X4213" s="1071"/>
    </row>
    <row r="4214" spans="24:24">
      <c r="X4214" s="1071"/>
    </row>
    <row r="4215" spans="24:24">
      <c r="X4215" s="1071"/>
    </row>
    <row r="4216" spans="24:24">
      <c r="X4216" s="1071"/>
    </row>
    <row r="4217" spans="24:24">
      <c r="X4217" s="1071"/>
    </row>
    <row r="4218" spans="24:24">
      <c r="X4218" s="1071"/>
    </row>
    <row r="4219" spans="24:24">
      <c r="X4219" s="1071"/>
    </row>
    <row r="4220" spans="24:24">
      <c r="X4220" s="1071"/>
    </row>
    <row r="4221" spans="24:24">
      <c r="X4221" s="1071"/>
    </row>
    <row r="4222" spans="24:24">
      <c r="X4222" s="1071"/>
    </row>
    <row r="4223" spans="24:24">
      <c r="X4223" s="1071"/>
    </row>
    <row r="4224" spans="24:24">
      <c r="X4224" s="1071"/>
    </row>
    <row r="4225" spans="24:24">
      <c r="X4225" s="1071"/>
    </row>
    <row r="4226" spans="24:24">
      <c r="X4226" s="1071"/>
    </row>
    <row r="4227" spans="24:24">
      <c r="X4227" s="1071"/>
    </row>
    <row r="4228" spans="24:24">
      <c r="X4228" s="1071"/>
    </row>
    <row r="4229" spans="24:24">
      <c r="X4229" s="1071"/>
    </row>
    <row r="4230" spans="24:24">
      <c r="X4230" s="1071"/>
    </row>
    <row r="4231" spans="24:24">
      <c r="X4231" s="1071"/>
    </row>
    <row r="4232" spans="24:24">
      <c r="X4232" s="1071"/>
    </row>
    <row r="4233" spans="24:24">
      <c r="X4233" s="1071"/>
    </row>
    <row r="4234" spans="24:24">
      <c r="X4234" s="1071"/>
    </row>
    <row r="4235" spans="24:24">
      <c r="X4235" s="1071"/>
    </row>
    <row r="4236" spans="24:24">
      <c r="X4236" s="1071"/>
    </row>
    <row r="4237" spans="24:24">
      <c r="X4237" s="1071"/>
    </row>
    <row r="4238" spans="24:24">
      <c r="X4238" s="1071"/>
    </row>
    <row r="4239" spans="24:24">
      <c r="X4239" s="1071"/>
    </row>
    <row r="4240" spans="24:24">
      <c r="X4240" s="1071"/>
    </row>
    <row r="4241" spans="24:24">
      <c r="X4241" s="1071"/>
    </row>
    <row r="4242" spans="24:24">
      <c r="X4242" s="1071"/>
    </row>
    <row r="4243" spans="24:24">
      <c r="X4243" s="1071"/>
    </row>
    <row r="4244" spans="24:24">
      <c r="X4244" s="1071"/>
    </row>
    <row r="4245" spans="24:24">
      <c r="X4245" s="1071"/>
    </row>
    <row r="4246" spans="24:24">
      <c r="X4246" s="1071"/>
    </row>
    <row r="4247" spans="24:24">
      <c r="X4247" s="1071"/>
    </row>
    <row r="4248" spans="24:24">
      <c r="X4248" s="1071"/>
    </row>
    <row r="4249" spans="24:24">
      <c r="X4249" s="1071"/>
    </row>
    <row r="4250" spans="24:24">
      <c r="X4250" s="1071"/>
    </row>
    <row r="4251" spans="24:24">
      <c r="X4251" s="1071"/>
    </row>
    <row r="4252" spans="24:24">
      <c r="X4252" s="1071"/>
    </row>
    <row r="4253" spans="24:24">
      <c r="X4253" s="1071"/>
    </row>
    <row r="4254" spans="24:24">
      <c r="X4254" s="1071"/>
    </row>
    <row r="4255" spans="24:24">
      <c r="X4255" s="1071"/>
    </row>
    <row r="4256" spans="24:24">
      <c r="X4256" s="1071"/>
    </row>
    <row r="4257" spans="24:24">
      <c r="X4257" s="1071"/>
    </row>
    <row r="4258" spans="24:24">
      <c r="X4258" s="1071"/>
    </row>
    <row r="4259" spans="24:24">
      <c r="X4259" s="1071"/>
    </row>
    <row r="4260" spans="24:24">
      <c r="X4260" s="1071"/>
    </row>
    <row r="4261" spans="24:24">
      <c r="X4261" s="1071"/>
    </row>
    <row r="4262" spans="24:24">
      <c r="X4262" s="1071"/>
    </row>
    <row r="4263" spans="24:24">
      <c r="X4263" s="1071"/>
    </row>
    <row r="4264" spans="24:24">
      <c r="X4264" s="1071"/>
    </row>
    <row r="4265" spans="24:24">
      <c r="X4265" s="1071"/>
    </row>
    <row r="4266" spans="24:24">
      <c r="X4266" s="1071"/>
    </row>
    <row r="4267" spans="24:24">
      <c r="X4267" s="1071"/>
    </row>
    <row r="4268" spans="24:24">
      <c r="X4268" s="1071"/>
    </row>
    <row r="4269" spans="24:24">
      <c r="X4269" s="1071"/>
    </row>
    <row r="4270" spans="24:24">
      <c r="X4270" s="1071"/>
    </row>
    <row r="4271" spans="24:24">
      <c r="X4271" s="1071"/>
    </row>
    <row r="4272" spans="24:24">
      <c r="X4272" s="1071"/>
    </row>
    <row r="4273" spans="24:24">
      <c r="X4273" s="1071"/>
    </row>
    <row r="4274" spans="24:24">
      <c r="X4274" s="1071"/>
    </row>
    <row r="4275" spans="24:24">
      <c r="X4275" s="1071"/>
    </row>
    <row r="4276" spans="24:24">
      <c r="X4276" s="1071"/>
    </row>
    <row r="4277" spans="24:24">
      <c r="X4277" s="1071"/>
    </row>
    <row r="4278" spans="24:24">
      <c r="X4278" s="1071"/>
    </row>
    <row r="4279" spans="24:24">
      <c r="X4279" s="1071"/>
    </row>
    <row r="4280" spans="24:24">
      <c r="X4280" s="1071"/>
    </row>
    <row r="4281" spans="24:24">
      <c r="X4281" s="1071"/>
    </row>
    <row r="4282" spans="24:24">
      <c r="X4282" s="1071"/>
    </row>
    <row r="4283" spans="24:24">
      <c r="X4283" s="1071"/>
    </row>
    <row r="4284" spans="24:24">
      <c r="X4284" s="1071"/>
    </row>
    <row r="4285" spans="24:24">
      <c r="X4285" s="1071"/>
    </row>
    <row r="4286" spans="24:24">
      <c r="X4286" s="1071"/>
    </row>
    <row r="4287" spans="24:24">
      <c r="X4287" s="1071"/>
    </row>
    <row r="4288" spans="24:24">
      <c r="X4288" s="1071"/>
    </row>
    <row r="4289" spans="24:24">
      <c r="X4289" s="1071"/>
    </row>
    <row r="4290" spans="24:24">
      <c r="X4290" s="1071"/>
    </row>
    <row r="4291" spans="24:24">
      <c r="X4291" s="1071"/>
    </row>
    <row r="4292" spans="24:24">
      <c r="X4292" s="1071"/>
    </row>
    <row r="4293" spans="24:24">
      <c r="X4293" s="1071"/>
    </row>
    <row r="4294" spans="24:24">
      <c r="X4294" s="1071"/>
    </row>
    <row r="4295" spans="24:24">
      <c r="X4295" s="1071"/>
    </row>
    <row r="4296" spans="24:24">
      <c r="X4296" s="1071"/>
    </row>
    <row r="4297" spans="24:24">
      <c r="X4297" s="1071"/>
    </row>
    <row r="4298" spans="24:24">
      <c r="X4298" s="1071"/>
    </row>
    <row r="4299" spans="24:24">
      <c r="X4299" s="1071"/>
    </row>
    <row r="4300" spans="24:24">
      <c r="X4300" s="1071"/>
    </row>
    <row r="4301" spans="24:24">
      <c r="X4301" s="1071"/>
    </row>
    <row r="4302" spans="24:24">
      <c r="X4302" s="1071"/>
    </row>
    <row r="4303" spans="24:24">
      <c r="X4303" s="1071"/>
    </row>
    <row r="4304" spans="24:24">
      <c r="X4304" s="1071"/>
    </row>
    <row r="4305" spans="24:24">
      <c r="X4305" s="1071"/>
    </row>
    <row r="4306" spans="24:24">
      <c r="X4306" s="1071"/>
    </row>
    <row r="4307" spans="24:24">
      <c r="X4307" s="1071"/>
    </row>
    <row r="4308" spans="24:24">
      <c r="X4308" s="1071"/>
    </row>
    <row r="4309" spans="24:24">
      <c r="X4309" s="1071"/>
    </row>
    <row r="4310" spans="24:24">
      <c r="X4310" s="1071"/>
    </row>
    <row r="4311" spans="24:24">
      <c r="X4311" s="1071"/>
    </row>
    <row r="4312" spans="24:24">
      <c r="X4312" s="1071"/>
    </row>
    <row r="4313" spans="24:24">
      <c r="X4313" s="1071"/>
    </row>
    <row r="4314" spans="24:24">
      <c r="X4314" s="1071"/>
    </row>
    <row r="4315" spans="24:24">
      <c r="X4315" s="1071"/>
    </row>
    <row r="4316" spans="24:24">
      <c r="X4316" s="1071"/>
    </row>
    <row r="4317" spans="24:24">
      <c r="X4317" s="1071"/>
    </row>
    <row r="4318" spans="24:24">
      <c r="X4318" s="1071"/>
    </row>
    <row r="4319" spans="24:24">
      <c r="X4319" s="1071"/>
    </row>
    <row r="4320" spans="24:24">
      <c r="X4320" s="1071"/>
    </row>
    <row r="4321" spans="24:24">
      <c r="X4321" s="1071"/>
    </row>
    <row r="4322" spans="24:24">
      <c r="X4322" s="1071"/>
    </row>
    <row r="4323" spans="24:24">
      <c r="X4323" s="1071"/>
    </row>
    <row r="4324" spans="24:24">
      <c r="X4324" s="1071"/>
    </row>
    <row r="4325" spans="24:24">
      <c r="X4325" s="1071"/>
    </row>
    <row r="4326" spans="24:24">
      <c r="X4326" s="1071"/>
    </row>
    <row r="4327" spans="24:24">
      <c r="X4327" s="1071"/>
    </row>
    <row r="4328" spans="24:24">
      <c r="X4328" s="1071"/>
    </row>
    <row r="4329" spans="24:24">
      <c r="X4329" s="1071"/>
    </row>
    <row r="4330" spans="24:24">
      <c r="X4330" s="1071"/>
    </row>
    <row r="4331" spans="24:24">
      <c r="X4331" s="1071"/>
    </row>
    <row r="4332" spans="24:24">
      <c r="X4332" s="1071"/>
    </row>
    <row r="4333" spans="24:24">
      <c r="X4333" s="1071"/>
    </row>
    <row r="4334" spans="24:24">
      <c r="X4334" s="1071"/>
    </row>
    <row r="4335" spans="24:24">
      <c r="X4335" s="1071"/>
    </row>
    <row r="4336" spans="24:24">
      <c r="X4336" s="1071"/>
    </row>
    <row r="4337" spans="24:24">
      <c r="X4337" s="1071"/>
    </row>
    <row r="4338" spans="24:24">
      <c r="X4338" s="1071"/>
    </row>
    <row r="4339" spans="24:24">
      <c r="X4339" s="1071"/>
    </row>
    <row r="4340" spans="24:24">
      <c r="X4340" s="1071"/>
    </row>
    <row r="4341" spans="24:24">
      <c r="X4341" s="1071"/>
    </row>
    <row r="4342" spans="24:24">
      <c r="X4342" s="1071"/>
    </row>
    <row r="4343" spans="24:24">
      <c r="X4343" s="1071"/>
    </row>
    <row r="4344" spans="24:24">
      <c r="X4344" s="1071"/>
    </row>
    <row r="4345" spans="24:24">
      <c r="X4345" s="1071"/>
    </row>
    <row r="4346" spans="24:24">
      <c r="X4346" s="1071"/>
    </row>
    <row r="4347" spans="24:24">
      <c r="X4347" s="1071"/>
    </row>
    <row r="4348" spans="24:24">
      <c r="X4348" s="1071"/>
    </row>
    <row r="4349" spans="24:24">
      <c r="X4349" s="1071"/>
    </row>
    <row r="4350" spans="24:24">
      <c r="X4350" s="1071"/>
    </row>
    <row r="4351" spans="24:24">
      <c r="X4351" s="1071"/>
    </row>
    <row r="4352" spans="24:24">
      <c r="X4352" s="1071"/>
    </row>
    <row r="4353" spans="24:24">
      <c r="X4353" s="1071"/>
    </row>
    <row r="4354" spans="24:24">
      <c r="X4354" s="1071"/>
    </row>
    <row r="4355" spans="24:24">
      <c r="X4355" s="1071"/>
    </row>
    <row r="4356" spans="24:24">
      <c r="X4356" s="1071"/>
    </row>
    <row r="4357" spans="24:24">
      <c r="X4357" s="1071"/>
    </row>
    <row r="4358" spans="24:24">
      <c r="X4358" s="1071"/>
    </row>
    <row r="4359" spans="24:24">
      <c r="X4359" s="1071"/>
    </row>
    <row r="4360" spans="24:24">
      <c r="X4360" s="1071"/>
    </row>
    <row r="4361" spans="24:24">
      <c r="X4361" s="1071"/>
    </row>
    <row r="4362" spans="24:24">
      <c r="X4362" s="1071"/>
    </row>
    <row r="4363" spans="24:24">
      <c r="X4363" s="1071"/>
    </row>
    <row r="4364" spans="24:24">
      <c r="X4364" s="1071"/>
    </row>
    <row r="4365" spans="24:24">
      <c r="X4365" s="1071"/>
    </row>
    <row r="4366" spans="24:24">
      <c r="X4366" s="1071"/>
    </row>
    <row r="4367" spans="24:24">
      <c r="X4367" s="1071"/>
    </row>
    <row r="4368" spans="24:24">
      <c r="X4368" s="1071"/>
    </row>
    <row r="4369" spans="24:24">
      <c r="X4369" s="1071"/>
    </row>
    <row r="4370" spans="24:24">
      <c r="X4370" s="1071"/>
    </row>
    <row r="4371" spans="24:24">
      <c r="X4371" s="1071"/>
    </row>
    <row r="4372" spans="24:24">
      <c r="X4372" s="1071"/>
    </row>
    <row r="4373" spans="24:24">
      <c r="X4373" s="1071"/>
    </row>
    <row r="4374" spans="24:24">
      <c r="X4374" s="1071"/>
    </row>
    <row r="4375" spans="24:24">
      <c r="X4375" s="1071"/>
    </row>
    <row r="4376" spans="24:24">
      <c r="X4376" s="1071"/>
    </row>
    <row r="4377" spans="24:24">
      <c r="X4377" s="1071"/>
    </row>
    <row r="4378" spans="24:24">
      <c r="X4378" s="1071"/>
    </row>
    <row r="4379" spans="24:24">
      <c r="X4379" s="1071"/>
    </row>
    <row r="4380" spans="24:24">
      <c r="X4380" s="1071"/>
    </row>
    <row r="4381" spans="24:24">
      <c r="X4381" s="1071"/>
    </row>
    <row r="4382" spans="24:24">
      <c r="X4382" s="1071"/>
    </row>
    <row r="4383" spans="24:24">
      <c r="X4383" s="1071"/>
    </row>
    <row r="4384" spans="24:24">
      <c r="X4384" s="1071"/>
    </row>
    <row r="4385" spans="24:24">
      <c r="X4385" s="1071"/>
    </row>
    <row r="4386" spans="24:24">
      <c r="X4386" s="1071"/>
    </row>
    <row r="4387" spans="24:24">
      <c r="X4387" s="1071"/>
    </row>
    <row r="4388" spans="24:24">
      <c r="X4388" s="1071"/>
    </row>
    <row r="4389" spans="24:24">
      <c r="X4389" s="1071"/>
    </row>
    <row r="4390" spans="24:24">
      <c r="X4390" s="1071"/>
    </row>
    <row r="4391" spans="24:24">
      <c r="X4391" s="1071"/>
    </row>
    <row r="4392" spans="24:24">
      <c r="X4392" s="1071"/>
    </row>
    <row r="4393" spans="24:24">
      <c r="X4393" s="1071"/>
    </row>
    <row r="4394" spans="24:24">
      <c r="X4394" s="1071"/>
    </row>
    <row r="4395" spans="24:24">
      <c r="X4395" s="1071"/>
    </row>
    <row r="4396" spans="24:24">
      <c r="X4396" s="1071"/>
    </row>
    <row r="4397" spans="24:24">
      <c r="X4397" s="1071"/>
    </row>
    <row r="4398" spans="24:24">
      <c r="X4398" s="1071"/>
    </row>
    <row r="4399" spans="24:24">
      <c r="X4399" s="1071"/>
    </row>
    <row r="4400" spans="24:24">
      <c r="X4400" s="1071"/>
    </row>
    <row r="4401" spans="24:24">
      <c r="X4401" s="1071"/>
    </row>
    <row r="4402" spans="24:24">
      <c r="X4402" s="1071"/>
    </row>
    <row r="4403" spans="24:24">
      <c r="X4403" s="1071"/>
    </row>
    <row r="4404" spans="24:24">
      <c r="X4404" s="1071"/>
    </row>
    <row r="4405" spans="24:24">
      <c r="X4405" s="1071"/>
    </row>
    <row r="4406" spans="24:24">
      <c r="X4406" s="1071"/>
    </row>
    <row r="4407" spans="24:24">
      <c r="X4407" s="1071"/>
    </row>
    <row r="4408" spans="24:24">
      <c r="X4408" s="1071"/>
    </row>
    <row r="4409" spans="24:24">
      <c r="X4409" s="1071"/>
    </row>
    <row r="4410" spans="24:24">
      <c r="X4410" s="1071"/>
    </row>
    <row r="4411" spans="24:24">
      <c r="X4411" s="1071"/>
    </row>
    <row r="4412" spans="24:24">
      <c r="X4412" s="1071"/>
    </row>
    <row r="4413" spans="24:24">
      <c r="X4413" s="1071"/>
    </row>
    <row r="4414" spans="24:24">
      <c r="X4414" s="1071"/>
    </row>
    <row r="4415" spans="24:24">
      <c r="X4415" s="1071"/>
    </row>
    <row r="4416" spans="24:24">
      <c r="X4416" s="1071"/>
    </row>
    <row r="4417" spans="24:24">
      <c r="X4417" s="1071"/>
    </row>
    <row r="4418" spans="24:24">
      <c r="X4418" s="1071"/>
    </row>
    <row r="4419" spans="24:24">
      <c r="X4419" s="1071"/>
    </row>
    <row r="4420" spans="24:24">
      <c r="X4420" s="1071"/>
    </row>
    <row r="4421" spans="24:24">
      <c r="X4421" s="1071"/>
    </row>
    <row r="4422" spans="24:24">
      <c r="X4422" s="1071"/>
    </row>
    <row r="4423" spans="24:24">
      <c r="X4423" s="1071"/>
    </row>
    <row r="4424" spans="24:24">
      <c r="X4424" s="1071"/>
    </row>
    <row r="4425" spans="24:24">
      <c r="X4425" s="1071"/>
    </row>
    <row r="4426" spans="24:24">
      <c r="X4426" s="1071"/>
    </row>
    <row r="4427" spans="24:24">
      <c r="X4427" s="1071"/>
    </row>
    <row r="4428" spans="24:24">
      <c r="X4428" s="1071"/>
    </row>
    <row r="4429" spans="24:24">
      <c r="X4429" s="1071"/>
    </row>
    <row r="4430" spans="24:24">
      <c r="X4430" s="1071"/>
    </row>
    <row r="4431" spans="24:24">
      <c r="X4431" s="1071"/>
    </row>
    <row r="4432" spans="24:24">
      <c r="X4432" s="1071"/>
    </row>
    <row r="4433" spans="24:24">
      <c r="X4433" s="1071"/>
    </row>
    <row r="4434" spans="24:24">
      <c r="X4434" s="1071"/>
    </row>
    <row r="4435" spans="24:24">
      <c r="X4435" s="1071"/>
    </row>
    <row r="4436" spans="24:24">
      <c r="X4436" s="1071"/>
    </row>
    <row r="4437" spans="24:24">
      <c r="X4437" s="1071"/>
    </row>
    <row r="4438" spans="24:24">
      <c r="X4438" s="1071"/>
    </row>
    <row r="4439" spans="24:24">
      <c r="X4439" s="1071"/>
    </row>
    <row r="4440" spans="24:24">
      <c r="X4440" s="1071"/>
    </row>
    <row r="4441" spans="24:24">
      <c r="X4441" s="1071"/>
    </row>
    <row r="4442" spans="24:24">
      <c r="X4442" s="1071"/>
    </row>
    <row r="4443" spans="24:24">
      <c r="X4443" s="1071"/>
    </row>
    <row r="4444" spans="24:24">
      <c r="X4444" s="1071"/>
    </row>
    <row r="4445" spans="24:24">
      <c r="X4445" s="1071"/>
    </row>
    <row r="4446" spans="24:24">
      <c r="X4446" s="1071"/>
    </row>
    <row r="4447" spans="24:24">
      <c r="X4447" s="1071"/>
    </row>
    <row r="4448" spans="24:24">
      <c r="X4448" s="1071"/>
    </row>
    <row r="4449" spans="24:24">
      <c r="X4449" s="1071"/>
    </row>
    <row r="4450" spans="24:24">
      <c r="X4450" s="1071"/>
    </row>
    <row r="4451" spans="24:24">
      <c r="X4451" s="1071"/>
    </row>
    <row r="4452" spans="24:24">
      <c r="X4452" s="1071"/>
    </row>
    <row r="4453" spans="24:24">
      <c r="X4453" s="1071"/>
    </row>
    <row r="4454" spans="24:24">
      <c r="X4454" s="1071"/>
    </row>
    <row r="4455" spans="24:24">
      <c r="X4455" s="1071"/>
    </row>
    <row r="4456" spans="24:24">
      <c r="X4456" s="1071"/>
    </row>
    <row r="4457" spans="24:24">
      <c r="X4457" s="1071"/>
    </row>
    <row r="4458" spans="24:24">
      <c r="X4458" s="1071"/>
    </row>
    <row r="4459" spans="24:24">
      <c r="X4459" s="1071"/>
    </row>
    <row r="4460" spans="24:24">
      <c r="X4460" s="1071"/>
    </row>
    <row r="4461" spans="24:24">
      <c r="X4461" s="1071"/>
    </row>
    <row r="4462" spans="24:24">
      <c r="X4462" s="1071"/>
    </row>
    <row r="4463" spans="24:24">
      <c r="X4463" s="1071"/>
    </row>
    <row r="4464" spans="24:24">
      <c r="X4464" s="1071"/>
    </row>
    <row r="4465" spans="24:24">
      <c r="X4465" s="1071"/>
    </row>
    <row r="4466" spans="24:24">
      <c r="X4466" s="1071"/>
    </row>
    <row r="4467" spans="24:24">
      <c r="X4467" s="1071"/>
    </row>
    <row r="4468" spans="24:24">
      <c r="X4468" s="1071"/>
    </row>
    <row r="4469" spans="24:24">
      <c r="X4469" s="1071"/>
    </row>
    <row r="4470" spans="24:24">
      <c r="X4470" s="1071"/>
    </row>
    <row r="4471" spans="24:24">
      <c r="X4471" s="1071"/>
    </row>
    <row r="4472" spans="24:24">
      <c r="X4472" s="1071"/>
    </row>
    <row r="4473" spans="24:24">
      <c r="X4473" s="1071"/>
    </row>
    <row r="4474" spans="24:24">
      <c r="X4474" s="1071"/>
    </row>
    <row r="4475" spans="24:24">
      <c r="X4475" s="1071"/>
    </row>
    <row r="4476" spans="24:24">
      <c r="X4476" s="1071"/>
    </row>
    <row r="4477" spans="24:24">
      <c r="X4477" s="1071"/>
    </row>
    <row r="4478" spans="24:24">
      <c r="X4478" s="1071"/>
    </row>
    <row r="4479" spans="24:24">
      <c r="X4479" s="1071"/>
    </row>
    <row r="4480" spans="24:24">
      <c r="X4480" s="1071"/>
    </row>
    <row r="4481" spans="24:24">
      <c r="X4481" s="1071"/>
    </row>
    <row r="4482" spans="24:24">
      <c r="X4482" s="1071"/>
    </row>
    <row r="4483" spans="24:24">
      <c r="X4483" s="1071"/>
    </row>
    <row r="4484" spans="24:24">
      <c r="X4484" s="1071"/>
    </row>
    <row r="4485" spans="24:24">
      <c r="X4485" s="1071"/>
    </row>
    <row r="4486" spans="24:24">
      <c r="X4486" s="1071"/>
    </row>
    <row r="4487" spans="24:24">
      <c r="X4487" s="1071"/>
    </row>
    <row r="4488" spans="24:24">
      <c r="X4488" s="1071"/>
    </row>
    <row r="4489" spans="24:24">
      <c r="X4489" s="1071"/>
    </row>
    <row r="4490" spans="24:24">
      <c r="X4490" s="1071"/>
    </row>
    <row r="4491" spans="24:24">
      <c r="X4491" s="1071"/>
    </row>
    <row r="4492" spans="24:24">
      <c r="X4492" s="1071"/>
    </row>
    <row r="4493" spans="24:24">
      <c r="X4493" s="1071"/>
    </row>
    <row r="4494" spans="24:24">
      <c r="X4494" s="1071"/>
    </row>
    <row r="4495" spans="24:24">
      <c r="X4495" s="1071"/>
    </row>
    <row r="4496" spans="24:24">
      <c r="X4496" s="1071"/>
    </row>
    <row r="4497" spans="24:24">
      <c r="X4497" s="1071"/>
    </row>
    <row r="4498" spans="24:24">
      <c r="X4498" s="1071"/>
    </row>
    <row r="4499" spans="24:24">
      <c r="X4499" s="1071"/>
    </row>
    <row r="4500" spans="24:24">
      <c r="X4500" s="1071"/>
    </row>
    <row r="4501" spans="24:24">
      <c r="X4501" s="1071"/>
    </row>
    <row r="4502" spans="24:24">
      <c r="X4502" s="1071"/>
    </row>
    <row r="4503" spans="24:24">
      <c r="X4503" s="1071"/>
    </row>
    <row r="4504" spans="24:24">
      <c r="X4504" s="1071"/>
    </row>
    <row r="4505" spans="24:24">
      <c r="X4505" s="1071"/>
    </row>
    <row r="4506" spans="24:24">
      <c r="X4506" s="1071"/>
    </row>
    <row r="4507" spans="24:24">
      <c r="X4507" s="1071"/>
    </row>
    <row r="4508" spans="24:24">
      <c r="X4508" s="1071"/>
    </row>
    <row r="4509" spans="24:24">
      <c r="X4509" s="1071"/>
    </row>
    <row r="4510" spans="24:24">
      <c r="X4510" s="1071"/>
    </row>
    <row r="4511" spans="24:24">
      <c r="X4511" s="1071"/>
    </row>
    <row r="4512" spans="24:24">
      <c r="X4512" s="1071"/>
    </row>
    <row r="4513" spans="24:24">
      <c r="X4513" s="1071"/>
    </row>
    <row r="4514" spans="24:24">
      <c r="X4514" s="1071"/>
    </row>
    <row r="4515" spans="24:24">
      <c r="X4515" s="1071"/>
    </row>
    <row r="4516" spans="24:24">
      <c r="X4516" s="1071"/>
    </row>
    <row r="4517" spans="24:24">
      <c r="X4517" s="1071"/>
    </row>
    <row r="4518" spans="24:24">
      <c r="X4518" s="1071"/>
    </row>
    <row r="4519" spans="24:24">
      <c r="X4519" s="1071"/>
    </row>
    <row r="4520" spans="24:24">
      <c r="X4520" s="1071"/>
    </row>
    <row r="4521" spans="24:24">
      <c r="X4521" s="1071"/>
    </row>
    <row r="4522" spans="24:24">
      <c r="X4522" s="1071"/>
    </row>
    <row r="4523" spans="24:24">
      <c r="X4523" s="1071"/>
    </row>
    <row r="4524" spans="24:24">
      <c r="X4524" s="1071"/>
    </row>
    <row r="4525" spans="24:24">
      <c r="X4525" s="1071"/>
    </row>
    <row r="4526" spans="24:24">
      <c r="X4526" s="1071"/>
    </row>
    <row r="4527" spans="24:24">
      <c r="X4527" s="1071"/>
    </row>
    <row r="4528" spans="24:24">
      <c r="X4528" s="1071"/>
    </row>
    <row r="4529" spans="24:24">
      <c r="X4529" s="1071"/>
    </row>
    <row r="4530" spans="24:24">
      <c r="X4530" s="1071"/>
    </row>
    <row r="4531" spans="24:24">
      <c r="X4531" s="1071"/>
    </row>
    <row r="4532" spans="24:24">
      <c r="X4532" s="1071"/>
    </row>
    <row r="4533" spans="24:24">
      <c r="X4533" s="1071"/>
    </row>
    <row r="4534" spans="24:24">
      <c r="X4534" s="1071"/>
    </row>
    <row r="4535" spans="24:24">
      <c r="X4535" s="1071"/>
    </row>
    <row r="4536" spans="24:24">
      <c r="X4536" s="1071"/>
    </row>
    <row r="4537" spans="24:24">
      <c r="X4537" s="1071"/>
    </row>
    <row r="4538" spans="24:24">
      <c r="X4538" s="1071"/>
    </row>
    <row r="4539" spans="24:24">
      <c r="X4539" s="1071"/>
    </row>
    <row r="4540" spans="24:24">
      <c r="X4540" s="1071"/>
    </row>
    <row r="4541" spans="24:24">
      <c r="X4541" s="1071"/>
    </row>
    <row r="4542" spans="24:24">
      <c r="X4542" s="1071"/>
    </row>
    <row r="4543" spans="24:24">
      <c r="X4543" s="1071"/>
    </row>
    <row r="4544" spans="24:24">
      <c r="X4544" s="1071"/>
    </row>
    <row r="4545" spans="24:24">
      <c r="X4545" s="1071"/>
    </row>
    <row r="4546" spans="24:24">
      <c r="X4546" s="1071"/>
    </row>
    <row r="4547" spans="24:24">
      <c r="X4547" s="1071"/>
    </row>
    <row r="4548" spans="24:24">
      <c r="X4548" s="1071"/>
    </row>
    <row r="4549" spans="24:24">
      <c r="X4549" s="1071"/>
    </row>
    <row r="4550" spans="24:24">
      <c r="X4550" s="1071"/>
    </row>
    <row r="4551" spans="24:24">
      <c r="X4551" s="1071"/>
    </row>
    <row r="4552" spans="24:24">
      <c r="X4552" s="1071"/>
    </row>
    <row r="4553" spans="24:24">
      <c r="X4553" s="1071"/>
    </row>
    <row r="4554" spans="24:24">
      <c r="X4554" s="1071"/>
    </row>
    <row r="4555" spans="24:24">
      <c r="X4555" s="1071"/>
    </row>
    <row r="4556" spans="24:24">
      <c r="X4556" s="1071"/>
    </row>
    <row r="4557" spans="24:24">
      <c r="X4557" s="1071"/>
    </row>
    <row r="4558" spans="24:24">
      <c r="X4558" s="1071"/>
    </row>
    <row r="4559" spans="24:24">
      <c r="X4559" s="1071"/>
    </row>
    <row r="4560" spans="24:24">
      <c r="X4560" s="1071"/>
    </row>
    <row r="4561" spans="24:24">
      <c r="X4561" s="1071"/>
    </row>
    <row r="4562" spans="24:24">
      <c r="X4562" s="1071"/>
    </row>
    <row r="4563" spans="24:24">
      <c r="X4563" s="1071"/>
    </row>
    <row r="4564" spans="24:24">
      <c r="X4564" s="1071"/>
    </row>
    <row r="4565" spans="24:24">
      <c r="X4565" s="1071"/>
    </row>
    <row r="4566" spans="24:24">
      <c r="X4566" s="1071"/>
    </row>
    <row r="4567" spans="24:24">
      <c r="X4567" s="1071"/>
    </row>
    <row r="4568" spans="24:24">
      <c r="X4568" s="1071"/>
    </row>
    <row r="4569" spans="24:24">
      <c r="X4569" s="1071"/>
    </row>
    <row r="4570" spans="24:24">
      <c r="X4570" s="1071"/>
    </row>
    <row r="4571" spans="24:24">
      <c r="X4571" s="1071"/>
    </row>
    <row r="4572" spans="24:24">
      <c r="X4572" s="1071"/>
    </row>
    <row r="4573" spans="24:24">
      <c r="X4573" s="1071"/>
    </row>
    <row r="4574" spans="24:24">
      <c r="X4574" s="1071"/>
    </row>
    <row r="4575" spans="24:24">
      <c r="X4575" s="1071"/>
    </row>
    <row r="4576" spans="24:24">
      <c r="X4576" s="1071"/>
    </row>
    <row r="4577" spans="24:24">
      <c r="X4577" s="1071"/>
    </row>
    <row r="4578" spans="24:24">
      <c r="X4578" s="1071"/>
    </row>
    <row r="4579" spans="24:24">
      <c r="X4579" s="1071"/>
    </row>
    <row r="4580" spans="24:24">
      <c r="X4580" s="1071"/>
    </row>
    <row r="4581" spans="24:24">
      <c r="X4581" s="1071"/>
    </row>
    <row r="4582" spans="24:24">
      <c r="X4582" s="1071"/>
    </row>
    <row r="4583" spans="24:24">
      <c r="X4583" s="1071"/>
    </row>
    <row r="4584" spans="24:24">
      <c r="X4584" s="1071"/>
    </row>
    <row r="4585" spans="24:24">
      <c r="X4585" s="1071"/>
    </row>
    <row r="4586" spans="24:24">
      <c r="X4586" s="1071"/>
    </row>
    <row r="4587" spans="24:24">
      <c r="X4587" s="1071"/>
    </row>
    <row r="4588" spans="24:24">
      <c r="X4588" s="1071"/>
    </row>
    <row r="4589" spans="24:24">
      <c r="X4589" s="1071"/>
    </row>
    <row r="4590" spans="24:24">
      <c r="X4590" s="1071"/>
    </row>
    <row r="4591" spans="24:24">
      <c r="X4591" s="1071"/>
    </row>
    <row r="4592" spans="24:24">
      <c r="X4592" s="1071"/>
    </row>
    <row r="4593" spans="24:24">
      <c r="X4593" s="1071"/>
    </row>
    <row r="4594" spans="24:24">
      <c r="X4594" s="1071"/>
    </row>
    <row r="4595" spans="24:24">
      <c r="X4595" s="1071"/>
    </row>
    <row r="4596" spans="24:24">
      <c r="X4596" s="1071"/>
    </row>
    <row r="4597" spans="24:24">
      <c r="X4597" s="1071"/>
    </row>
    <row r="4598" spans="24:24">
      <c r="X4598" s="1071"/>
    </row>
    <row r="4599" spans="24:24">
      <c r="X4599" s="1071"/>
    </row>
    <row r="4600" spans="24:24">
      <c r="X4600" s="1071"/>
    </row>
    <row r="4601" spans="24:24">
      <c r="X4601" s="1071"/>
    </row>
    <row r="4602" spans="24:24">
      <c r="X4602" s="1071"/>
    </row>
    <row r="4603" spans="24:24">
      <c r="X4603" s="1071"/>
    </row>
    <row r="4604" spans="24:24">
      <c r="X4604" s="1071"/>
    </row>
    <row r="4605" spans="24:24">
      <c r="X4605" s="1071"/>
    </row>
    <row r="4606" spans="24:24">
      <c r="X4606" s="1071"/>
    </row>
    <row r="4607" spans="24:24">
      <c r="X4607" s="1071"/>
    </row>
    <row r="4608" spans="24:24">
      <c r="X4608" s="1071"/>
    </row>
    <row r="4609" spans="24:24">
      <c r="X4609" s="1071"/>
    </row>
    <row r="4610" spans="24:24">
      <c r="X4610" s="1071"/>
    </row>
    <row r="4611" spans="24:24">
      <c r="X4611" s="1071"/>
    </row>
    <row r="4612" spans="24:24">
      <c r="X4612" s="1071"/>
    </row>
    <row r="4613" spans="24:24">
      <c r="X4613" s="1071"/>
    </row>
    <row r="4614" spans="24:24">
      <c r="X4614" s="1071"/>
    </row>
    <row r="4615" spans="24:24">
      <c r="X4615" s="1071"/>
    </row>
    <row r="4616" spans="24:24">
      <c r="X4616" s="1071"/>
    </row>
    <row r="4617" spans="24:24">
      <c r="X4617" s="1071"/>
    </row>
    <row r="4618" spans="24:24">
      <c r="X4618" s="1071"/>
    </row>
    <row r="4619" spans="24:24">
      <c r="X4619" s="1071"/>
    </row>
    <row r="4620" spans="24:24">
      <c r="X4620" s="1071"/>
    </row>
    <row r="4621" spans="24:24">
      <c r="X4621" s="1071"/>
    </row>
    <row r="4622" spans="24:24">
      <c r="X4622" s="1071"/>
    </row>
    <row r="4623" spans="24:24">
      <c r="X4623" s="1071"/>
    </row>
    <row r="4624" spans="24:24">
      <c r="X4624" s="1071"/>
    </row>
    <row r="4625" spans="24:24">
      <c r="X4625" s="1071"/>
    </row>
    <row r="4626" spans="24:24">
      <c r="X4626" s="1071"/>
    </row>
    <row r="4627" spans="24:24">
      <c r="X4627" s="1071"/>
    </row>
    <row r="4628" spans="24:24">
      <c r="X4628" s="1071"/>
    </row>
    <row r="4629" spans="24:24">
      <c r="X4629" s="1071"/>
    </row>
    <row r="4630" spans="24:24">
      <c r="X4630" s="1071"/>
    </row>
    <row r="4631" spans="24:24">
      <c r="X4631" s="1071"/>
    </row>
    <row r="4632" spans="24:24">
      <c r="X4632" s="1071"/>
    </row>
    <row r="4633" spans="24:24">
      <c r="X4633" s="1071"/>
    </row>
    <row r="4634" spans="24:24">
      <c r="X4634" s="1071"/>
    </row>
    <row r="4635" spans="24:24">
      <c r="X4635" s="1071"/>
    </row>
    <row r="4636" spans="24:24">
      <c r="X4636" s="1071"/>
    </row>
    <row r="4637" spans="24:24">
      <c r="X4637" s="1071"/>
    </row>
    <row r="4638" spans="24:24">
      <c r="X4638" s="1071"/>
    </row>
    <row r="4639" spans="24:24">
      <c r="X4639" s="1071"/>
    </row>
    <row r="4640" spans="24:24">
      <c r="X4640" s="1071"/>
    </row>
    <row r="4641" spans="24:24">
      <c r="X4641" s="1071"/>
    </row>
    <row r="4642" spans="24:24">
      <c r="X4642" s="1071"/>
    </row>
    <row r="4643" spans="24:24">
      <c r="X4643" s="1071"/>
    </row>
    <row r="4644" spans="24:24">
      <c r="X4644" s="1071"/>
    </row>
    <row r="4645" spans="24:24">
      <c r="X4645" s="1071"/>
    </row>
    <row r="4646" spans="24:24">
      <c r="X4646" s="1071"/>
    </row>
    <row r="4647" spans="24:24">
      <c r="X4647" s="1071"/>
    </row>
    <row r="4648" spans="24:24">
      <c r="X4648" s="1071"/>
    </row>
    <row r="4649" spans="24:24">
      <c r="X4649" s="1071"/>
    </row>
    <row r="4650" spans="24:24">
      <c r="X4650" s="1071"/>
    </row>
    <row r="4651" spans="24:24">
      <c r="X4651" s="1071"/>
    </row>
    <row r="4652" spans="24:24">
      <c r="X4652" s="1071"/>
    </row>
    <row r="4653" spans="24:24">
      <c r="X4653" s="1071"/>
    </row>
    <row r="4654" spans="24:24">
      <c r="X4654" s="1071"/>
    </row>
    <row r="4655" spans="24:24">
      <c r="X4655" s="1071"/>
    </row>
    <row r="4656" spans="24:24">
      <c r="X4656" s="1071"/>
    </row>
    <row r="4657" spans="24:24">
      <c r="X4657" s="1071"/>
    </row>
    <row r="4658" spans="24:24">
      <c r="X4658" s="1071"/>
    </row>
    <row r="4659" spans="24:24">
      <c r="X4659" s="1071"/>
    </row>
    <row r="4660" spans="24:24">
      <c r="X4660" s="1071"/>
    </row>
    <row r="4661" spans="24:24">
      <c r="X4661" s="1071"/>
    </row>
    <row r="4662" spans="24:24">
      <c r="X4662" s="1071"/>
    </row>
    <row r="4663" spans="24:24">
      <c r="X4663" s="1071"/>
    </row>
    <row r="4664" spans="24:24">
      <c r="X4664" s="1071"/>
    </row>
    <row r="4665" spans="24:24">
      <c r="X4665" s="1071"/>
    </row>
    <row r="4666" spans="24:24">
      <c r="X4666" s="1071"/>
    </row>
    <row r="4667" spans="24:24">
      <c r="X4667" s="1071"/>
    </row>
    <row r="4668" spans="24:24">
      <c r="X4668" s="1071"/>
    </row>
    <row r="4669" spans="24:24">
      <c r="X4669" s="1071"/>
    </row>
    <row r="4670" spans="24:24">
      <c r="X4670" s="1071"/>
    </row>
    <row r="4671" spans="24:24">
      <c r="X4671" s="1071"/>
    </row>
    <row r="4672" spans="24:24">
      <c r="X4672" s="1071"/>
    </row>
    <row r="4673" spans="24:24">
      <c r="X4673" s="1071"/>
    </row>
    <row r="4674" spans="24:24">
      <c r="X4674" s="1071"/>
    </row>
    <row r="4675" spans="24:24">
      <c r="X4675" s="1071"/>
    </row>
    <row r="4676" spans="24:24">
      <c r="X4676" s="1071"/>
    </row>
    <row r="4677" spans="24:24">
      <c r="X4677" s="1071"/>
    </row>
    <row r="4678" spans="24:24">
      <c r="X4678" s="1071"/>
    </row>
    <row r="4679" spans="24:24">
      <c r="X4679" s="1071"/>
    </row>
    <row r="4680" spans="24:24">
      <c r="X4680" s="1071"/>
    </row>
    <row r="4681" spans="24:24">
      <c r="X4681" s="1071"/>
    </row>
    <row r="4682" spans="24:24">
      <c r="X4682" s="1071"/>
    </row>
    <row r="4683" spans="24:24">
      <c r="X4683" s="1071"/>
    </row>
    <row r="4684" spans="24:24">
      <c r="X4684" s="1071"/>
    </row>
    <row r="4685" spans="24:24">
      <c r="X4685" s="1071"/>
    </row>
    <row r="4686" spans="24:24">
      <c r="X4686" s="1071"/>
    </row>
    <row r="4687" spans="24:24">
      <c r="X4687" s="1071"/>
    </row>
    <row r="4688" spans="24:24">
      <c r="X4688" s="1071"/>
    </row>
    <row r="4689" spans="24:24">
      <c r="X4689" s="1071"/>
    </row>
    <row r="4690" spans="24:24">
      <c r="X4690" s="1071"/>
    </row>
    <row r="4691" spans="24:24">
      <c r="X4691" s="1071"/>
    </row>
    <row r="4692" spans="24:24">
      <c r="X4692" s="1071"/>
    </row>
    <row r="4693" spans="24:24">
      <c r="X4693" s="1071"/>
    </row>
    <row r="4694" spans="24:24">
      <c r="X4694" s="1071"/>
    </row>
    <row r="4695" spans="24:24">
      <c r="X4695" s="1071"/>
    </row>
    <row r="4696" spans="24:24">
      <c r="X4696" s="1071"/>
    </row>
    <row r="4697" spans="24:24">
      <c r="X4697" s="1071"/>
    </row>
    <row r="4698" spans="24:24">
      <c r="X4698" s="1071"/>
    </row>
    <row r="4699" spans="24:24">
      <c r="X4699" s="1071"/>
    </row>
    <row r="4700" spans="24:24">
      <c r="X4700" s="1071"/>
    </row>
    <row r="4701" spans="24:24">
      <c r="X4701" s="1071"/>
    </row>
    <row r="4702" spans="24:24">
      <c r="X4702" s="1071"/>
    </row>
    <row r="4703" spans="24:24">
      <c r="X4703" s="1071"/>
    </row>
    <row r="4704" spans="24:24">
      <c r="X4704" s="1071"/>
    </row>
    <row r="4705" spans="24:24">
      <c r="X4705" s="1071"/>
    </row>
    <row r="4706" spans="24:24">
      <c r="X4706" s="1071"/>
    </row>
    <row r="4707" spans="24:24">
      <c r="X4707" s="1071"/>
    </row>
    <row r="4708" spans="24:24">
      <c r="X4708" s="1071"/>
    </row>
    <row r="4709" spans="24:24">
      <c r="X4709" s="1071"/>
    </row>
    <row r="4710" spans="24:24">
      <c r="X4710" s="1071"/>
    </row>
    <row r="4711" spans="24:24">
      <c r="X4711" s="1071"/>
    </row>
    <row r="4712" spans="24:24">
      <c r="X4712" s="1071"/>
    </row>
    <row r="4713" spans="24:24">
      <c r="X4713" s="1071"/>
    </row>
    <row r="4714" spans="24:24">
      <c r="X4714" s="1071"/>
    </row>
    <row r="4715" spans="24:24">
      <c r="X4715" s="1071"/>
    </row>
    <row r="4716" spans="24:24">
      <c r="X4716" s="1071"/>
    </row>
    <row r="4717" spans="24:24">
      <c r="X4717" s="1071"/>
    </row>
  </sheetData>
  <sheetProtection algorithmName="SHA-512" hashValue="XjVSeDn3jil8zjt9ie95cIGCj8EJstLK593Cgml2/VBYa+G+ARh+acyVj6H31+fxQzgJIey2SQ2ywJuikfBjyw==" saltValue="MOw/KZCs2Ln3H+YzH3UnhQ==" spinCount="100000" sheet="1" objects="1" scenarios="1"/>
  <sortState xmlns:xlrd2="http://schemas.microsoft.com/office/spreadsheetml/2017/richdata2" ref="S53:T83">
    <sortCondition ref="S53:S83"/>
  </sortState>
  <mergeCells count="273">
    <mergeCell ref="G154:H154"/>
    <mergeCell ref="I154:J154"/>
    <mergeCell ref="K154:L154"/>
    <mergeCell ref="M154:N154"/>
    <mergeCell ref="U114:X114"/>
    <mergeCell ref="T114:T115"/>
    <mergeCell ref="U116:X116"/>
    <mergeCell ref="T116:T118"/>
    <mergeCell ref="O173:O175"/>
    <mergeCell ref="M138:N138"/>
    <mergeCell ref="G139:H139"/>
    <mergeCell ref="I139:J139"/>
    <mergeCell ref="K139:L139"/>
    <mergeCell ref="M139:N139"/>
    <mergeCell ref="M147:N147"/>
    <mergeCell ref="Q102:R114"/>
    <mergeCell ref="G108:H108"/>
    <mergeCell ref="I108:J108"/>
    <mergeCell ref="K108:L108"/>
    <mergeCell ref="M108:N108"/>
    <mergeCell ref="G102:H103"/>
    <mergeCell ref="G114:H114"/>
    <mergeCell ref="G109:H109"/>
    <mergeCell ref="G106:H106"/>
    <mergeCell ref="O177:O179"/>
    <mergeCell ref="D68:E68"/>
    <mergeCell ref="D77:E77"/>
    <mergeCell ref="D83:E83"/>
    <mergeCell ref="C134:F134"/>
    <mergeCell ref="G119:H119"/>
    <mergeCell ref="I119:J119"/>
    <mergeCell ref="K119:L119"/>
    <mergeCell ref="G131:N131"/>
    <mergeCell ref="C133:N133"/>
    <mergeCell ref="C131:F132"/>
    <mergeCell ref="G132:H132"/>
    <mergeCell ref="I132:J132"/>
    <mergeCell ref="K132:L132"/>
    <mergeCell ref="D127:O128"/>
    <mergeCell ref="M132:N132"/>
    <mergeCell ref="C119:F119"/>
    <mergeCell ref="C122:F122"/>
    <mergeCell ref="C121:F121"/>
    <mergeCell ref="C149:F150"/>
    <mergeCell ref="M143:N143"/>
    <mergeCell ref="M145:N145"/>
    <mergeCell ref="D151:E151"/>
    <mergeCell ref="C137:F137"/>
    <mergeCell ref="G17:M17"/>
    <mergeCell ref="G15:M15"/>
    <mergeCell ref="D48:N48"/>
    <mergeCell ref="C135:F135"/>
    <mergeCell ref="C143:F144"/>
    <mergeCell ref="G146:H146"/>
    <mergeCell ref="I146:J146"/>
    <mergeCell ref="M134:N134"/>
    <mergeCell ref="M135:N135"/>
    <mergeCell ref="G135:H135"/>
    <mergeCell ref="I135:J135"/>
    <mergeCell ref="K135:L135"/>
    <mergeCell ref="G134:H134"/>
    <mergeCell ref="I134:J134"/>
    <mergeCell ref="M136:N136"/>
    <mergeCell ref="C141:F142"/>
    <mergeCell ref="G144:H144"/>
    <mergeCell ref="G141:N141"/>
    <mergeCell ref="K142:L142"/>
    <mergeCell ref="G142:H142"/>
    <mergeCell ref="C136:F136"/>
    <mergeCell ref="G136:H136"/>
    <mergeCell ref="I136:J136"/>
    <mergeCell ref="K136:L136"/>
    <mergeCell ref="C138:F138"/>
    <mergeCell ref="C139:F139"/>
    <mergeCell ref="G138:H138"/>
    <mergeCell ref="I138:J138"/>
    <mergeCell ref="K138:L138"/>
    <mergeCell ref="M137:N137"/>
    <mergeCell ref="M142:N142"/>
    <mergeCell ref="I144:J144"/>
    <mergeCell ref="K144:L144"/>
    <mergeCell ref="M144:N144"/>
    <mergeCell ref="G137:H137"/>
    <mergeCell ref="I137:J137"/>
    <mergeCell ref="K137:L137"/>
    <mergeCell ref="C170:F171"/>
    <mergeCell ref="G171:H171"/>
    <mergeCell ref="I168:M168"/>
    <mergeCell ref="D165:O166"/>
    <mergeCell ref="K146:L146"/>
    <mergeCell ref="M146:N146"/>
    <mergeCell ref="C145:F146"/>
    <mergeCell ref="C147:F148"/>
    <mergeCell ref="G148:H148"/>
    <mergeCell ref="I148:J148"/>
    <mergeCell ref="G170:O170"/>
    <mergeCell ref="K149:L149"/>
    <mergeCell ref="G153:H153"/>
    <mergeCell ref="G151:H151"/>
    <mergeCell ref="G149:H149"/>
    <mergeCell ref="I149:J149"/>
    <mergeCell ref="M149:N149"/>
    <mergeCell ref="I147:J147"/>
    <mergeCell ref="K147:L147"/>
    <mergeCell ref="D153:E153"/>
    <mergeCell ref="K151:L151"/>
    <mergeCell ref="G150:H150"/>
    <mergeCell ref="I150:J150"/>
    <mergeCell ref="K150:L150"/>
    <mergeCell ref="M176:N176"/>
    <mergeCell ref="G174:H174"/>
    <mergeCell ref="I174:J174"/>
    <mergeCell ref="K174:L174"/>
    <mergeCell ref="I102:J103"/>
    <mergeCell ref="K102:L103"/>
    <mergeCell ref="M102:N103"/>
    <mergeCell ref="G104:H104"/>
    <mergeCell ref="I104:J104"/>
    <mergeCell ref="K104:L104"/>
    <mergeCell ref="M104:N104"/>
    <mergeCell ref="G105:H105"/>
    <mergeCell ref="I105:J105"/>
    <mergeCell ref="K105:L105"/>
    <mergeCell ref="M105:N105"/>
    <mergeCell ref="M118:N118"/>
    <mergeCell ref="M121:N121"/>
    <mergeCell ref="G122:H122"/>
    <mergeCell ref="I122:J122"/>
    <mergeCell ref="K122:L122"/>
    <mergeCell ref="M122:N122"/>
    <mergeCell ref="G121:H121"/>
    <mergeCell ref="I121:J121"/>
    <mergeCell ref="K121:L121"/>
    <mergeCell ref="G182:H182"/>
    <mergeCell ref="I182:J182"/>
    <mergeCell ref="G145:H145"/>
    <mergeCell ref="G147:H147"/>
    <mergeCell ref="G143:H143"/>
    <mergeCell ref="M150:N150"/>
    <mergeCell ref="I118:J118"/>
    <mergeCell ref="K118:L118"/>
    <mergeCell ref="K134:L134"/>
    <mergeCell ref="I151:J151"/>
    <mergeCell ref="I142:J142"/>
    <mergeCell ref="K182:L182"/>
    <mergeCell ref="M182:N182"/>
    <mergeCell ref="M119:N119"/>
    <mergeCell ref="K148:L148"/>
    <mergeCell ref="M148:N148"/>
    <mergeCell ref="K145:L145"/>
    <mergeCell ref="K172:L172"/>
    <mergeCell ref="I145:J145"/>
    <mergeCell ref="I143:J143"/>
    <mergeCell ref="K143:L143"/>
    <mergeCell ref="K176:L176"/>
    <mergeCell ref="K171:L171"/>
    <mergeCell ref="K180:L180"/>
    <mergeCell ref="K181:L181"/>
    <mergeCell ref="I171:J171"/>
    <mergeCell ref="I180:J180"/>
    <mergeCell ref="I181:J181"/>
    <mergeCell ref="I172:J172"/>
    <mergeCell ref="I176:J176"/>
    <mergeCell ref="I173:J173"/>
    <mergeCell ref="I177:J177"/>
    <mergeCell ref="K177:L177"/>
    <mergeCell ref="I111:J111"/>
    <mergeCell ref="K111:L111"/>
    <mergeCell ref="M111:N111"/>
    <mergeCell ref="I114:J114"/>
    <mergeCell ref="K114:L114"/>
    <mergeCell ref="M114:N114"/>
    <mergeCell ref="M112:N112"/>
    <mergeCell ref="G113:H113"/>
    <mergeCell ref="M113:N113"/>
    <mergeCell ref="I112:J112"/>
    <mergeCell ref="K112:L112"/>
    <mergeCell ref="Q131:R139"/>
    <mergeCell ref="K116:L117"/>
    <mergeCell ref="C185:F186"/>
    <mergeCell ref="C178:F178"/>
    <mergeCell ref="C179:F179"/>
    <mergeCell ref="G185:H185"/>
    <mergeCell ref="G180:H180"/>
    <mergeCell ref="G181:H181"/>
    <mergeCell ref="G172:H172"/>
    <mergeCell ref="G176:H176"/>
    <mergeCell ref="G175:H175"/>
    <mergeCell ref="G177:H177"/>
    <mergeCell ref="G178:H178"/>
    <mergeCell ref="G179:H179"/>
    <mergeCell ref="G173:H173"/>
    <mergeCell ref="C172:F172"/>
    <mergeCell ref="C173:F173"/>
    <mergeCell ref="C174:F174"/>
    <mergeCell ref="C175:F175"/>
    <mergeCell ref="C176:F176"/>
    <mergeCell ref="C177:F177"/>
    <mergeCell ref="C182:F182"/>
    <mergeCell ref="C180:F180"/>
    <mergeCell ref="C181:F181"/>
    <mergeCell ref="C183:F184"/>
    <mergeCell ref="I116:J117"/>
    <mergeCell ref="G19:M19"/>
    <mergeCell ref="M183:N183"/>
    <mergeCell ref="G183:H183"/>
    <mergeCell ref="I183:J183"/>
    <mergeCell ref="K183:L183"/>
    <mergeCell ref="I179:J179"/>
    <mergeCell ref="K179:L179"/>
    <mergeCell ref="M171:N171"/>
    <mergeCell ref="M180:N180"/>
    <mergeCell ref="M181:N181"/>
    <mergeCell ref="M172:N172"/>
    <mergeCell ref="M173:N173"/>
    <mergeCell ref="M174:N174"/>
    <mergeCell ref="M175:N175"/>
    <mergeCell ref="M177:N177"/>
    <mergeCell ref="M178:N178"/>
    <mergeCell ref="M179:N179"/>
    <mergeCell ref="I175:J175"/>
    <mergeCell ref="I178:J178"/>
    <mergeCell ref="K178:L178"/>
    <mergeCell ref="K173:L173"/>
    <mergeCell ref="K175:L175"/>
    <mergeCell ref="G13:M13"/>
    <mergeCell ref="G21:M21"/>
    <mergeCell ref="C114:F114"/>
    <mergeCell ref="C113:F113"/>
    <mergeCell ref="C112:F112"/>
    <mergeCell ref="C120:F120"/>
    <mergeCell ref="G120:H120"/>
    <mergeCell ref="I120:J120"/>
    <mergeCell ref="K120:L120"/>
    <mergeCell ref="M120:N120"/>
    <mergeCell ref="C105:F105"/>
    <mergeCell ref="I109:J109"/>
    <mergeCell ref="K109:L109"/>
    <mergeCell ref="M109:N109"/>
    <mergeCell ref="G61:M61"/>
    <mergeCell ref="M116:N117"/>
    <mergeCell ref="C107:F107"/>
    <mergeCell ref="C104:F104"/>
    <mergeCell ref="C102:F103"/>
    <mergeCell ref="C111:F111"/>
    <mergeCell ref="C116:F117"/>
    <mergeCell ref="G116:H117"/>
    <mergeCell ref="K113:L113"/>
    <mergeCell ref="G44:M44"/>
    <mergeCell ref="G46:M46"/>
    <mergeCell ref="G62:M62"/>
    <mergeCell ref="G64:M64"/>
    <mergeCell ref="C118:F118"/>
    <mergeCell ref="G118:H118"/>
    <mergeCell ref="G112:H112"/>
    <mergeCell ref="K107:L107"/>
    <mergeCell ref="M107:N107"/>
    <mergeCell ref="G107:H107"/>
    <mergeCell ref="I107:J107"/>
    <mergeCell ref="I113:J113"/>
    <mergeCell ref="C106:F106"/>
    <mergeCell ref="D87:E87"/>
    <mergeCell ref="C108:F108"/>
    <mergeCell ref="C109:F109"/>
    <mergeCell ref="C110:F110"/>
    <mergeCell ref="G110:H110"/>
    <mergeCell ref="I110:J110"/>
    <mergeCell ref="K110:L110"/>
    <mergeCell ref="M110:N110"/>
    <mergeCell ref="I106:J106"/>
    <mergeCell ref="K106:L106"/>
    <mergeCell ref="M106:N106"/>
    <mergeCell ref="G111:H111"/>
  </mergeCells>
  <phoneticPr fontId="71" type="noConversion"/>
  <conditionalFormatting sqref="D15:G15 N15:O15 D16:O16 D17:G17 N17:O17 D18:O19">
    <cfRule type="expression" dxfId="57" priority="88">
      <formula>$G$13="Eau chaude"</formula>
    </cfRule>
  </conditionalFormatting>
  <conditionalFormatting sqref="D61:N65 D66:F66 N66 D67:N67 D68 F68:N68 D69:N76 D77 F77:N77">
    <cfRule type="expression" dxfId="56" priority="16">
      <formula>$G$13="Eau Chaude"</formula>
    </cfRule>
  </conditionalFormatting>
  <conditionalFormatting sqref="D78:N79">
    <cfRule type="expression" dxfId="55" priority="12">
      <formula>$G$13="Eau Chaude"</formula>
    </cfRule>
  </conditionalFormatting>
  <conditionalFormatting sqref="E62 E64">
    <cfRule type="expression" dxfId="54" priority="89">
      <formula>$G$13="Eau chaude"</formula>
    </cfRule>
  </conditionalFormatting>
  <conditionalFormatting sqref="E73:M73">
    <cfRule type="expression" dxfId="53" priority="73">
      <formula>ISNUMBER($G$62)=FALSE</formula>
    </cfRule>
  </conditionalFormatting>
  <conditionalFormatting sqref="E85:N85">
    <cfRule type="expression" dxfId="52" priority="13">
      <formula>$G$13="Eau Chaude"</formula>
    </cfRule>
  </conditionalFormatting>
  <conditionalFormatting sqref="G187">
    <cfRule type="expression" dxfId="51" priority="87">
      <formula>$G$61=""</formula>
    </cfRule>
  </conditionalFormatting>
  <conditionalFormatting sqref="G44:M44 G46:M46">
    <cfRule type="expression" dxfId="50" priority="3">
      <formula>$G$13="Eau chaude"</formula>
    </cfRule>
  </conditionalFormatting>
  <conditionalFormatting sqref="G61:M61">
    <cfRule type="expression" dxfId="49" priority="75">
      <formula>$G$61&lt;&gt;""</formula>
    </cfRule>
  </conditionalFormatting>
  <conditionalFormatting sqref="G105:N107 G109:N110 G112:N114">
    <cfRule type="cellIs" dxfId="48" priority="80" operator="greaterThanOrEqual">
      <formula>1</formula>
    </cfRule>
  </conditionalFormatting>
  <conditionalFormatting sqref="G118:N122">
    <cfRule type="cellIs" dxfId="47" priority="65" operator="equal">
      <formula>0</formula>
    </cfRule>
    <cfRule type="cellIs" dxfId="46" priority="64" operator="notEqual">
      <formula>0</formula>
    </cfRule>
  </conditionalFormatting>
  <conditionalFormatting sqref="G143:N143">
    <cfRule type="expression" dxfId="45" priority="154">
      <formula>MID(G120,1,1)="X"</formula>
    </cfRule>
  </conditionalFormatting>
  <conditionalFormatting sqref="G144:N144">
    <cfRule type="containsText" dxfId="44" priority="155" operator="containsText" text="Note">
      <formula>NOT(ISERROR(SEARCH("Note",G144)))</formula>
    </cfRule>
    <cfRule type="expression" dxfId="43" priority="156">
      <formula>MID(G120,1,1)="X"</formula>
    </cfRule>
  </conditionalFormatting>
  <conditionalFormatting sqref="G145:N145">
    <cfRule type="expression" dxfId="42" priority="171">
      <formula>OR(MID(G122,1,1)="X",MID(G121,1,1)="X")</formula>
    </cfRule>
  </conditionalFormatting>
  <conditionalFormatting sqref="G146:N146">
    <cfRule type="expression" dxfId="41" priority="173">
      <formula>OR(MID(G122,1,1)="X",MID(G121,1,1)="X")</formula>
    </cfRule>
    <cfRule type="containsText" dxfId="40" priority="172" operator="containsText" text="Note">
      <formula>NOT(ISERROR(SEARCH("Note",G146)))</formula>
    </cfRule>
  </conditionalFormatting>
  <conditionalFormatting sqref="G147:N147">
    <cfRule type="expression" dxfId="39" priority="54">
      <formula>MID(G118,1,1)="X"</formula>
    </cfRule>
  </conditionalFormatting>
  <conditionalFormatting sqref="G148:N148">
    <cfRule type="containsText" dxfId="38" priority="46" operator="containsText" text="Note">
      <formula>NOT(ISERROR(SEARCH("Note",G148)))</formula>
    </cfRule>
  </conditionalFormatting>
  <conditionalFormatting sqref="G148:N149">
    <cfRule type="expression" dxfId="37" priority="47">
      <formula>MID(G118,1,1)="X"</formula>
    </cfRule>
  </conditionalFormatting>
  <conditionalFormatting sqref="G150:N150">
    <cfRule type="expression" dxfId="36" priority="45">
      <formula>MID(G119,1,1)="X"</formula>
    </cfRule>
    <cfRule type="containsText" dxfId="35" priority="44" operator="containsText" text="Note">
      <formula>NOT(ISERROR(SEARCH("Note",G150)))</formula>
    </cfRule>
  </conditionalFormatting>
  <conditionalFormatting sqref="G172:N175">
    <cfRule type="expression" dxfId="34" priority="5">
      <formula>MID(G$118,1,1)="X"</formula>
    </cfRule>
  </conditionalFormatting>
  <conditionalFormatting sqref="G176:N179">
    <cfRule type="expression" dxfId="33" priority="4">
      <formula>MID(G$119,1,1)="X"</formula>
    </cfRule>
  </conditionalFormatting>
  <conditionalFormatting sqref="G180:N180">
    <cfRule type="expression" dxfId="32" priority="2">
      <formula>G$109&gt;0</formula>
    </cfRule>
  </conditionalFormatting>
  <conditionalFormatting sqref="G181:N181">
    <cfRule type="expression" dxfId="31" priority="11">
      <formula>MID($R$121,1,1)="X"</formula>
    </cfRule>
  </conditionalFormatting>
  <conditionalFormatting sqref="G182:N182">
    <cfRule type="expression" dxfId="30" priority="1">
      <formula>MID($R$122,1,1)="X"</formula>
    </cfRule>
  </conditionalFormatting>
  <conditionalFormatting sqref="O172">
    <cfRule type="expression" dxfId="29" priority="10">
      <formula>$R$118="X"</formula>
    </cfRule>
  </conditionalFormatting>
  <conditionalFormatting sqref="O176">
    <cfRule type="expression" dxfId="28" priority="9">
      <formula>$R$119="X"</formula>
    </cfRule>
  </conditionalFormatting>
  <conditionalFormatting sqref="O180">
    <cfRule type="expression" dxfId="27" priority="8">
      <formula>$R$120="X"</formula>
    </cfRule>
  </conditionalFormatting>
  <conditionalFormatting sqref="O181">
    <cfRule type="expression" dxfId="26" priority="7">
      <formula>$R$121="X"</formula>
    </cfRule>
  </conditionalFormatting>
  <conditionalFormatting sqref="O182">
    <cfRule type="expression" dxfId="25" priority="6">
      <formula>$R$122="X"</formula>
    </cfRule>
  </conditionalFormatting>
  <dataValidations xWindow="192" yWindow="728" count="31">
    <dataValidation type="custom" allowBlank="1" showInputMessage="1" showErrorMessage="1" errorTitle="Erreur" error="La production moyenne de vapeur ne peut être supérieure à la capacité de production de vapeur de la chaudière. Veuillez entrer une autre valeur ." sqref="G29:M29" xr:uid="{B1093192-D8BA-4DD5-A417-751308EC984C}">
      <formula1>G29&lt;=G26</formula1>
    </dataValidation>
    <dataValidation type="whole" operator="greaterThan" allowBlank="1" showInputMessage="1" showErrorMessage="1" error="blabla" sqref="K88 I88" xr:uid="{AEEE002A-937F-4594-9FF6-1334F88198DA}">
      <formula1>1</formula1>
    </dataValidation>
    <dataValidation type="whole" operator="greaterThanOrEqual" allowBlank="1" showInputMessage="1" showErrorMessage="1" error="blabla" sqref="M88" xr:uid="{15A507B3-687E-4D84-9B45-A9872DF14710}">
      <formula1>1</formula1>
    </dataValidation>
    <dataValidation type="whole" operator="lessThanOrEqual" allowBlank="1" showInputMessage="1" showErrorMessage="1" error="blabla" sqref="G88" xr:uid="{8666D2D9-332A-4DF7-84A9-D7B5B6CB5CEA}">
      <formula1>1</formula1>
    </dataValidation>
    <dataValidation allowBlank="1" showInputMessage="1" showErrorMessage="1" promptTitle="Taux de modulation" prompt="Entrer 4 pour un taux de modulation de 4:1, 6 pour 6:1._x000a__x000a_Note: brûleur non modulant =1." sqref="C97:D97" xr:uid="{DED796AA-CEB7-4927-B5DE-A4C5178BDD8F}"/>
    <dataValidation allowBlank="1" showInputMessage="1" showErrorMessage="1" prompt="0°C si la chaudière produit de la vapeur saturée ou de l'eau chaude" sqref="I49 K49 G49 M49" xr:uid="{FB73FEBC-85B9-4A33-917D-75BD83AFC955}"/>
    <dataValidation allowBlank="1" showInputMessage="1" showErrorMessage="1" promptTitle="Puissance installée du brûleur" prompt="Puissance du brûleur installé sur chacune_x000a_des chaudières." sqref="D23" xr:uid="{CACD26AA-3583-445C-A983-6A343F976D98}"/>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D26:F26"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C29:F29" xr:uid="{4DA749EE-77A2-43A4-86AA-C28E19B1813B}"/>
    <dataValidation allowBlank="1" showInputMessage="1" showErrorMessage="1" prompt="Un schéma et des définitions sont disponibles dans l'onglet  Instructions au besoin" sqref="C77:D77 C83:D84" xr:uid="{377A0573-F0AC-4F3E-95C6-66D0A7E8E73F}"/>
    <dataValidation allowBlank="1" showErrorMessage="1" promptTitle="Âge de la chaudière" sqref="C48:D48 C42:D42"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19" xr:uid="{8A422E99-1C2C-4E36-8B85-2DA8A9F5B32A}"/>
    <dataValidation type="custom"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Température minimale et maximale" prompt="Pour un économiseur standard, la température des fumées à la sortie de l'économiseur ne peut être &lt; 121 °C._x000a__x000a_Pour un économiseur condensant, la température des fumées à la sortie de l'économiseur ne peut être &gt; 121 °C._x000a__x000a_" sqref="C71" xr:uid="{3CA8F91B-3BA8-4028-BAFD-7ABADDDDD399}">
      <formula1>OR(AND(C69="s",C71&gt;=121),AND(C69="c",C71&lt;=121),C69=0)</formula1>
    </dataValidation>
    <dataValidation allowBlank="1" showInputMessage="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Title="Température minimume et maximale" prompt="Pour un économiseur standard, la température des fumées à la sortie de l'économiseur ne peut être &lt; 121 °C._x000a__x000a_Pour un économiseur condensant, la température des fumées à la sortie de l'économiseur ne peut être &gt; 121 °C._x000a__x000a_" sqref="D71" xr:uid="{6CFC230E-E037-4041-AA87-7F6503EDB702}"/>
    <dataValidation type="custom" allowBlank="1" showErrorMessage="1" errorTitle="Température minimume et maximale" error="Pour un économiseur standard, la température des fumées à la sortie de l'économiseur ne peut être &lt; 121 °C._x000a__x000a_Pour un économiseur condensant, la température des fumées à la sortie de l'économiseur ne peut être &gt; 121 °C." prompt="_x000a_" sqref="M71 I71 G71 K71" xr:uid="{47E09305-3505-4914-BFB9-74E56862419D}">
      <formula1>OR(AND(G69="s",G71&gt;=121),AND(G69="c",G71&lt;=121),G69=0)</formula1>
    </dataValidation>
    <dataValidation type="custom" allowBlank="1" showInputMessage="1" showErrorMessage="1" sqref="K71" xr:uid="{BD43D2BC-8052-4F5F-BF72-1374FD99F6D7}">
      <formula1>OR(AND(G69="s",G71&gt;=121),AND(G69="c",G71&lt;=121),G69=0)</formula1>
    </dataValidation>
    <dataValidation allowBlank="1" showInputMessage="1" showErrorMessage="1" prompt="Indiquer 0°C ou laisser la case vide si la chaudière produit de la vapeur saturée." sqref="G17:M17" xr:uid="{5B65A712-014D-4254-8A8D-BCED74B8460B}"/>
    <dataValidation allowBlank="1" showInputMessage="1" showErrorMessage="1" promptTitle="Exemple" prompt="Si l’économiseur standard #1 est commun pour les chaudières 1 et 2, sélectionnez « économiseur standard #1 » pour la chaudière 1 et 2. Sélectionnez &quot;Non&quot; ou &quot;&lt;sélectionner&gt;&quot; s'il n'y a pas d'économiseur sur la chaudière." sqref="C68:E68" xr:uid="{B892F4B1-7F4F-4FE5-9CB2-F5DB34279306}"/>
    <dataValidation allowBlank="1" showInputMessage="1" showErrorMessage="1" prompt="Si l'eau d'alimentation d'une chaudière n'est pas préchauffée, sélectionnez &quot;Non&quot; ou &quot;&lt;sélectionner&gt;&quot;." sqref="C87:D87" xr:uid="{A81E6EA0-45E6-4DE8-8C12-CD204410E175}"/>
    <dataValidation allowBlank="1" showInputMessage="1" showErrorMessage="1" promptTitle="Puissance installée du brûleur" prompt="Puissance du brûleur installé sur chacune des chaudières." sqref="C23" xr:uid="{C09C5D23-8D88-43FF-8A83-C28FCDB99DCC}"/>
    <dataValidation allowBlank="1" showInputMessage="1" showErrorMessage="1" promptTitle="Puissance maximale de production" prompt="Quantité maximale de vapeur produite par la chaudière durant l'année en BHP. La puissance maximale de production prend en compte la vapeur utilisée et la vapeur perdue par l’évent du dégazeur._x000a_" sqref="C26" xr:uid="{CFEDE210-91F1-4911-BBF9-C422EC4E7F22}"/>
    <dataValidation type="custom" allowBlank="1" showInputMessage="1" showErrorMessage="1" errorTitle="Erreur" error="La capacité de production de vapeur ne peut être supérieure à la puissance installée du brûleur de la chaudière. Veuillez entrer une autre valeur ." sqref="G26:M26" xr:uid="{30C4139E-7949-4659-A3D6-5E9E6922C98D}">
      <formula1>G26&lt;G23</formula1>
    </dataValidation>
    <dataValidation allowBlank="1" showInputMessage="1" showErrorMessage="1" promptTitle="Pourcentage de condensat" prompt="Le valeur par défaut utilisée est de 80%. Si le pourcentage de condensat dans l'eau d'alimentation est connue,  veuillez l'indiquer. Sinon, vous pouvez laisser cette case vide." sqref="D44" xr:uid="{1F4729E2-69CB-47D0-8F08-48A69D2D2039}"/>
    <dataValidation allowBlank="1" showInputMessage="1" showErrorMessage="1" promptTitle="Dégazeur" prompt="Un dégazeur ou désaérateur est un dispositif destiné à éliminer l'oxygène ou d'autres gaz dissous dans l'eau remplissant les circuits des chaudières." sqref="C19" xr:uid="{18B80D67-A081-4376-B2C2-996690EC23BB}"/>
    <dataValidation allowBlank="1" showInputMessage="1" showErrorMessage="1" promptTitle="Économiseur standard" prompt="Le calculateur prend l'hypothèse que l'économiseur standard récupère la chaleur sensible des gaz de combustion pour préchauffer l'eau d'alimentation d'une chaudière. Les économies d'énergie associées aux chaudières préchauffées sont présentées." sqref="B180" xr:uid="{09254B7A-2C06-47EE-9E86-9FD03D179FEA}"/>
    <dataValidation allowBlank="1" showInputMessage="1" showErrorMessage="1" promptTitle="Économiseur condensant (1stage)" prompt="Le calculateur prend l'hypothèse que l'économiseur à condensation à 1 stage récupère la chaleur sensible et latente des gaz de combustion pour préchauffer l'eau d'appoint de la chaufferie._x000a_" sqref="B181" xr:uid="{06C19491-2BCB-4134-A3E4-455C712FE7DD}"/>
    <dataValidation allowBlank="1" showInputMessage="1" showErrorMessage="1" promptTitle="Économiseur condensant (2stages)" prompt="Le calculateur prend l'hypothèse que l'économiseur à condensation à 2 stages récupère la chaleur des gaz de combustion pour préchauffer l'eau d'appoint de la chaufferie (chaleur latente) et l'eau d'alimentation d'une chaudière (chaleur sensible)._x000a_" sqref="B182" xr:uid="{58B491C8-95B9-4DF8-BAEC-CB3783B25AF5}"/>
    <dataValidation allowBlank="1" showInputMessage="1" showErrorMessage="1" promptTitle="Pourcentage de condensat" prompt="La valeur par défaut utilisée est de 80%. Si le pourcentage de condensat dans l'eau d'alimentation est connue,  veuillez l'indiquer. Sinon, vous pouvez laisser cette case vide." sqref="C44 G44:M44" xr:uid="{6C382FAE-B15D-4547-AEEF-A6A0AB8F0B8F}"/>
    <dataValidation allowBlank="1" showInputMessage="1" showErrorMessage="1" promptTitle="Cas d'un économiseur intégré" prompt="Si un économiseur intégré est installé et que la température des fumées à la sortie de la chaudière n'est pas connue, merci de laisser cette case vide." sqref="G38 C38:D38 I38 K38 M38" xr:uid="{D813B2DF-E32F-43A2-A176-6C2C04507018}"/>
    <dataValidation allowBlank="1" showInputMessage="1" showErrorMessage="1" promptTitle="Excès d'air" prompt="L'excès d'air se situe généralement entre 25% et 60%." sqref="C36 D36" xr:uid="{DE6134CB-C838-438A-875E-4003AD83C2BD}"/>
    <dataValidation allowBlank="1" showInputMessage="1" showErrorMessage="1" prompt="L'excès d'air se situe généralement entre 25% et 60%." sqref="G36 I36 K36 M36" xr:uid="{0331363A-3691-4641-AF97-F69DEAE0CA38}"/>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142875</xdr:colOff>
                    <xdr:row>47</xdr:row>
                    <xdr:rowOff>9525</xdr:rowOff>
                  </from>
                  <to>
                    <xdr:col>2</xdr:col>
                    <xdr:colOff>390525</xdr:colOff>
                    <xdr:row>48</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92" yWindow="728" count="12">
        <x14:dataValidation type="list" allowBlank="1" showInputMessage="1" showErrorMessage="1" xr:uid="{894EB57F-EFE8-4340-B89F-7A81D796FDBC}">
          <x14:formula1>
            <xm:f>'Menus déroulants'!$C$59:$C$64</xm:f>
          </x14:formula1>
          <xm:sqref>G62</xm:sqref>
        </x14:dataValidation>
        <x14:dataValidation type="list" allowBlank="1" showInputMessage="1" showErrorMessage="1" xr:uid="{8653EE70-6719-4937-9529-8AB7A4325BE4}">
          <x14:formula1>
            <xm:f>'Menus déroulants'!$E$59:$E$64</xm:f>
          </x14:formula1>
          <xm:sqref>G64</xm:sqref>
        </x14:dataValidation>
        <x14:dataValidation type="list" allowBlank="1" showInputMessage="1" showErrorMessage="1" xr:uid="{F5E6A680-180E-4DAA-8FD2-33C8F701C2D1}">
          <x14:formula1>
            <xm:f>OFFSET('Menus déroulants'!$H$67,0,0,'Menus déroulants'!$H$77,1)</xm:f>
          </x14:formula1>
          <xm:sqref>M68 G68 I68</xm:sqref>
        </x14:dataValidation>
        <x14:dataValidation type="list" showInputMessage="1" showErrorMessage="1" xr:uid="{02D8EF18-D9ED-47A7-9BAE-4A59E5A92EFB}">
          <x14:formula1>
            <xm:f>OFFSET('Menus déroulants'!$H$67,0,0,'Menus déroulants'!$H$77,1)</xm:f>
          </x14:formula1>
          <xm:sqref>K68</xm:sqref>
        </x14:dataValidation>
        <x14:dataValidation type="list" allowBlank="1" showInputMessage="1" showErrorMessage="1" xr:uid="{FC8E777C-F396-4D9C-9249-E22B654D8911}">
          <x14:formula1>
            <xm:f>'Menus déroulants'!$G$59:$G$61</xm:f>
          </x14:formula1>
          <xm:sqref>I81 G81 M81 K81</xm:sqref>
        </x14:dataValidation>
        <x14:dataValidation type="list" allowBlank="1" showInputMessage="1" showErrorMessage="1" xr:uid="{25662AFD-4691-4D3A-9FCF-701A2D2CB91C}">
          <x14:formula1>
            <xm:f>'Menus déroulants'!$C$30:$C$32</xm:f>
          </x14:formula1>
          <xm:sqref>G15</xm:sqref>
        </x14:dataValidation>
        <x14:dataValidation type="list" allowBlank="1" showInputMessage="1" showErrorMessage="1" xr:uid="{1BA959C5-7747-487B-B80B-3CA8BE5CD638}">
          <x14:formula1>
            <xm:f>'Menus déroulants'!$C$42:$C$44</xm:f>
          </x14:formula1>
          <xm:sqref>G21:M21</xm:sqref>
        </x14:dataValidation>
        <x14:dataValidation type="list" allowBlank="1" showInputMessage="1" showErrorMessage="1" xr:uid="{C687154D-11FB-417D-B41D-DB749803CA0D}">
          <x14:formula1>
            <xm:f>'Menus déroulants'!$C$81:$C$84</xm:f>
          </x14:formula1>
          <xm:sqref>K94 G94 I94 M94</xm:sqref>
        </x14:dataValidation>
        <x14:dataValidation type="list" allowBlank="1" showInputMessage="1" showErrorMessage="1" xr:uid="{EE7E0B11-711A-44ED-9A1A-EB59BD18977D}">
          <x14:formula1>
            <xm:f>'Menus déroulants'!$I$59:$I$61</xm:f>
          </x14:formula1>
          <xm:sqref>G75 M75 K75 I75</xm:sqref>
        </x14:dataValidation>
        <x14:dataValidation type="list" allowBlank="1" showInputMessage="1" showErrorMessage="1" xr:uid="{88C3D742-7826-4A7F-A90B-979ED5064B8C}">
          <x14:formula1>
            <xm:f>OFFSET('Menus déroulants'!$J$67,0,0,'Menus déroulants'!$J$77,1)</xm:f>
          </x14:formula1>
          <xm:sqref>I87 G71 G87 M71 M87 I71 K87</xm:sqref>
        </x14:dataValidation>
        <x14:dataValidation type="list" allowBlank="1" showInputMessage="1" showErrorMessage="1" xr:uid="{CF40DD97-EC84-425E-8ABF-E731FDCFE4D8}">
          <x14:formula1>
            <xm:f>'Menus déroulants'!$C$36:$C$38</xm:f>
          </x14:formula1>
          <xm:sqref>G19:M19</xm:sqref>
        </x14:dataValidation>
        <x14:dataValidation type="list" allowBlank="1" showInputMessage="1" showErrorMessage="1" xr:uid="{9E3E9D54-FEB2-41B0-AD0F-52A59EE6CF37}">
          <x14:formula1>
            <xm:f>'Menus déroulants'!$C$53:$C$55</xm:f>
          </x14:formula1>
          <xm:sqref>G46:M46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codeName="Feuil6">
    <tabColor rgb="FF00B0F0"/>
  </sheetPr>
  <dimension ref="B1:IX2271"/>
  <sheetViews>
    <sheetView topLeftCell="A99" workbookViewId="0">
      <selection activeCell="D125" sqref="D125"/>
    </sheetView>
  </sheetViews>
  <sheetFormatPr baseColWidth="10" defaultColWidth="11.42578125" defaultRowHeight="15" outlineLevelRow="1" outlineLevelCol="1"/>
  <cols>
    <col min="1" max="2" width="3.85546875" style="7" customWidth="1"/>
    <col min="3" max="3" width="56" style="7" bestFit="1" customWidth="1"/>
    <col min="4" max="4" width="27" style="7" customWidth="1"/>
    <col min="5" max="7" width="26" style="7" customWidth="1"/>
    <col min="8" max="8" width="24" style="7" customWidth="1"/>
    <col min="9" max="9" width="21" style="7" customWidth="1"/>
    <col min="10" max="10" width="4.140625" style="7" customWidth="1"/>
    <col min="11" max="11" width="3.140625" style="7" customWidth="1"/>
    <col min="12" max="12" width="11.42578125" style="7" hidden="1" customWidth="1" outlineLevel="1"/>
    <col min="13" max="13" width="14.140625" style="7" hidden="1" customWidth="1" outlineLevel="1"/>
    <col min="14" max="14" width="17" style="7" hidden="1" customWidth="1" outlineLevel="1"/>
    <col min="15" max="15" width="11.42578125" style="7" hidden="1" customWidth="1" outlineLevel="1"/>
    <col min="16" max="16" width="11.42578125" style="1071" collapsed="1"/>
    <col min="17" max="258" width="11.42578125" style="1071"/>
    <col min="259" max="16384" width="11.42578125" style="7"/>
  </cols>
  <sheetData>
    <row r="1" spans="2:258" ht="13.5" customHeight="1"/>
    <row r="2" spans="2:258" ht="24.75" customHeight="1">
      <c r="B2" s="571" t="s">
        <v>1694</v>
      </c>
      <c r="D2" s="571"/>
      <c r="E2" s="571"/>
      <c r="F2" s="571"/>
    </row>
    <row r="3" spans="2:258" ht="18.75" customHeight="1">
      <c r="B3" s="1263" t="s">
        <v>1646</v>
      </c>
      <c r="D3" s="572"/>
      <c r="E3" s="572"/>
      <c r="F3" s="572"/>
    </row>
    <row r="4" spans="2:258" ht="18.75" customHeight="1">
      <c r="B4" s="572"/>
      <c r="D4" s="572"/>
      <c r="E4" s="572"/>
      <c r="F4" s="572"/>
    </row>
    <row r="5" spans="2:258" s="508" customFormat="1" ht="15" customHeight="1">
      <c r="C5" s="990" t="s">
        <v>1739</v>
      </c>
      <c r="D5" s="1098" t="str">
        <f>IF('1. Informations générales'!F8="","",'1. Informations générales'!F8)</f>
        <v>PE242-XXX</v>
      </c>
      <c r="F5" s="1598"/>
      <c r="G5" s="1598"/>
      <c r="H5" s="1598"/>
      <c r="I5" s="1598"/>
      <c r="J5" s="7"/>
      <c r="P5" s="1414"/>
      <c r="Q5" s="1414"/>
      <c r="R5" s="1414"/>
      <c r="S5" s="1414"/>
      <c r="T5" s="1414"/>
      <c r="U5" s="1414"/>
      <c r="V5" s="1414"/>
      <c r="W5" s="1414"/>
      <c r="X5" s="1414"/>
      <c r="Y5" s="1414"/>
      <c r="Z5" s="1414"/>
      <c r="AA5" s="1414"/>
      <c r="AB5" s="1414"/>
      <c r="AC5" s="1414"/>
      <c r="AD5" s="1414"/>
      <c r="AE5" s="1414"/>
      <c r="AF5" s="1414"/>
      <c r="AG5" s="1414"/>
      <c r="AH5" s="1414"/>
      <c r="AI5" s="1414"/>
      <c r="AJ5" s="1414"/>
      <c r="AK5" s="1414"/>
      <c r="AL5" s="1414"/>
      <c r="AM5" s="1414"/>
      <c r="AN5" s="1414"/>
      <c r="AO5" s="1414"/>
      <c r="AP5" s="1414"/>
      <c r="AQ5" s="1414"/>
      <c r="AR5" s="1414"/>
      <c r="AS5" s="1414"/>
      <c r="AT5" s="1414"/>
      <c r="AU5" s="1414"/>
      <c r="AV5" s="1414"/>
      <c r="AW5" s="1414"/>
      <c r="AX5" s="1414"/>
      <c r="AY5" s="1414"/>
      <c r="AZ5" s="1414"/>
      <c r="BA5" s="1414"/>
      <c r="BB5" s="1414"/>
      <c r="BC5" s="1414"/>
      <c r="BD5" s="1414"/>
      <c r="BE5" s="1414"/>
      <c r="BF5" s="1414"/>
      <c r="BG5" s="1414"/>
      <c r="BH5" s="1414"/>
      <c r="BI5" s="1414"/>
      <c r="BJ5" s="1414"/>
      <c r="BK5" s="1414"/>
      <c r="BL5" s="1414"/>
      <c r="BM5" s="1414"/>
      <c r="BN5" s="1414"/>
      <c r="BO5" s="1414"/>
      <c r="BP5" s="1414"/>
      <c r="BQ5" s="1414"/>
      <c r="BR5" s="1414"/>
      <c r="BS5" s="1414"/>
      <c r="BT5" s="1414"/>
      <c r="BU5" s="1414"/>
      <c r="BV5" s="1414"/>
      <c r="BW5" s="1414"/>
      <c r="BX5" s="1414"/>
      <c r="BY5" s="1414"/>
      <c r="BZ5" s="1414"/>
      <c r="CA5" s="1414"/>
      <c r="CB5" s="1414"/>
      <c r="CC5" s="1414"/>
      <c r="CD5" s="1414"/>
      <c r="CE5" s="1414"/>
      <c r="CF5" s="1414"/>
      <c r="CG5" s="1414"/>
      <c r="CH5" s="1414"/>
      <c r="CI5" s="1414"/>
      <c r="CJ5" s="1414"/>
      <c r="CK5" s="1414"/>
      <c r="CL5" s="1414"/>
      <c r="CM5" s="1414"/>
      <c r="CN5" s="1414"/>
      <c r="CO5" s="1414"/>
      <c r="CP5" s="1414"/>
      <c r="CQ5" s="1414"/>
      <c r="CR5" s="1414"/>
      <c r="CS5" s="1414"/>
      <c r="CT5" s="1414"/>
      <c r="CU5" s="1414"/>
      <c r="CV5" s="1414"/>
      <c r="CW5" s="1414"/>
      <c r="CX5" s="1414"/>
      <c r="CY5" s="1414"/>
      <c r="CZ5" s="1414"/>
      <c r="DA5" s="1414"/>
      <c r="DB5" s="1414"/>
      <c r="DC5" s="1414"/>
      <c r="DD5" s="1414"/>
      <c r="DE5" s="1414"/>
      <c r="DF5" s="1414"/>
      <c r="DG5" s="1414"/>
      <c r="DH5" s="1414"/>
      <c r="DI5" s="1414"/>
      <c r="DJ5" s="1414"/>
      <c r="DK5" s="1414"/>
      <c r="DL5" s="1414"/>
      <c r="DM5" s="1414"/>
      <c r="DN5" s="1414"/>
      <c r="DO5" s="1414"/>
      <c r="DP5" s="1414"/>
      <c r="DQ5" s="1414"/>
      <c r="DR5" s="1414"/>
      <c r="DS5" s="1414"/>
      <c r="DT5" s="1414"/>
      <c r="DU5" s="1414"/>
      <c r="DV5" s="1414"/>
      <c r="DW5" s="1414"/>
      <c r="DX5" s="1414"/>
      <c r="DY5" s="1414"/>
      <c r="DZ5" s="1414"/>
      <c r="EA5" s="1414"/>
      <c r="EB5" s="1414"/>
      <c r="EC5" s="1414"/>
      <c r="ED5" s="1414"/>
      <c r="EE5" s="1414"/>
      <c r="EF5" s="1414"/>
      <c r="EG5" s="1414"/>
      <c r="EH5" s="1414"/>
      <c r="EI5" s="1414"/>
      <c r="EJ5" s="1414"/>
      <c r="EK5" s="1414"/>
      <c r="EL5" s="1414"/>
      <c r="EM5" s="1414"/>
      <c r="EN5" s="1414"/>
      <c r="EO5" s="1414"/>
      <c r="EP5" s="1414"/>
      <c r="EQ5" s="1414"/>
      <c r="ER5" s="1414"/>
      <c r="ES5" s="1414"/>
      <c r="ET5" s="1414"/>
      <c r="EU5" s="1414"/>
      <c r="EV5" s="1414"/>
      <c r="EW5" s="1414"/>
      <c r="EX5" s="1414"/>
      <c r="EY5" s="1414"/>
      <c r="EZ5" s="1414"/>
      <c r="FA5" s="1414"/>
      <c r="FB5" s="1414"/>
      <c r="FC5" s="1414"/>
      <c r="FD5" s="1414"/>
      <c r="FE5" s="1414"/>
      <c r="FF5" s="1414"/>
      <c r="FG5" s="1414"/>
      <c r="FH5" s="1414"/>
      <c r="FI5" s="1414"/>
      <c r="FJ5" s="1414"/>
      <c r="FK5" s="1414"/>
      <c r="FL5" s="1414"/>
      <c r="FM5" s="1414"/>
      <c r="FN5" s="1414"/>
      <c r="FO5" s="1414"/>
      <c r="FP5" s="1414"/>
      <c r="FQ5" s="1414"/>
      <c r="FR5" s="1414"/>
      <c r="FS5" s="1414"/>
      <c r="FT5" s="1414"/>
      <c r="FU5" s="1414"/>
      <c r="FV5" s="1414"/>
      <c r="FW5" s="1414"/>
      <c r="FX5" s="1414"/>
      <c r="FY5" s="1414"/>
      <c r="FZ5" s="1414"/>
      <c r="GA5" s="1414"/>
      <c r="GB5" s="1414"/>
      <c r="GC5" s="1414"/>
      <c r="GD5" s="1414"/>
      <c r="GE5" s="1414"/>
      <c r="GF5" s="1414"/>
      <c r="GG5" s="1414"/>
      <c r="GH5" s="1414"/>
      <c r="GI5" s="1414"/>
      <c r="GJ5" s="1414"/>
      <c r="GK5" s="1414"/>
      <c r="GL5" s="1414"/>
      <c r="GM5" s="1414"/>
      <c r="GN5" s="1414"/>
      <c r="GO5" s="1414"/>
      <c r="GP5" s="1414"/>
      <c r="GQ5" s="1414"/>
      <c r="GR5" s="1414"/>
      <c r="GS5" s="1414"/>
      <c r="GT5" s="1414"/>
      <c r="GU5" s="1414"/>
      <c r="GV5" s="1414"/>
      <c r="GW5" s="1414"/>
      <c r="GX5" s="1414"/>
      <c r="GY5" s="1414"/>
      <c r="GZ5" s="1414"/>
      <c r="HA5" s="1414"/>
      <c r="HB5" s="1414"/>
      <c r="HC5" s="1414"/>
      <c r="HD5" s="1414"/>
      <c r="HE5" s="1414"/>
      <c r="HF5" s="1414"/>
      <c r="HG5" s="1414"/>
      <c r="HH5" s="1414"/>
      <c r="HI5" s="1414"/>
      <c r="HJ5" s="1414"/>
      <c r="HK5" s="1414"/>
      <c r="HL5" s="1414"/>
      <c r="HM5" s="1414"/>
      <c r="HN5" s="1414"/>
      <c r="HO5" s="1414"/>
      <c r="HP5" s="1414"/>
      <c r="HQ5" s="1414"/>
      <c r="HR5" s="1414"/>
      <c r="HS5" s="1414"/>
      <c r="HT5" s="1414"/>
      <c r="HU5" s="1414"/>
      <c r="HV5" s="1414"/>
      <c r="HW5" s="1414"/>
      <c r="HX5" s="1414"/>
      <c r="HY5" s="1414"/>
      <c r="HZ5" s="1414"/>
      <c r="IA5" s="1414"/>
      <c r="IB5" s="1414"/>
      <c r="IC5" s="1414"/>
      <c r="ID5" s="1414"/>
      <c r="IE5" s="1414"/>
      <c r="IF5" s="1414"/>
      <c r="IG5" s="1414"/>
      <c r="IH5" s="1414"/>
      <c r="II5" s="1414"/>
      <c r="IJ5" s="1414"/>
      <c r="IK5" s="1414"/>
      <c r="IL5" s="1414"/>
      <c r="IM5" s="1414"/>
      <c r="IN5" s="1414"/>
      <c r="IO5" s="1414"/>
      <c r="IP5" s="1414"/>
      <c r="IQ5" s="1414"/>
      <c r="IR5" s="1414"/>
      <c r="IS5" s="1414"/>
      <c r="IT5" s="1414"/>
      <c r="IU5" s="1414"/>
      <c r="IV5" s="1414"/>
      <c r="IW5" s="1414"/>
      <c r="IX5" s="1414"/>
    </row>
    <row r="6" spans="2:258">
      <c r="J6" s="1266" t="s">
        <v>1647</v>
      </c>
    </row>
    <row r="7" spans="2:258">
      <c r="B7" s="1411"/>
      <c r="C7" s="1383" t="s">
        <v>1574</v>
      </c>
      <c r="D7" s="1599"/>
      <c r="E7" s="1384"/>
      <c r="F7" s="1384"/>
      <c r="G7" s="1384"/>
      <c r="H7" s="1384"/>
      <c r="I7" s="1384"/>
      <c r="J7" s="1384"/>
      <c r="L7" s="2156" t="s">
        <v>1721</v>
      </c>
      <c r="M7" s="2156"/>
      <c r="N7" s="2156"/>
      <c r="O7" s="2156"/>
    </row>
    <row r="8" spans="2:258" ht="6.75" customHeight="1">
      <c r="B8" s="6"/>
      <c r="C8" s="6"/>
      <c r="D8" s="6"/>
      <c r="E8" s="6"/>
      <c r="F8" s="6"/>
      <c r="G8" s="6"/>
      <c r="H8" s="6"/>
      <c r="I8" s="6"/>
      <c r="J8" s="6"/>
    </row>
    <row r="9" spans="2:258" ht="15.75" thickBot="1">
      <c r="B9" s="1387"/>
      <c r="C9" s="1566" t="s">
        <v>1562</v>
      </c>
      <c r="D9" s="1261" t="s">
        <v>1</v>
      </c>
      <c r="E9" s="1261" t="s">
        <v>2</v>
      </c>
      <c r="F9" s="1261" t="s">
        <v>3</v>
      </c>
      <c r="G9" s="1261" t="s">
        <v>4</v>
      </c>
      <c r="H9" s="1261" t="s">
        <v>1551</v>
      </c>
      <c r="I9" s="6"/>
      <c r="J9" s="6"/>
      <c r="L9" s="717"/>
      <c r="M9" s="1600" t="s">
        <v>1640</v>
      </c>
      <c r="N9" s="1600" t="s">
        <v>1641</v>
      </c>
      <c r="O9" s="1600" t="s">
        <v>1642</v>
      </c>
      <c r="Q9" s="1601"/>
    </row>
    <row r="10" spans="2:258" ht="30.75" customHeight="1">
      <c r="B10" s="1387"/>
      <c r="C10" s="1420" t="s">
        <v>1563</v>
      </c>
      <c r="D10" s="1602"/>
      <c r="E10" s="1603"/>
      <c r="F10" s="1603"/>
      <c r="G10" s="1603"/>
      <c r="H10" s="1695">
        <f>IF(SUM('3b. Calculateur - MEÉ 1'!E43:E62,'3b. Calculateur - MEÉ 1'!E67:E76,'3b. Calculateur - MEÉ 1'!E81:E90,'3b. Calculateur - MEÉ 1'!E95:E104,'3b. Calculateur - MEÉ 1'!E109:E118,'3b. Calculateur - MEÉ 1'!E125:E134)=0,0,"X")</f>
        <v>0</v>
      </c>
      <c r="I10" s="6"/>
      <c r="J10" s="6"/>
      <c r="L10" s="717" t="s">
        <v>1638</v>
      </c>
      <c r="M10" s="717" t="b">
        <f>'3b. Calculateur - MEÉ 1'!C33</f>
        <v>0</v>
      </c>
      <c r="N10" s="717" t="str">
        <f>IF(H10="X","Oui","Non")</f>
        <v>Non</v>
      </c>
      <c r="O10" s="717" t="str">
        <f>IF(N10="Non","Non",IF(AND(N10="oui",M10=FALSE),"Oui","Non"))</f>
        <v>Non</v>
      </c>
    </row>
    <row r="11" spans="2:258" s="710" customFormat="1" ht="31.5" customHeight="1">
      <c r="B11" s="1569"/>
      <c r="C11" s="1420" t="s">
        <v>1564</v>
      </c>
      <c r="D11" s="1691">
        <f>'3c. Calculateur MEÉ 2-3-4'!G118</f>
        <v>0</v>
      </c>
      <c r="E11" s="1692">
        <f>'3c. Calculateur MEÉ 2-3-4'!I118</f>
        <v>0</v>
      </c>
      <c r="F11" s="1692">
        <f>'3c. Calculateur MEÉ 2-3-4'!K118</f>
        <v>0</v>
      </c>
      <c r="G11" s="1692">
        <f>'3c. Calculateur MEÉ 2-3-4'!M118</f>
        <v>0</v>
      </c>
      <c r="H11" s="1604"/>
      <c r="I11" s="6"/>
      <c r="J11" s="6"/>
      <c r="K11" s="7"/>
      <c r="L11" s="717" t="s">
        <v>1639</v>
      </c>
      <c r="M11" s="717" t="b">
        <f>'3c. Calculateur MEÉ 2-3-4'!C48</f>
        <v>1</v>
      </c>
      <c r="N11" s="717" t="str">
        <f>IF(COUNTIF(D11:G15,0)=20,"Non","Oui")</f>
        <v>Non</v>
      </c>
      <c r="O11" s="717" t="str">
        <f>IF(N11="Non","Non",IF(AND(N11="oui",M11=FALSE),"Oui","Non"))</f>
        <v>Non</v>
      </c>
      <c r="P11" s="1523"/>
      <c r="Q11" s="1071"/>
      <c r="R11" s="1071"/>
      <c r="S11" s="1523"/>
      <c r="T11" s="1523"/>
      <c r="U11" s="1523"/>
      <c r="V11" s="1523"/>
      <c r="W11" s="1523"/>
      <c r="X11" s="1523"/>
      <c r="Y11" s="1523"/>
      <c r="Z11" s="1523"/>
      <c r="AA11" s="1523"/>
      <c r="AB11" s="1523"/>
      <c r="AC11" s="1523"/>
      <c r="AD11" s="1523"/>
      <c r="AE11" s="1523"/>
      <c r="AF11" s="1523"/>
      <c r="AG11" s="1523"/>
      <c r="AH11" s="1523"/>
      <c r="AI11" s="1523"/>
      <c r="AJ11" s="1523"/>
      <c r="AK11" s="1523"/>
      <c r="AL11" s="1523"/>
      <c r="AM11" s="1523"/>
      <c r="AN11" s="1523"/>
      <c r="AO11" s="1523"/>
      <c r="AP11" s="1523"/>
      <c r="AQ11" s="1523"/>
      <c r="AR11" s="1523"/>
      <c r="AS11" s="1523"/>
      <c r="AT11" s="1523"/>
      <c r="AU11" s="1523"/>
      <c r="AV11" s="1523"/>
      <c r="AW11" s="1523"/>
      <c r="AX11" s="1523"/>
      <c r="AY11" s="1523"/>
      <c r="AZ11" s="1523"/>
      <c r="BA11" s="1523"/>
      <c r="BB11" s="1523"/>
      <c r="BC11" s="1523"/>
      <c r="BD11" s="1523"/>
      <c r="BE11" s="1523"/>
      <c r="BF11" s="1523"/>
      <c r="BG11" s="1523"/>
      <c r="BH11" s="1523"/>
      <c r="BI11" s="1523"/>
      <c r="BJ11" s="1523"/>
      <c r="BK11" s="1523"/>
      <c r="BL11" s="1523"/>
      <c r="BM11" s="1523"/>
      <c r="BN11" s="1523"/>
      <c r="BO11" s="1523"/>
      <c r="BP11" s="1523"/>
      <c r="BQ11" s="1523"/>
      <c r="BR11" s="1523"/>
      <c r="BS11" s="1523"/>
      <c r="BT11" s="1523"/>
      <c r="BU11" s="1523"/>
      <c r="BV11" s="1523"/>
      <c r="BW11" s="1523"/>
      <c r="BX11" s="1523"/>
      <c r="BY11" s="1523"/>
      <c r="BZ11" s="1523"/>
      <c r="CA11" s="1523"/>
      <c r="CB11" s="1523"/>
      <c r="CC11" s="1523"/>
      <c r="CD11" s="1523"/>
      <c r="CE11" s="1523"/>
      <c r="CF11" s="1523"/>
      <c r="CG11" s="1523"/>
      <c r="CH11" s="1523"/>
      <c r="CI11" s="1523"/>
      <c r="CJ11" s="1523"/>
      <c r="CK11" s="1523"/>
      <c r="CL11" s="1523"/>
      <c r="CM11" s="1523"/>
      <c r="CN11" s="1523"/>
      <c r="CO11" s="1523"/>
      <c r="CP11" s="1523"/>
      <c r="CQ11" s="1523"/>
      <c r="CR11" s="1523"/>
      <c r="CS11" s="1523"/>
      <c r="CT11" s="1523"/>
      <c r="CU11" s="1523"/>
      <c r="CV11" s="1523"/>
      <c r="CW11" s="1523"/>
      <c r="CX11" s="1523"/>
      <c r="CY11" s="1523"/>
      <c r="CZ11" s="1523"/>
      <c r="DA11" s="1523"/>
      <c r="DB11" s="1523"/>
      <c r="DC11" s="1523"/>
      <c r="DD11" s="1523"/>
      <c r="DE11" s="1523"/>
      <c r="DF11" s="1523"/>
      <c r="DG11" s="1523"/>
      <c r="DH11" s="1523"/>
      <c r="DI11" s="1523"/>
      <c r="DJ11" s="1523"/>
      <c r="DK11" s="1523"/>
      <c r="DL11" s="1523"/>
      <c r="DM11" s="1523"/>
      <c r="DN11" s="1523"/>
      <c r="DO11" s="1523"/>
      <c r="DP11" s="1523"/>
      <c r="DQ11" s="1523"/>
      <c r="DR11" s="1523"/>
      <c r="DS11" s="1523"/>
      <c r="DT11" s="1523"/>
      <c r="DU11" s="1523"/>
      <c r="DV11" s="1523"/>
      <c r="DW11" s="1523"/>
      <c r="DX11" s="1523"/>
      <c r="DY11" s="1523"/>
      <c r="DZ11" s="1523"/>
      <c r="EA11" s="1523"/>
      <c r="EB11" s="1523"/>
      <c r="EC11" s="1523"/>
      <c r="ED11" s="1523"/>
      <c r="EE11" s="1523"/>
      <c r="EF11" s="1523"/>
      <c r="EG11" s="1523"/>
      <c r="EH11" s="1523"/>
      <c r="EI11" s="1523"/>
      <c r="EJ11" s="1523"/>
      <c r="EK11" s="1523"/>
      <c r="EL11" s="1523"/>
      <c r="EM11" s="1523"/>
      <c r="EN11" s="1523"/>
      <c r="EO11" s="1523"/>
      <c r="EP11" s="1523"/>
      <c r="EQ11" s="1523"/>
      <c r="ER11" s="1523"/>
      <c r="ES11" s="1523"/>
      <c r="ET11" s="1523"/>
      <c r="EU11" s="1523"/>
      <c r="EV11" s="1523"/>
      <c r="EW11" s="1523"/>
      <c r="EX11" s="1523"/>
      <c r="EY11" s="1523"/>
      <c r="EZ11" s="1523"/>
      <c r="FA11" s="1523"/>
      <c r="FB11" s="1523"/>
      <c r="FC11" s="1523"/>
      <c r="FD11" s="1523"/>
      <c r="FE11" s="1523"/>
      <c r="FF11" s="1523"/>
      <c r="FG11" s="1523"/>
      <c r="FH11" s="1523"/>
      <c r="FI11" s="1523"/>
      <c r="FJ11" s="1523"/>
      <c r="FK11" s="1523"/>
      <c r="FL11" s="1523"/>
      <c r="FM11" s="1523"/>
      <c r="FN11" s="1523"/>
      <c r="FO11" s="1523"/>
      <c r="FP11" s="1523"/>
      <c r="FQ11" s="1523"/>
      <c r="FR11" s="1523"/>
      <c r="FS11" s="1523"/>
      <c r="FT11" s="1523"/>
      <c r="FU11" s="1523"/>
      <c r="FV11" s="1523"/>
      <c r="FW11" s="1523"/>
      <c r="FX11" s="1523"/>
      <c r="FY11" s="1523"/>
      <c r="FZ11" s="1523"/>
      <c r="GA11" s="1523"/>
      <c r="GB11" s="1523"/>
      <c r="GC11" s="1523"/>
      <c r="GD11" s="1523"/>
      <c r="GE11" s="1523"/>
      <c r="GF11" s="1523"/>
      <c r="GG11" s="1523"/>
      <c r="GH11" s="1523"/>
      <c r="GI11" s="1523"/>
      <c r="GJ11" s="1523"/>
      <c r="GK11" s="1523"/>
      <c r="GL11" s="1523"/>
      <c r="GM11" s="1523"/>
      <c r="GN11" s="1523"/>
      <c r="GO11" s="1523"/>
      <c r="GP11" s="1523"/>
      <c r="GQ11" s="1523"/>
      <c r="GR11" s="1523"/>
      <c r="GS11" s="1523"/>
      <c r="GT11" s="1523"/>
      <c r="GU11" s="1523"/>
      <c r="GV11" s="1523"/>
      <c r="GW11" s="1523"/>
      <c r="GX11" s="1523"/>
      <c r="GY11" s="1523"/>
      <c r="GZ11" s="1523"/>
      <c r="HA11" s="1523"/>
      <c r="HB11" s="1523"/>
      <c r="HC11" s="1523"/>
      <c r="HD11" s="1523"/>
      <c r="HE11" s="1523"/>
      <c r="HF11" s="1523"/>
      <c r="HG11" s="1523"/>
      <c r="HH11" s="1523"/>
      <c r="HI11" s="1523"/>
      <c r="HJ11" s="1523"/>
      <c r="HK11" s="1523"/>
      <c r="HL11" s="1523"/>
      <c r="HM11" s="1523"/>
      <c r="HN11" s="1523"/>
      <c r="HO11" s="1523"/>
      <c r="HP11" s="1523"/>
      <c r="HQ11" s="1523"/>
      <c r="HR11" s="1523"/>
      <c r="HS11" s="1523"/>
      <c r="HT11" s="1523"/>
      <c r="HU11" s="1523"/>
      <c r="HV11" s="1523"/>
      <c r="HW11" s="1523"/>
      <c r="HX11" s="1523"/>
      <c r="HY11" s="1523"/>
      <c r="HZ11" s="1523"/>
      <c r="IA11" s="1523"/>
      <c r="IB11" s="1523"/>
      <c r="IC11" s="1523"/>
      <c r="ID11" s="1523"/>
      <c r="IE11" s="1523"/>
      <c r="IF11" s="1523"/>
      <c r="IG11" s="1523"/>
      <c r="IH11" s="1523"/>
      <c r="II11" s="1523"/>
      <c r="IJ11" s="1523"/>
      <c r="IK11" s="1523"/>
      <c r="IL11" s="1523"/>
      <c r="IM11" s="1523"/>
      <c r="IN11" s="1523"/>
      <c r="IO11" s="1523"/>
      <c r="IP11" s="1523"/>
      <c r="IQ11" s="1523"/>
      <c r="IR11" s="1523"/>
      <c r="IS11" s="1523"/>
      <c r="IT11" s="1523"/>
      <c r="IU11" s="1523"/>
      <c r="IV11" s="1523"/>
      <c r="IW11" s="1523"/>
      <c r="IX11" s="1523"/>
    </row>
    <row r="12" spans="2:258" s="710" customFormat="1" ht="31.5" customHeight="1">
      <c r="B12" s="1569"/>
      <c r="C12" s="1420" t="s">
        <v>1572</v>
      </c>
      <c r="D12" s="1691">
        <f>'3c. Calculateur MEÉ 2-3-4'!G119</f>
        <v>0</v>
      </c>
      <c r="E12" s="1692">
        <f>'3c. Calculateur MEÉ 2-3-4'!I119</f>
        <v>0</v>
      </c>
      <c r="F12" s="1692">
        <f>'3c. Calculateur MEÉ 2-3-4'!K119</f>
        <v>0</v>
      </c>
      <c r="G12" s="1692">
        <f>'3c. Calculateur MEÉ 2-3-4'!M119</f>
        <v>0</v>
      </c>
      <c r="H12" s="1604"/>
      <c r="I12" s="1605"/>
      <c r="J12" s="6"/>
      <c r="K12" s="7"/>
      <c r="L12" s="7"/>
      <c r="M12" s="7"/>
      <c r="N12" s="7"/>
      <c r="O12" s="1606"/>
      <c r="P12" s="1607"/>
      <c r="Q12" s="1071"/>
      <c r="R12" s="1071"/>
      <c r="S12" s="1523"/>
      <c r="T12" s="1523"/>
      <c r="U12" s="1523"/>
      <c r="V12" s="1523"/>
      <c r="W12" s="1523"/>
      <c r="X12" s="1523"/>
      <c r="Y12" s="1523"/>
      <c r="Z12" s="1523"/>
      <c r="AA12" s="1523"/>
      <c r="AB12" s="1523"/>
      <c r="AC12" s="1523"/>
      <c r="AD12" s="1523"/>
      <c r="AE12" s="1523"/>
      <c r="AF12" s="1523"/>
      <c r="AG12" s="1523"/>
      <c r="AH12" s="1523"/>
      <c r="AI12" s="1523"/>
      <c r="AJ12" s="1523"/>
      <c r="AK12" s="1523"/>
      <c r="AL12" s="1523"/>
      <c r="AM12" s="1523"/>
      <c r="AN12" s="1523"/>
      <c r="AO12" s="1523"/>
      <c r="AP12" s="1523"/>
      <c r="AQ12" s="1523"/>
      <c r="AR12" s="1523"/>
      <c r="AS12" s="1523"/>
      <c r="AT12" s="1523"/>
      <c r="AU12" s="1523"/>
      <c r="AV12" s="1523"/>
      <c r="AW12" s="1523"/>
      <c r="AX12" s="1523"/>
      <c r="AY12" s="1523"/>
      <c r="AZ12" s="1523"/>
      <c r="BA12" s="1523"/>
      <c r="BB12" s="1523"/>
      <c r="BC12" s="1523"/>
      <c r="BD12" s="1523"/>
      <c r="BE12" s="1523"/>
      <c r="BF12" s="1523"/>
      <c r="BG12" s="1523"/>
      <c r="BH12" s="1523"/>
      <c r="BI12" s="1523"/>
      <c r="BJ12" s="1523"/>
      <c r="BK12" s="1523"/>
      <c r="BL12" s="1523"/>
      <c r="BM12" s="1523"/>
      <c r="BN12" s="1523"/>
      <c r="BO12" s="1523"/>
      <c r="BP12" s="1523"/>
      <c r="BQ12" s="1523"/>
      <c r="BR12" s="1523"/>
      <c r="BS12" s="1523"/>
      <c r="BT12" s="1523"/>
      <c r="BU12" s="1523"/>
      <c r="BV12" s="1523"/>
      <c r="BW12" s="1523"/>
      <c r="BX12" s="1523"/>
      <c r="BY12" s="1523"/>
      <c r="BZ12" s="1523"/>
      <c r="CA12" s="1523"/>
      <c r="CB12" s="1523"/>
      <c r="CC12" s="1523"/>
      <c r="CD12" s="1523"/>
      <c r="CE12" s="1523"/>
      <c r="CF12" s="1523"/>
      <c r="CG12" s="1523"/>
      <c r="CH12" s="1523"/>
      <c r="CI12" s="1523"/>
      <c r="CJ12" s="1523"/>
      <c r="CK12" s="1523"/>
      <c r="CL12" s="1523"/>
      <c r="CM12" s="1523"/>
      <c r="CN12" s="1523"/>
      <c r="CO12" s="1523"/>
      <c r="CP12" s="1523"/>
      <c r="CQ12" s="1523"/>
      <c r="CR12" s="1523"/>
      <c r="CS12" s="1523"/>
      <c r="CT12" s="1523"/>
      <c r="CU12" s="1523"/>
      <c r="CV12" s="1523"/>
      <c r="CW12" s="1523"/>
      <c r="CX12" s="1523"/>
      <c r="CY12" s="1523"/>
      <c r="CZ12" s="1523"/>
      <c r="DA12" s="1523"/>
      <c r="DB12" s="1523"/>
      <c r="DC12" s="1523"/>
      <c r="DD12" s="1523"/>
      <c r="DE12" s="1523"/>
      <c r="DF12" s="1523"/>
      <c r="DG12" s="1523"/>
      <c r="DH12" s="1523"/>
      <c r="DI12" s="1523"/>
      <c r="DJ12" s="1523"/>
      <c r="DK12" s="1523"/>
      <c r="DL12" s="1523"/>
      <c r="DM12" s="1523"/>
      <c r="DN12" s="1523"/>
      <c r="DO12" s="1523"/>
      <c r="DP12" s="1523"/>
      <c r="DQ12" s="1523"/>
      <c r="DR12" s="1523"/>
      <c r="DS12" s="1523"/>
      <c r="DT12" s="1523"/>
      <c r="DU12" s="1523"/>
      <c r="DV12" s="1523"/>
      <c r="DW12" s="1523"/>
      <c r="DX12" s="1523"/>
      <c r="DY12" s="1523"/>
      <c r="DZ12" s="1523"/>
      <c r="EA12" s="1523"/>
      <c r="EB12" s="1523"/>
      <c r="EC12" s="1523"/>
      <c r="ED12" s="1523"/>
      <c r="EE12" s="1523"/>
      <c r="EF12" s="1523"/>
      <c r="EG12" s="1523"/>
      <c r="EH12" s="1523"/>
      <c r="EI12" s="1523"/>
      <c r="EJ12" s="1523"/>
      <c r="EK12" s="1523"/>
      <c r="EL12" s="1523"/>
      <c r="EM12" s="1523"/>
      <c r="EN12" s="1523"/>
      <c r="EO12" s="1523"/>
      <c r="EP12" s="1523"/>
      <c r="EQ12" s="1523"/>
      <c r="ER12" s="1523"/>
      <c r="ES12" s="1523"/>
      <c r="ET12" s="1523"/>
      <c r="EU12" s="1523"/>
      <c r="EV12" s="1523"/>
      <c r="EW12" s="1523"/>
      <c r="EX12" s="1523"/>
      <c r="EY12" s="1523"/>
      <c r="EZ12" s="1523"/>
      <c r="FA12" s="1523"/>
      <c r="FB12" s="1523"/>
      <c r="FC12" s="1523"/>
      <c r="FD12" s="1523"/>
      <c r="FE12" s="1523"/>
      <c r="FF12" s="1523"/>
      <c r="FG12" s="1523"/>
      <c r="FH12" s="1523"/>
      <c r="FI12" s="1523"/>
      <c r="FJ12" s="1523"/>
      <c r="FK12" s="1523"/>
      <c r="FL12" s="1523"/>
      <c r="FM12" s="1523"/>
      <c r="FN12" s="1523"/>
      <c r="FO12" s="1523"/>
      <c r="FP12" s="1523"/>
      <c r="FQ12" s="1523"/>
      <c r="FR12" s="1523"/>
      <c r="FS12" s="1523"/>
      <c r="FT12" s="1523"/>
      <c r="FU12" s="1523"/>
      <c r="FV12" s="1523"/>
      <c r="FW12" s="1523"/>
      <c r="FX12" s="1523"/>
      <c r="FY12" s="1523"/>
      <c r="FZ12" s="1523"/>
      <c r="GA12" s="1523"/>
      <c r="GB12" s="1523"/>
      <c r="GC12" s="1523"/>
      <c r="GD12" s="1523"/>
      <c r="GE12" s="1523"/>
      <c r="GF12" s="1523"/>
      <c r="GG12" s="1523"/>
      <c r="GH12" s="1523"/>
      <c r="GI12" s="1523"/>
      <c r="GJ12" s="1523"/>
      <c r="GK12" s="1523"/>
      <c r="GL12" s="1523"/>
      <c r="GM12" s="1523"/>
      <c r="GN12" s="1523"/>
      <c r="GO12" s="1523"/>
      <c r="GP12" s="1523"/>
      <c r="GQ12" s="1523"/>
      <c r="GR12" s="1523"/>
      <c r="GS12" s="1523"/>
      <c r="GT12" s="1523"/>
      <c r="GU12" s="1523"/>
      <c r="GV12" s="1523"/>
      <c r="GW12" s="1523"/>
      <c r="GX12" s="1523"/>
      <c r="GY12" s="1523"/>
      <c r="GZ12" s="1523"/>
      <c r="HA12" s="1523"/>
      <c r="HB12" s="1523"/>
      <c r="HC12" s="1523"/>
      <c r="HD12" s="1523"/>
      <c r="HE12" s="1523"/>
      <c r="HF12" s="1523"/>
      <c r="HG12" s="1523"/>
      <c r="HH12" s="1523"/>
      <c r="HI12" s="1523"/>
      <c r="HJ12" s="1523"/>
      <c r="HK12" s="1523"/>
      <c r="HL12" s="1523"/>
      <c r="HM12" s="1523"/>
      <c r="HN12" s="1523"/>
      <c r="HO12" s="1523"/>
      <c r="HP12" s="1523"/>
      <c r="HQ12" s="1523"/>
      <c r="HR12" s="1523"/>
      <c r="HS12" s="1523"/>
      <c r="HT12" s="1523"/>
      <c r="HU12" s="1523"/>
      <c r="HV12" s="1523"/>
      <c r="HW12" s="1523"/>
      <c r="HX12" s="1523"/>
      <c r="HY12" s="1523"/>
      <c r="HZ12" s="1523"/>
      <c r="IA12" s="1523"/>
      <c r="IB12" s="1523"/>
      <c r="IC12" s="1523"/>
      <c r="ID12" s="1523"/>
      <c r="IE12" s="1523"/>
      <c r="IF12" s="1523"/>
      <c r="IG12" s="1523"/>
      <c r="IH12" s="1523"/>
      <c r="II12" s="1523"/>
      <c r="IJ12" s="1523"/>
      <c r="IK12" s="1523"/>
      <c r="IL12" s="1523"/>
      <c r="IM12" s="1523"/>
      <c r="IN12" s="1523"/>
      <c r="IO12" s="1523"/>
      <c r="IP12" s="1523"/>
      <c r="IQ12" s="1523"/>
      <c r="IR12" s="1523"/>
      <c r="IS12" s="1523"/>
      <c r="IT12" s="1523"/>
      <c r="IU12" s="1523"/>
      <c r="IV12" s="1523"/>
      <c r="IW12" s="1523"/>
      <c r="IX12" s="1523"/>
    </row>
    <row r="13" spans="2:258" s="710" customFormat="1" ht="31.5" customHeight="1">
      <c r="B13" s="1569"/>
      <c r="C13" s="1608" t="s">
        <v>1567</v>
      </c>
      <c r="D13" s="1691">
        <f>'3c. Calculateur MEÉ 2-3-4'!G120</f>
        <v>0</v>
      </c>
      <c r="E13" s="1692">
        <f>'3c. Calculateur MEÉ 2-3-4'!I120</f>
        <v>0</v>
      </c>
      <c r="F13" s="1692">
        <f>'3c. Calculateur MEÉ 2-3-4'!K120</f>
        <v>0</v>
      </c>
      <c r="G13" s="1692">
        <f>'3c. Calculateur MEÉ 2-3-4'!M120</f>
        <v>0</v>
      </c>
      <c r="H13" s="1604"/>
      <c r="I13" s="1605"/>
      <c r="J13" s="6"/>
      <c r="K13" s="7"/>
      <c r="L13" s="7"/>
      <c r="M13" s="7"/>
      <c r="N13" s="7"/>
      <c r="P13" s="1523"/>
      <c r="Q13" s="1071"/>
      <c r="R13" s="1071"/>
      <c r="S13" s="1609"/>
      <c r="T13" s="1609"/>
      <c r="U13" s="1609"/>
      <c r="V13" s="1609"/>
      <c r="W13" s="1609"/>
      <c r="X13" s="1523"/>
      <c r="Y13" s="1523"/>
      <c r="Z13" s="1523"/>
      <c r="AA13" s="1523"/>
      <c r="AB13" s="1523"/>
      <c r="AC13" s="1523"/>
      <c r="AD13" s="1523"/>
      <c r="AE13" s="1523"/>
      <c r="AF13" s="1523"/>
      <c r="AG13" s="1523"/>
      <c r="AH13" s="1523"/>
      <c r="AI13" s="1523"/>
      <c r="AJ13" s="1523"/>
      <c r="AK13" s="1523"/>
      <c r="AL13" s="1523"/>
      <c r="AM13" s="1523"/>
      <c r="AN13" s="1523"/>
      <c r="AO13" s="1523"/>
      <c r="AP13" s="1523"/>
      <c r="AQ13" s="1523"/>
      <c r="AR13" s="1523"/>
      <c r="AS13" s="1523"/>
      <c r="AT13" s="1523"/>
      <c r="AU13" s="1523"/>
      <c r="AV13" s="1523"/>
      <c r="AW13" s="1523"/>
      <c r="AX13" s="1523"/>
      <c r="AY13" s="1523"/>
      <c r="AZ13" s="1523"/>
      <c r="BA13" s="1523"/>
      <c r="BB13" s="1523"/>
      <c r="BC13" s="1523"/>
      <c r="BD13" s="1523"/>
      <c r="BE13" s="1523"/>
      <c r="BF13" s="1523"/>
      <c r="BG13" s="1523"/>
      <c r="BH13" s="1523"/>
      <c r="BI13" s="1523"/>
      <c r="BJ13" s="1523"/>
      <c r="BK13" s="1523"/>
      <c r="BL13" s="1523"/>
      <c r="BM13" s="1523"/>
      <c r="BN13" s="1523"/>
      <c r="BO13" s="1523"/>
      <c r="BP13" s="1523"/>
      <c r="BQ13" s="1523"/>
      <c r="BR13" s="1523"/>
      <c r="BS13" s="1523"/>
      <c r="BT13" s="1523"/>
      <c r="BU13" s="1523"/>
      <c r="BV13" s="1523"/>
      <c r="BW13" s="1523"/>
      <c r="BX13" s="1523"/>
      <c r="BY13" s="1523"/>
      <c r="BZ13" s="1523"/>
      <c r="CA13" s="1523"/>
      <c r="CB13" s="1523"/>
      <c r="CC13" s="1523"/>
      <c r="CD13" s="1523"/>
      <c r="CE13" s="1523"/>
      <c r="CF13" s="1523"/>
      <c r="CG13" s="1523"/>
      <c r="CH13" s="1523"/>
      <c r="CI13" s="1523"/>
      <c r="CJ13" s="1523"/>
      <c r="CK13" s="1523"/>
      <c r="CL13" s="1523"/>
      <c r="CM13" s="1523"/>
      <c r="CN13" s="1523"/>
      <c r="CO13" s="1523"/>
      <c r="CP13" s="1523"/>
      <c r="CQ13" s="1523"/>
      <c r="CR13" s="1523"/>
      <c r="CS13" s="1523"/>
      <c r="CT13" s="1523"/>
      <c r="CU13" s="1523"/>
      <c r="CV13" s="1523"/>
      <c r="CW13" s="1523"/>
      <c r="CX13" s="1523"/>
      <c r="CY13" s="1523"/>
      <c r="CZ13" s="1523"/>
      <c r="DA13" s="1523"/>
      <c r="DB13" s="1523"/>
      <c r="DC13" s="1523"/>
      <c r="DD13" s="1523"/>
      <c r="DE13" s="1523"/>
      <c r="DF13" s="1523"/>
      <c r="DG13" s="1523"/>
      <c r="DH13" s="1523"/>
      <c r="DI13" s="1523"/>
      <c r="DJ13" s="1523"/>
      <c r="DK13" s="1523"/>
      <c r="DL13" s="1523"/>
      <c r="DM13" s="1523"/>
      <c r="DN13" s="1523"/>
      <c r="DO13" s="1523"/>
      <c r="DP13" s="1523"/>
      <c r="DQ13" s="1523"/>
      <c r="DR13" s="1523"/>
      <c r="DS13" s="1523"/>
      <c r="DT13" s="1523"/>
      <c r="DU13" s="1523"/>
      <c r="DV13" s="1523"/>
      <c r="DW13" s="1523"/>
      <c r="DX13" s="1523"/>
      <c r="DY13" s="1523"/>
      <c r="DZ13" s="1523"/>
      <c r="EA13" s="1523"/>
      <c r="EB13" s="1523"/>
      <c r="EC13" s="1523"/>
      <c r="ED13" s="1523"/>
      <c r="EE13" s="1523"/>
      <c r="EF13" s="1523"/>
      <c r="EG13" s="1523"/>
      <c r="EH13" s="1523"/>
      <c r="EI13" s="1523"/>
      <c r="EJ13" s="1523"/>
      <c r="EK13" s="1523"/>
      <c r="EL13" s="1523"/>
      <c r="EM13" s="1523"/>
      <c r="EN13" s="1523"/>
      <c r="EO13" s="1523"/>
      <c r="EP13" s="1523"/>
      <c r="EQ13" s="1523"/>
      <c r="ER13" s="1523"/>
      <c r="ES13" s="1523"/>
      <c r="ET13" s="1523"/>
      <c r="EU13" s="1523"/>
      <c r="EV13" s="1523"/>
      <c r="EW13" s="1523"/>
      <c r="EX13" s="1523"/>
      <c r="EY13" s="1523"/>
      <c r="EZ13" s="1523"/>
      <c r="FA13" s="1523"/>
      <c r="FB13" s="1523"/>
      <c r="FC13" s="1523"/>
      <c r="FD13" s="1523"/>
      <c r="FE13" s="1523"/>
      <c r="FF13" s="1523"/>
      <c r="FG13" s="1523"/>
      <c r="FH13" s="1523"/>
      <c r="FI13" s="1523"/>
      <c r="FJ13" s="1523"/>
      <c r="FK13" s="1523"/>
      <c r="FL13" s="1523"/>
      <c r="FM13" s="1523"/>
      <c r="FN13" s="1523"/>
      <c r="FO13" s="1523"/>
      <c r="FP13" s="1523"/>
      <c r="FQ13" s="1523"/>
      <c r="FR13" s="1523"/>
      <c r="FS13" s="1523"/>
      <c r="FT13" s="1523"/>
      <c r="FU13" s="1523"/>
      <c r="FV13" s="1523"/>
      <c r="FW13" s="1523"/>
      <c r="FX13" s="1523"/>
      <c r="FY13" s="1523"/>
      <c r="FZ13" s="1523"/>
      <c r="GA13" s="1523"/>
      <c r="GB13" s="1523"/>
      <c r="GC13" s="1523"/>
      <c r="GD13" s="1523"/>
      <c r="GE13" s="1523"/>
      <c r="GF13" s="1523"/>
      <c r="GG13" s="1523"/>
      <c r="GH13" s="1523"/>
      <c r="GI13" s="1523"/>
      <c r="GJ13" s="1523"/>
      <c r="GK13" s="1523"/>
      <c r="GL13" s="1523"/>
      <c r="GM13" s="1523"/>
      <c r="GN13" s="1523"/>
      <c r="GO13" s="1523"/>
      <c r="GP13" s="1523"/>
      <c r="GQ13" s="1523"/>
      <c r="GR13" s="1523"/>
      <c r="GS13" s="1523"/>
      <c r="GT13" s="1523"/>
      <c r="GU13" s="1523"/>
      <c r="GV13" s="1523"/>
      <c r="GW13" s="1523"/>
      <c r="GX13" s="1523"/>
      <c r="GY13" s="1523"/>
      <c r="GZ13" s="1523"/>
      <c r="HA13" s="1523"/>
      <c r="HB13" s="1523"/>
      <c r="HC13" s="1523"/>
      <c r="HD13" s="1523"/>
      <c r="HE13" s="1523"/>
      <c r="HF13" s="1523"/>
      <c r="HG13" s="1523"/>
      <c r="HH13" s="1523"/>
      <c r="HI13" s="1523"/>
      <c r="HJ13" s="1523"/>
      <c r="HK13" s="1523"/>
      <c r="HL13" s="1523"/>
      <c r="HM13" s="1523"/>
      <c r="HN13" s="1523"/>
      <c r="HO13" s="1523"/>
      <c r="HP13" s="1523"/>
      <c r="HQ13" s="1523"/>
      <c r="HR13" s="1523"/>
      <c r="HS13" s="1523"/>
      <c r="HT13" s="1523"/>
      <c r="HU13" s="1523"/>
      <c r="HV13" s="1523"/>
      <c r="HW13" s="1523"/>
      <c r="HX13" s="1523"/>
      <c r="HY13" s="1523"/>
      <c r="HZ13" s="1523"/>
      <c r="IA13" s="1523"/>
      <c r="IB13" s="1523"/>
      <c r="IC13" s="1523"/>
      <c r="ID13" s="1523"/>
      <c r="IE13" s="1523"/>
      <c r="IF13" s="1523"/>
      <c r="IG13" s="1523"/>
      <c r="IH13" s="1523"/>
      <c r="II13" s="1523"/>
      <c r="IJ13" s="1523"/>
      <c r="IK13" s="1523"/>
      <c r="IL13" s="1523"/>
      <c r="IM13" s="1523"/>
      <c r="IN13" s="1523"/>
      <c r="IO13" s="1523"/>
      <c r="IP13" s="1523"/>
      <c r="IQ13" s="1523"/>
      <c r="IR13" s="1523"/>
      <c r="IS13" s="1523"/>
      <c r="IT13" s="1523"/>
      <c r="IU13" s="1523"/>
      <c r="IV13" s="1523"/>
      <c r="IW13" s="1523"/>
      <c r="IX13" s="1523"/>
    </row>
    <row r="14" spans="2:258" s="710" customFormat="1" ht="31.5" customHeight="1">
      <c r="B14" s="1569"/>
      <c r="C14" s="1420" t="s">
        <v>1568</v>
      </c>
      <c r="D14" s="1691">
        <f>'3c. Calculateur MEÉ 2-3-4'!G121</f>
        <v>0</v>
      </c>
      <c r="E14" s="1692">
        <f>'3c. Calculateur MEÉ 2-3-4'!I121</f>
        <v>0</v>
      </c>
      <c r="F14" s="1692">
        <f>'3c. Calculateur MEÉ 2-3-4'!K121</f>
        <v>0</v>
      </c>
      <c r="G14" s="1692">
        <f>'3c. Calculateur MEÉ 2-3-4'!M121</f>
        <v>0</v>
      </c>
      <c r="H14" s="1610"/>
      <c r="I14" s="6"/>
      <c r="J14" s="6"/>
      <c r="K14" s="7"/>
      <c r="L14" s="7"/>
      <c r="M14" s="7"/>
      <c r="N14" s="7"/>
      <c r="P14" s="1523"/>
      <c r="Q14" s="1071"/>
      <c r="R14" s="1071"/>
      <c r="S14" s="1523"/>
      <c r="T14" s="1523"/>
      <c r="U14" s="1523"/>
      <c r="V14" s="1523"/>
      <c r="W14" s="1523"/>
      <c r="X14" s="1523"/>
      <c r="Y14" s="1523"/>
      <c r="Z14" s="1523"/>
      <c r="AA14" s="1523"/>
      <c r="AB14" s="1523"/>
      <c r="AC14" s="1523"/>
      <c r="AD14" s="1523"/>
      <c r="AE14" s="1523"/>
      <c r="AF14" s="1523"/>
      <c r="AG14" s="1523"/>
      <c r="AH14" s="1523"/>
      <c r="AI14" s="1523"/>
      <c r="AJ14" s="1523"/>
      <c r="AK14" s="1523"/>
      <c r="AL14" s="1523"/>
      <c r="AM14" s="1523"/>
      <c r="AN14" s="1523"/>
      <c r="AO14" s="1523"/>
      <c r="AP14" s="1523"/>
      <c r="AQ14" s="1523"/>
      <c r="AR14" s="1523"/>
      <c r="AS14" s="1523"/>
      <c r="AT14" s="1523"/>
      <c r="AU14" s="1523"/>
      <c r="AV14" s="1523"/>
      <c r="AW14" s="1523"/>
      <c r="AX14" s="1523"/>
      <c r="AY14" s="1523"/>
      <c r="AZ14" s="1523"/>
      <c r="BA14" s="1523"/>
      <c r="BB14" s="1523"/>
      <c r="BC14" s="1523"/>
      <c r="BD14" s="1523"/>
      <c r="BE14" s="1523"/>
      <c r="BF14" s="1523"/>
      <c r="BG14" s="1523"/>
      <c r="BH14" s="1523"/>
      <c r="BI14" s="1523"/>
      <c r="BJ14" s="1523"/>
      <c r="BK14" s="1523"/>
      <c r="BL14" s="1523"/>
      <c r="BM14" s="1523"/>
      <c r="BN14" s="1523"/>
      <c r="BO14" s="1523"/>
      <c r="BP14" s="1523"/>
      <c r="BQ14" s="1523"/>
      <c r="BR14" s="1523"/>
      <c r="BS14" s="1523"/>
      <c r="BT14" s="1523"/>
      <c r="BU14" s="1523"/>
      <c r="BV14" s="1523"/>
      <c r="BW14" s="1523"/>
      <c r="BX14" s="1523"/>
      <c r="BY14" s="1523"/>
      <c r="BZ14" s="1523"/>
      <c r="CA14" s="1523"/>
      <c r="CB14" s="1523"/>
      <c r="CC14" s="1523"/>
      <c r="CD14" s="1523"/>
      <c r="CE14" s="1523"/>
      <c r="CF14" s="1523"/>
      <c r="CG14" s="1523"/>
      <c r="CH14" s="1523"/>
      <c r="CI14" s="1523"/>
      <c r="CJ14" s="1523"/>
      <c r="CK14" s="1523"/>
      <c r="CL14" s="1523"/>
      <c r="CM14" s="1523"/>
      <c r="CN14" s="1523"/>
      <c r="CO14" s="1523"/>
      <c r="CP14" s="1523"/>
      <c r="CQ14" s="1523"/>
      <c r="CR14" s="1523"/>
      <c r="CS14" s="1523"/>
      <c r="CT14" s="1523"/>
      <c r="CU14" s="1523"/>
      <c r="CV14" s="1523"/>
      <c r="CW14" s="1523"/>
      <c r="CX14" s="1523"/>
      <c r="CY14" s="1523"/>
      <c r="CZ14" s="1523"/>
      <c r="DA14" s="1523"/>
      <c r="DB14" s="1523"/>
      <c r="DC14" s="1523"/>
      <c r="DD14" s="1523"/>
      <c r="DE14" s="1523"/>
      <c r="DF14" s="1523"/>
      <c r="DG14" s="1523"/>
      <c r="DH14" s="1523"/>
      <c r="DI14" s="1523"/>
      <c r="DJ14" s="1523"/>
      <c r="DK14" s="1523"/>
      <c r="DL14" s="1523"/>
      <c r="DM14" s="1523"/>
      <c r="DN14" s="1523"/>
      <c r="DO14" s="1523"/>
      <c r="DP14" s="1523"/>
      <c r="DQ14" s="1523"/>
      <c r="DR14" s="1523"/>
      <c r="DS14" s="1523"/>
      <c r="DT14" s="1523"/>
      <c r="DU14" s="1523"/>
      <c r="DV14" s="1523"/>
      <c r="DW14" s="1523"/>
      <c r="DX14" s="1523"/>
      <c r="DY14" s="1523"/>
      <c r="DZ14" s="1523"/>
      <c r="EA14" s="1523"/>
      <c r="EB14" s="1523"/>
      <c r="EC14" s="1523"/>
      <c r="ED14" s="1523"/>
      <c r="EE14" s="1523"/>
      <c r="EF14" s="1523"/>
      <c r="EG14" s="1523"/>
      <c r="EH14" s="1523"/>
      <c r="EI14" s="1523"/>
      <c r="EJ14" s="1523"/>
      <c r="EK14" s="1523"/>
      <c r="EL14" s="1523"/>
      <c r="EM14" s="1523"/>
      <c r="EN14" s="1523"/>
      <c r="EO14" s="1523"/>
      <c r="EP14" s="1523"/>
      <c r="EQ14" s="1523"/>
      <c r="ER14" s="1523"/>
      <c r="ES14" s="1523"/>
      <c r="ET14" s="1523"/>
      <c r="EU14" s="1523"/>
      <c r="EV14" s="1523"/>
      <c r="EW14" s="1523"/>
      <c r="EX14" s="1523"/>
      <c r="EY14" s="1523"/>
      <c r="EZ14" s="1523"/>
      <c r="FA14" s="1523"/>
      <c r="FB14" s="1523"/>
      <c r="FC14" s="1523"/>
      <c r="FD14" s="1523"/>
      <c r="FE14" s="1523"/>
      <c r="FF14" s="1523"/>
      <c r="FG14" s="1523"/>
      <c r="FH14" s="1523"/>
      <c r="FI14" s="1523"/>
      <c r="FJ14" s="1523"/>
      <c r="FK14" s="1523"/>
      <c r="FL14" s="1523"/>
      <c r="FM14" s="1523"/>
      <c r="FN14" s="1523"/>
      <c r="FO14" s="1523"/>
      <c r="FP14" s="1523"/>
      <c r="FQ14" s="1523"/>
      <c r="FR14" s="1523"/>
      <c r="FS14" s="1523"/>
      <c r="FT14" s="1523"/>
      <c r="FU14" s="1523"/>
      <c r="FV14" s="1523"/>
      <c r="FW14" s="1523"/>
      <c r="FX14" s="1523"/>
      <c r="FY14" s="1523"/>
      <c r="FZ14" s="1523"/>
      <c r="GA14" s="1523"/>
      <c r="GB14" s="1523"/>
      <c r="GC14" s="1523"/>
      <c r="GD14" s="1523"/>
      <c r="GE14" s="1523"/>
      <c r="GF14" s="1523"/>
      <c r="GG14" s="1523"/>
      <c r="GH14" s="1523"/>
      <c r="GI14" s="1523"/>
      <c r="GJ14" s="1523"/>
      <c r="GK14" s="1523"/>
      <c r="GL14" s="1523"/>
      <c r="GM14" s="1523"/>
      <c r="GN14" s="1523"/>
      <c r="GO14" s="1523"/>
      <c r="GP14" s="1523"/>
      <c r="GQ14" s="1523"/>
      <c r="GR14" s="1523"/>
      <c r="GS14" s="1523"/>
      <c r="GT14" s="1523"/>
      <c r="GU14" s="1523"/>
      <c r="GV14" s="1523"/>
      <c r="GW14" s="1523"/>
      <c r="GX14" s="1523"/>
      <c r="GY14" s="1523"/>
      <c r="GZ14" s="1523"/>
      <c r="HA14" s="1523"/>
      <c r="HB14" s="1523"/>
      <c r="HC14" s="1523"/>
      <c r="HD14" s="1523"/>
      <c r="HE14" s="1523"/>
      <c r="HF14" s="1523"/>
      <c r="HG14" s="1523"/>
      <c r="HH14" s="1523"/>
      <c r="HI14" s="1523"/>
      <c r="HJ14" s="1523"/>
      <c r="HK14" s="1523"/>
      <c r="HL14" s="1523"/>
      <c r="HM14" s="1523"/>
      <c r="HN14" s="1523"/>
      <c r="HO14" s="1523"/>
      <c r="HP14" s="1523"/>
      <c r="HQ14" s="1523"/>
      <c r="HR14" s="1523"/>
      <c r="HS14" s="1523"/>
      <c r="HT14" s="1523"/>
      <c r="HU14" s="1523"/>
      <c r="HV14" s="1523"/>
      <c r="HW14" s="1523"/>
      <c r="HX14" s="1523"/>
      <c r="HY14" s="1523"/>
      <c r="HZ14" s="1523"/>
      <c r="IA14" s="1523"/>
      <c r="IB14" s="1523"/>
      <c r="IC14" s="1523"/>
      <c r="ID14" s="1523"/>
      <c r="IE14" s="1523"/>
      <c r="IF14" s="1523"/>
      <c r="IG14" s="1523"/>
      <c r="IH14" s="1523"/>
      <c r="II14" s="1523"/>
      <c r="IJ14" s="1523"/>
      <c r="IK14" s="1523"/>
      <c r="IL14" s="1523"/>
      <c r="IM14" s="1523"/>
      <c r="IN14" s="1523"/>
      <c r="IO14" s="1523"/>
      <c r="IP14" s="1523"/>
      <c r="IQ14" s="1523"/>
      <c r="IR14" s="1523"/>
      <c r="IS14" s="1523"/>
      <c r="IT14" s="1523"/>
      <c r="IU14" s="1523"/>
      <c r="IV14" s="1523"/>
      <c r="IW14" s="1523"/>
      <c r="IX14" s="1523"/>
    </row>
    <row r="15" spans="2:258" s="710" customFormat="1" ht="31.5" customHeight="1" thickBot="1">
      <c r="B15" s="1569"/>
      <c r="C15" s="1420" t="s">
        <v>1573</v>
      </c>
      <c r="D15" s="1693">
        <f>'3c. Calculateur MEÉ 2-3-4'!G122</f>
        <v>0</v>
      </c>
      <c r="E15" s="1694">
        <f>'3c. Calculateur MEÉ 2-3-4'!I122</f>
        <v>0</v>
      </c>
      <c r="F15" s="1694">
        <f>'3c. Calculateur MEÉ 2-3-4'!K122</f>
        <v>0</v>
      </c>
      <c r="G15" s="1694">
        <f>'3c. Calculateur MEÉ 2-3-4'!M122</f>
        <v>0</v>
      </c>
      <c r="H15" s="1611"/>
      <c r="I15" s="6"/>
      <c r="J15" s="6"/>
      <c r="K15" s="7"/>
      <c r="L15" s="7"/>
      <c r="M15" s="7"/>
      <c r="N15" s="7"/>
      <c r="P15" s="1523"/>
      <c r="Q15" s="1071"/>
      <c r="R15" s="1071"/>
      <c r="S15" s="1523"/>
      <c r="T15" s="1523"/>
      <c r="U15" s="1523"/>
      <c r="V15" s="1523"/>
      <c r="W15" s="1523"/>
      <c r="X15" s="1523"/>
      <c r="Y15" s="1523"/>
      <c r="Z15" s="1523"/>
      <c r="AA15" s="1523"/>
      <c r="AB15" s="1523"/>
      <c r="AC15" s="1523"/>
      <c r="AD15" s="1523"/>
      <c r="AE15" s="1523"/>
      <c r="AF15" s="1523"/>
      <c r="AG15" s="1523"/>
      <c r="AH15" s="1523"/>
      <c r="AI15" s="1523"/>
      <c r="AJ15" s="1523"/>
      <c r="AK15" s="1523"/>
      <c r="AL15" s="1523"/>
      <c r="AM15" s="1523"/>
      <c r="AN15" s="1523"/>
      <c r="AO15" s="1523"/>
      <c r="AP15" s="1523"/>
      <c r="AQ15" s="1523"/>
      <c r="AR15" s="1523"/>
      <c r="AS15" s="1523"/>
      <c r="AT15" s="1523"/>
      <c r="AU15" s="1523"/>
      <c r="AV15" s="1523"/>
      <c r="AW15" s="1523"/>
      <c r="AX15" s="1523"/>
      <c r="AY15" s="1523"/>
      <c r="AZ15" s="1523"/>
      <c r="BA15" s="1523"/>
      <c r="BB15" s="1523"/>
      <c r="BC15" s="1523"/>
      <c r="BD15" s="1523"/>
      <c r="BE15" s="1523"/>
      <c r="BF15" s="1523"/>
      <c r="BG15" s="1523"/>
      <c r="BH15" s="1523"/>
      <c r="BI15" s="1523"/>
      <c r="BJ15" s="1523"/>
      <c r="BK15" s="1523"/>
      <c r="BL15" s="1523"/>
      <c r="BM15" s="1523"/>
      <c r="BN15" s="1523"/>
      <c r="BO15" s="1523"/>
      <c r="BP15" s="1523"/>
      <c r="BQ15" s="1523"/>
      <c r="BR15" s="1523"/>
      <c r="BS15" s="1523"/>
      <c r="BT15" s="1523"/>
      <c r="BU15" s="1523"/>
      <c r="BV15" s="1523"/>
      <c r="BW15" s="1523"/>
      <c r="BX15" s="1523"/>
      <c r="BY15" s="1523"/>
      <c r="BZ15" s="1523"/>
      <c r="CA15" s="1523"/>
      <c r="CB15" s="1523"/>
      <c r="CC15" s="1523"/>
      <c r="CD15" s="1523"/>
      <c r="CE15" s="1523"/>
      <c r="CF15" s="1523"/>
      <c r="CG15" s="1523"/>
      <c r="CH15" s="1523"/>
      <c r="CI15" s="1523"/>
      <c r="CJ15" s="1523"/>
      <c r="CK15" s="1523"/>
      <c r="CL15" s="1523"/>
      <c r="CM15" s="1523"/>
      <c r="CN15" s="1523"/>
      <c r="CO15" s="1523"/>
      <c r="CP15" s="1523"/>
      <c r="CQ15" s="1523"/>
      <c r="CR15" s="1523"/>
      <c r="CS15" s="1523"/>
      <c r="CT15" s="1523"/>
      <c r="CU15" s="1523"/>
      <c r="CV15" s="1523"/>
      <c r="CW15" s="1523"/>
      <c r="CX15" s="1523"/>
      <c r="CY15" s="1523"/>
      <c r="CZ15" s="1523"/>
      <c r="DA15" s="1523"/>
      <c r="DB15" s="1523"/>
      <c r="DC15" s="1523"/>
      <c r="DD15" s="1523"/>
      <c r="DE15" s="1523"/>
      <c r="DF15" s="1523"/>
      <c r="DG15" s="1523"/>
      <c r="DH15" s="1523"/>
      <c r="DI15" s="1523"/>
      <c r="DJ15" s="1523"/>
      <c r="DK15" s="1523"/>
      <c r="DL15" s="1523"/>
      <c r="DM15" s="1523"/>
      <c r="DN15" s="1523"/>
      <c r="DO15" s="1523"/>
      <c r="DP15" s="1523"/>
      <c r="DQ15" s="1523"/>
      <c r="DR15" s="1523"/>
      <c r="DS15" s="1523"/>
      <c r="DT15" s="1523"/>
      <c r="DU15" s="1523"/>
      <c r="DV15" s="1523"/>
      <c r="DW15" s="1523"/>
      <c r="DX15" s="1523"/>
      <c r="DY15" s="1523"/>
      <c r="DZ15" s="1523"/>
      <c r="EA15" s="1523"/>
      <c r="EB15" s="1523"/>
      <c r="EC15" s="1523"/>
      <c r="ED15" s="1523"/>
      <c r="EE15" s="1523"/>
      <c r="EF15" s="1523"/>
      <c r="EG15" s="1523"/>
      <c r="EH15" s="1523"/>
      <c r="EI15" s="1523"/>
      <c r="EJ15" s="1523"/>
      <c r="EK15" s="1523"/>
      <c r="EL15" s="1523"/>
      <c r="EM15" s="1523"/>
      <c r="EN15" s="1523"/>
      <c r="EO15" s="1523"/>
      <c r="EP15" s="1523"/>
      <c r="EQ15" s="1523"/>
      <c r="ER15" s="1523"/>
      <c r="ES15" s="1523"/>
      <c r="ET15" s="1523"/>
      <c r="EU15" s="1523"/>
      <c r="EV15" s="1523"/>
      <c r="EW15" s="1523"/>
      <c r="EX15" s="1523"/>
      <c r="EY15" s="1523"/>
      <c r="EZ15" s="1523"/>
      <c r="FA15" s="1523"/>
      <c r="FB15" s="1523"/>
      <c r="FC15" s="1523"/>
      <c r="FD15" s="1523"/>
      <c r="FE15" s="1523"/>
      <c r="FF15" s="1523"/>
      <c r="FG15" s="1523"/>
      <c r="FH15" s="1523"/>
      <c r="FI15" s="1523"/>
      <c r="FJ15" s="1523"/>
      <c r="FK15" s="1523"/>
      <c r="FL15" s="1523"/>
      <c r="FM15" s="1523"/>
      <c r="FN15" s="1523"/>
      <c r="FO15" s="1523"/>
      <c r="FP15" s="1523"/>
      <c r="FQ15" s="1523"/>
      <c r="FR15" s="1523"/>
      <c r="FS15" s="1523"/>
      <c r="FT15" s="1523"/>
      <c r="FU15" s="1523"/>
      <c r="FV15" s="1523"/>
      <c r="FW15" s="1523"/>
      <c r="FX15" s="1523"/>
      <c r="FY15" s="1523"/>
      <c r="FZ15" s="1523"/>
      <c r="GA15" s="1523"/>
      <c r="GB15" s="1523"/>
      <c r="GC15" s="1523"/>
      <c r="GD15" s="1523"/>
      <c r="GE15" s="1523"/>
      <c r="GF15" s="1523"/>
      <c r="GG15" s="1523"/>
      <c r="GH15" s="1523"/>
      <c r="GI15" s="1523"/>
      <c r="GJ15" s="1523"/>
      <c r="GK15" s="1523"/>
      <c r="GL15" s="1523"/>
      <c r="GM15" s="1523"/>
      <c r="GN15" s="1523"/>
      <c r="GO15" s="1523"/>
      <c r="GP15" s="1523"/>
      <c r="GQ15" s="1523"/>
      <c r="GR15" s="1523"/>
      <c r="GS15" s="1523"/>
      <c r="GT15" s="1523"/>
      <c r="GU15" s="1523"/>
      <c r="GV15" s="1523"/>
      <c r="GW15" s="1523"/>
      <c r="GX15" s="1523"/>
      <c r="GY15" s="1523"/>
      <c r="GZ15" s="1523"/>
      <c r="HA15" s="1523"/>
      <c r="HB15" s="1523"/>
      <c r="HC15" s="1523"/>
      <c r="HD15" s="1523"/>
      <c r="HE15" s="1523"/>
      <c r="HF15" s="1523"/>
      <c r="HG15" s="1523"/>
      <c r="HH15" s="1523"/>
      <c r="HI15" s="1523"/>
      <c r="HJ15" s="1523"/>
      <c r="HK15" s="1523"/>
      <c r="HL15" s="1523"/>
      <c r="HM15" s="1523"/>
      <c r="HN15" s="1523"/>
      <c r="HO15" s="1523"/>
      <c r="HP15" s="1523"/>
      <c r="HQ15" s="1523"/>
      <c r="HR15" s="1523"/>
      <c r="HS15" s="1523"/>
      <c r="HT15" s="1523"/>
      <c r="HU15" s="1523"/>
      <c r="HV15" s="1523"/>
      <c r="HW15" s="1523"/>
      <c r="HX15" s="1523"/>
      <c r="HY15" s="1523"/>
      <c r="HZ15" s="1523"/>
      <c r="IA15" s="1523"/>
      <c r="IB15" s="1523"/>
      <c r="IC15" s="1523"/>
      <c r="ID15" s="1523"/>
      <c r="IE15" s="1523"/>
      <c r="IF15" s="1523"/>
      <c r="IG15" s="1523"/>
      <c r="IH15" s="1523"/>
      <c r="II15" s="1523"/>
      <c r="IJ15" s="1523"/>
      <c r="IK15" s="1523"/>
      <c r="IL15" s="1523"/>
      <c r="IM15" s="1523"/>
      <c r="IN15" s="1523"/>
      <c r="IO15" s="1523"/>
      <c r="IP15" s="1523"/>
      <c r="IQ15" s="1523"/>
      <c r="IR15" s="1523"/>
      <c r="IS15" s="1523"/>
      <c r="IT15" s="1523"/>
      <c r="IU15" s="1523"/>
      <c r="IV15" s="1523"/>
      <c r="IW15" s="1523"/>
      <c r="IX15" s="1523"/>
    </row>
    <row r="16" spans="2:258" ht="6.75" customHeight="1">
      <c r="B16" s="6"/>
      <c r="C16" s="1591"/>
      <c r="D16" s="6"/>
      <c r="E16" s="6"/>
      <c r="F16" s="6"/>
      <c r="G16" s="6"/>
      <c r="H16" s="6"/>
      <c r="I16" s="6"/>
      <c r="J16" s="6"/>
    </row>
    <row r="17" spans="2:258" ht="14.25" customHeight="1">
      <c r="B17" s="6"/>
      <c r="C17" s="2126" t="str">
        <f>IF(AND(N10="Non",N11="Non"),"",IF(AND(O10="Non",O11="Non"),"L'utilisateur confirme que toutes les chaudières  alimentent le même réseau de vapeur.","/!\ Vous n'avez pas validé dans les données d'entrée qu'il s'agit d'un seul réseau de vapeur. Veuillez cocher la case à la section 1 des onglets 3b. et/ou 3c."))</f>
        <v/>
      </c>
      <c r="D17" s="2126"/>
      <c r="E17" s="2126"/>
      <c r="F17" s="2126"/>
      <c r="G17" s="2126"/>
      <c r="H17" s="2126"/>
      <c r="I17" s="6"/>
      <c r="J17" s="6"/>
      <c r="K17" s="541"/>
    </row>
    <row r="18" spans="2:258" ht="6.75" customHeight="1">
      <c r="B18" s="6"/>
      <c r="C18" s="1591"/>
      <c r="D18" s="6"/>
      <c r="E18" s="6"/>
      <c r="F18" s="6"/>
      <c r="G18" s="6"/>
      <c r="H18" s="6"/>
      <c r="I18" s="6"/>
      <c r="J18" s="6"/>
    </row>
    <row r="20" spans="2:258">
      <c r="B20" s="1411"/>
      <c r="C20" s="1383" t="s">
        <v>1575</v>
      </c>
      <c r="D20" s="1599"/>
      <c r="E20" s="1384"/>
      <c r="F20" s="1384"/>
      <c r="G20" s="1384"/>
      <c r="H20" s="1384"/>
      <c r="I20" s="1384"/>
      <c r="J20" s="1384"/>
    </row>
    <row r="21" spans="2:258" ht="6.75" customHeight="1">
      <c r="B21" s="6"/>
      <c r="C21" s="6"/>
      <c r="D21" s="6"/>
      <c r="E21" s="6"/>
      <c r="F21" s="6"/>
      <c r="G21" s="6"/>
      <c r="H21" s="6"/>
      <c r="I21" s="6"/>
      <c r="J21" s="6"/>
    </row>
    <row r="22" spans="2:258" s="508" customFormat="1" ht="15" customHeight="1">
      <c r="B22" s="1412"/>
      <c r="C22" s="2127" t="s">
        <v>1941</v>
      </c>
      <c r="D22" s="2128"/>
      <c r="E22" s="2128"/>
      <c r="F22" s="2128"/>
      <c r="G22" s="2128"/>
      <c r="H22" s="2128"/>
      <c r="I22" s="2129"/>
      <c r="J22" s="6"/>
      <c r="P22" s="1414"/>
      <c r="Q22" s="1414"/>
      <c r="R22" s="1414"/>
      <c r="S22" s="1414"/>
      <c r="T22" s="1414"/>
      <c r="U22" s="1414"/>
      <c r="V22" s="1414"/>
      <c r="W22" s="1414"/>
      <c r="X22" s="1414"/>
      <c r="Y22" s="1414"/>
      <c r="Z22" s="1414"/>
      <c r="AA22" s="1414"/>
      <c r="AB22" s="1414"/>
      <c r="AC22" s="1414"/>
      <c r="AD22" s="1414"/>
      <c r="AE22" s="1414"/>
      <c r="AF22" s="1414"/>
      <c r="AG22" s="1414"/>
      <c r="AH22" s="1414"/>
      <c r="AI22" s="1414"/>
      <c r="AJ22" s="1414"/>
      <c r="AK22" s="1414"/>
      <c r="AL22" s="1414"/>
      <c r="AM22" s="1414"/>
      <c r="AN22" s="1414"/>
      <c r="AO22" s="1414"/>
      <c r="AP22" s="1414"/>
      <c r="AQ22" s="1414"/>
      <c r="AR22" s="1414"/>
      <c r="AS22" s="1414"/>
      <c r="AT22" s="1414"/>
      <c r="AU22" s="1414"/>
      <c r="AV22" s="1414"/>
      <c r="AW22" s="1414"/>
      <c r="AX22" s="1414"/>
      <c r="AY22" s="1414"/>
      <c r="AZ22" s="1414"/>
      <c r="BA22" s="1414"/>
      <c r="BB22" s="1414"/>
      <c r="BC22" s="1414"/>
      <c r="BD22" s="1414"/>
      <c r="BE22" s="1414"/>
      <c r="BF22" s="1414"/>
      <c r="BG22" s="1414"/>
      <c r="BH22" s="1414"/>
      <c r="BI22" s="1414"/>
      <c r="BJ22" s="1414"/>
      <c r="BK22" s="1414"/>
      <c r="BL22" s="1414"/>
      <c r="BM22" s="1414"/>
      <c r="BN22" s="1414"/>
      <c r="BO22" s="1414"/>
      <c r="BP22" s="1414"/>
      <c r="BQ22" s="1414"/>
      <c r="BR22" s="1414"/>
      <c r="BS22" s="1414"/>
      <c r="BT22" s="1414"/>
      <c r="BU22" s="1414"/>
      <c r="BV22" s="1414"/>
      <c r="BW22" s="1414"/>
      <c r="BX22" s="1414"/>
      <c r="BY22" s="1414"/>
      <c r="BZ22" s="1414"/>
      <c r="CA22" s="1414"/>
      <c r="CB22" s="1414"/>
      <c r="CC22" s="1414"/>
      <c r="CD22" s="1414"/>
      <c r="CE22" s="1414"/>
      <c r="CF22" s="1414"/>
      <c r="CG22" s="1414"/>
      <c r="CH22" s="1414"/>
      <c r="CI22" s="1414"/>
      <c r="CJ22" s="1414"/>
      <c r="CK22" s="1414"/>
      <c r="CL22" s="1414"/>
      <c r="CM22" s="1414"/>
      <c r="CN22" s="1414"/>
      <c r="CO22" s="1414"/>
      <c r="CP22" s="1414"/>
      <c r="CQ22" s="1414"/>
      <c r="CR22" s="1414"/>
      <c r="CS22" s="1414"/>
      <c r="CT22" s="1414"/>
      <c r="CU22" s="1414"/>
      <c r="CV22" s="1414"/>
      <c r="CW22" s="1414"/>
      <c r="CX22" s="1414"/>
      <c r="CY22" s="1414"/>
      <c r="CZ22" s="1414"/>
      <c r="DA22" s="1414"/>
      <c r="DB22" s="1414"/>
      <c r="DC22" s="1414"/>
      <c r="DD22" s="1414"/>
      <c r="DE22" s="1414"/>
      <c r="DF22" s="1414"/>
      <c r="DG22" s="1414"/>
      <c r="DH22" s="1414"/>
      <c r="DI22" s="1414"/>
      <c r="DJ22" s="1414"/>
      <c r="DK22" s="1414"/>
      <c r="DL22" s="1414"/>
      <c r="DM22" s="1414"/>
      <c r="DN22" s="1414"/>
      <c r="DO22" s="1414"/>
      <c r="DP22" s="1414"/>
      <c r="DQ22" s="1414"/>
      <c r="DR22" s="1414"/>
      <c r="DS22" s="1414"/>
      <c r="DT22" s="1414"/>
      <c r="DU22" s="1414"/>
      <c r="DV22" s="1414"/>
      <c r="DW22" s="1414"/>
      <c r="DX22" s="1414"/>
      <c r="DY22" s="1414"/>
      <c r="DZ22" s="1414"/>
      <c r="EA22" s="1414"/>
      <c r="EB22" s="1414"/>
      <c r="EC22" s="1414"/>
      <c r="ED22" s="1414"/>
      <c r="EE22" s="1414"/>
      <c r="EF22" s="1414"/>
      <c r="EG22" s="1414"/>
      <c r="EH22" s="1414"/>
      <c r="EI22" s="1414"/>
      <c r="EJ22" s="1414"/>
      <c r="EK22" s="1414"/>
      <c r="EL22" s="1414"/>
      <c r="EM22" s="1414"/>
      <c r="EN22" s="1414"/>
      <c r="EO22" s="1414"/>
      <c r="EP22" s="1414"/>
      <c r="EQ22" s="1414"/>
      <c r="ER22" s="1414"/>
      <c r="ES22" s="1414"/>
      <c r="ET22" s="1414"/>
      <c r="EU22" s="1414"/>
      <c r="EV22" s="1414"/>
      <c r="EW22" s="1414"/>
      <c r="EX22" s="1414"/>
      <c r="EY22" s="1414"/>
      <c r="EZ22" s="1414"/>
      <c r="FA22" s="1414"/>
      <c r="FB22" s="1414"/>
      <c r="FC22" s="1414"/>
      <c r="FD22" s="1414"/>
      <c r="FE22" s="1414"/>
      <c r="FF22" s="1414"/>
      <c r="FG22" s="1414"/>
      <c r="FH22" s="1414"/>
      <c r="FI22" s="1414"/>
      <c r="FJ22" s="1414"/>
      <c r="FK22" s="1414"/>
      <c r="FL22" s="1414"/>
      <c r="FM22" s="1414"/>
      <c r="FN22" s="1414"/>
      <c r="FO22" s="1414"/>
      <c r="FP22" s="1414"/>
      <c r="FQ22" s="1414"/>
      <c r="FR22" s="1414"/>
      <c r="FS22" s="1414"/>
      <c r="FT22" s="1414"/>
      <c r="FU22" s="1414"/>
      <c r="FV22" s="1414"/>
      <c r="FW22" s="1414"/>
      <c r="FX22" s="1414"/>
      <c r="FY22" s="1414"/>
      <c r="FZ22" s="1414"/>
      <c r="GA22" s="1414"/>
      <c r="GB22" s="1414"/>
      <c r="GC22" s="1414"/>
      <c r="GD22" s="1414"/>
      <c r="GE22" s="1414"/>
      <c r="GF22" s="1414"/>
      <c r="GG22" s="1414"/>
      <c r="GH22" s="1414"/>
      <c r="GI22" s="1414"/>
      <c r="GJ22" s="1414"/>
      <c r="GK22" s="1414"/>
      <c r="GL22" s="1414"/>
      <c r="GM22" s="1414"/>
      <c r="GN22" s="1414"/>
      <c r="GO22" s="1414"/>
      <c r="GP22" s="1414"/>
      <c r="GQ22" s="1414"/>
      <c r="GR22" s="1414"/>
      <c r="GS22" s="1414"/>
      <c r="GT22" s="1414"/>
      <c r="GU22" s="1414"/>
      <c r="GV22" s="1414"/>
      <c r="GW22" s="1414"/>
      <c r="GX22" s="1414"/>
      <c r="GY22" s="1414"/>
      <c r="GZ22" s="1414"/>
      <c r="HA22" s="1414"/>
      <c r="HB22" s="1414"/>
      <c r="HC22" s="1414"/>
      <c r="HD22" s="1414"/>
      <c r="HE22" s="1414"/>
      <c r="HF22" s="1414"/>
      <c r="HG22" s="1414"/>
      <c r="HH22" s="1414"/>
      <c r="HI22" s="1414"/>
      <c r="HJ22" s="1414"/>
      <c r="HK22" s="1414"/>
      <c r="HL22" s="1414"/>
      <c r="HM22" s="1414"/>
      <c r="HN22" s="1414"/>
      <c r="HO22" s="1414"/>
      <c r="HP22" s="1414"/>
      <c r="HQ22" s="1414"/>
      <c r="HR22" s="1414"/>
      <c r="HS22" s="1414"/>
      <c r="HT22" s="1414"/>
      <c r="HU22" s="1414"/>
      <c r="HV22" s="1414"/>
      <c r="HW22" s="1414"/>
      <c r="HX22" s="1414"/>
      <c r="HY22" s="1414"/>
      <c r="HZ22" s="1414"/>
      <c r="IA22" s="1414"/>
      <c r="IB22" s="1414"/>
      <c r="IC22" s="1414"/>
      <c r="ID22" s="1414"/>
      <c r="IE22" s="1414"/>
      <c r="IF22" s="1414"/>
      <c r="IG22" s="1414"/>
      <c r="IH22" s="1414"/>
      <c r="II22" s="1414"/>
      <c r="IJ22" s="1414"/>
      <c r="IK22" s="1414"/>
      <c r="IL22" s="1414"/>
      <c r="IM22" s="1414"/>
      <c r="IN22" s="1414"/>
      <c r="IO22" s="1414"/>
      <c r="IP22" s="1414"/>
      <c r="IQ22" s="1414"/>
      <c r="IR22" s="1414"/>
      <c r="IS22" s="1414"/>
      <c r="IT22" s="1414"/>
      <c r="IU22" s="1414"/>
      <c r="IV22" s="1414"/>
      <c r="IW22" s="1414"/>
      <c r="IX22" s="1414"/>
    </row>
    <row r="23" spans="2:258" s="508" customFormat="1" ht="15" customHeight="1">
      <c r="B23" s="1412"/>
      <c r="C23" s="2130"/>
      <c r="D23" s="2131"/>
      <c r="E23" s="2131"/>
      <c r="F23" s="2131"/>
      <c r="G23" s="2131"/>
      <c r="H23" s="2131"/>
      <c r="I23" s="2132"/>
      <c r="J23" s="6"/>
      <c r="P23" s="1414"/>
      <c r="Q23" s="1414"/>
      <c r="R23" s="1414"/>
      <c r="S23" s="1414"/>
      <c r="T23" s="1414"/>
      <c r="U23" s="1414"/>
      <c r="V23" s="1414"/>
      <c r="W23" s="1414"/>
      <c r="X23" s="1414"/>
      <c r="Y23" s="1414"/>
      <c r="Z23" s="1414"/>
      <c r="AA23" s="1414"/>
      <c r="AB23" s="1414"/>
      <c r="AC23" s="1414"/>
      <c r="AD23" s="1414"/>
      <c r="AE23" s="1414"/>
      <c r="AF23" s="1414"/>
      <c r="AG23" s="1414"/>
      <c r="AH23" s="1414"/>
      <c r="AI23" s="1414"/>
      <c r="AJ23" s="1414"/>
      <c r="AK23" s="1414"/>
      <c r="AL23" s="1414"/>
      <c r="AM23" s="1414"/>
      <c r="AN23" s="1414"/>
      <c r="AO23" s="1414"/>
      <c r="AP23" s="1414"/>
      <c r="AQ23" s="1414"/>
      <c r="AR23" s="1414"/>
      <c r="AS23" s="1414"/>
      <c r="AT23" s="1414"/>
      <c r="AU23" s="1414"/>
      <c r="AV23" s="1414"/>
      <c r="AW23" s="1414"/>
      <c r="AX23" s="1414"/>
      <c r="AY23" s="1414"/>
      <c r="AZ23" s="1414"/>
      <c r="BA23" s="1414"/>
      <c r="BB23" s="1414"/>
      <c r="BC23" s="1414"/>
      <c r="BD23" s="1414"/>
      <c r="BE23" s="1414"/>
      <c r="BF23" s="1414"/>
      <c r="BG23" s="1414"/>
      <c r="BH23" s="1414"/>
      <c r="BI23" s="1414"/>
      <c r="BJ23" s="1414"/>
      <c r="BK23" s="1414"/>
      <c r="BL23" s="1414"/>
      <c r="BM23" s="1414"/>
      <c r="BN23" s="1414"/>
      <c r="BO23" s="1414"/>
      <c r="BP23" s="1414"/>
      <c r="BQ23" s="1414"/>
      <c r="BR23" s="1414"/>
      <c r="BS23" s="1414"/>
      <c r="BT23" s="1414"/>
      <c r="BU23" s="1414"/>
      <c r="BV23" s="1414"/>
      <c r="BW23" s="1414"/>
      <c r="BX23" s="1414"/>
      <c r="BY23" s="1414"/>
      <c r="BZ23" s="1414"/>
      <c r="CA23" s="1414"/>
      <c r="CB23" s="1414"/>
      <c r="CC23" s="1414"/>
      <c r="CD23" s="1414"/>
      <c r="CE23" s="1414"/>
      <c r="CF23" s="1414"/>
      <c r="CG23" s="1414"/>
      <c r="CH23" s="1414"/>
      <c r="CI23" s="1414"/>
      <c r="CJ23" s="1414"/>
      <c r="CK23" s="1414"/>
      <c r="CL23" s="1414"/>
      <c r="CM23" s="1414"/>
      <c r="CN23" s="1414"/>
      <c r="CO23" s="1414"/>
      <c r="CP23" s="1414"/>
      <c r="CQ23" s="1414"/>
      <c r="CR23" s="1414"/>
      <c r="CS23" s="1414"/>
      <c r="CT23" s="1414"/>
      <c r="CU23" s="1414"/>
      <c r="CV23" s="1414"/>
      <c r="CW23" s="1414"/>
      <c r="CX23" s="1414"/>
      <c r="CY23" s="1414"/>
      <c r="CZ23" s="1414"/>
      <c r="DA23" s="1414"/>
      <c r="DB23" s="1414"/>
      <c r="DC23" s="1414"/>
      <c r="DD23" s="1414"/>
      <c r="DE23" s="1414"/>
      <c r="DF23" s="1414"/>
      <c r="DG23" s="1414"/>
      <c r="DH23" s="1414"/>
      <c r="DI23" s="1414"/>
      <c r="DJ23" s="1414"/>
      <c r="DK23" s="1414"/>
      <c r="DL23" s="1414"/>
      <c r="DM23" s="1414"/>
      <c r="DN23" s="1414"/>
      <c r="DO23" s="1414"/>
      <c r="DP23" s="1414"/>
      <c r="DQ23" s="1414"/>
      <c r="DR23" s="1414"/>
      <c r="DS23" s="1414"/>
      <c r="DT23" s="1414"/>
      <c r="DU23" s="1414"/>
      <c r="DV23" s="1414"/>
      <c r="DW23" s="1414"/>
      <c r="DX23" s="1414"/>
      <c r="DY23" s="1414"/>
      <c r="DZ23" s="1414"/>
      <c r="EA23" s="1414"/>
      <c r="EB23" s="1414"/>
      <c r="EC23" s="1414"/>
      <c r="ED23" s="1414"/>
      <c r="EE23" s="1414"/>
      <c r="EF23" s="1414"/>
      <c r="EG23" s="1414"/>
      <c r="EH23" s="1414"/>
      <c r="EI23" s="1414"/>
      <c r="EJ23" s="1414"/>
      <c r="EK23" s="1414"/>
      <c r="EL23" s="1414"/>
      <c r="EM23" s="1414"/>
      <c r="EN23" s="1414"/>
      <c r="EO23" s="1414"/>
      <c r="EP23" s="1414"/>
      <c r="EQ23" s="1414"/>
      <c r="ER23" s="1414"/>
      <c r="ES23" s="1414"/>
      <c r="ET23" s="1414"/>
      <c r="EU23" s="1414"/>
      <c r="EV23" s="1414"/>
      <c r="EW23" s="1414"/>
      <c r="EX23" s="1414"/>
      <c r="EY23" s="1414"/>
      <c r="EZ23" s="1414"/>
      <c r="FA23" s="1414"/>
      <c r="FB23" s="1414"/>
      <c r="FC23" s="1414"/>
      <c r="FD23" s="1414"/>
      <c r="FE23" s="1414"/>
      <c r="FF23" s="1414"/>
      <c r="FG23" s="1414"/>
      <c r="FH23" s="1414"/>
      <c r="FI23" s="1414"/>
      <c r="FJ23" s="1414"/>
      <c r="FK23" s="1414"/>
      <c r="FL23" s="1414"/>
      <c r="FM23" s="1414"/>
      <c r="FN23" s="1414"/>
      <c r="FO23" s="1414"/>
      <c r="FP23" s="1414"/>
      <c r="FQ23" s="1414"/>
      <c r="FR23" s="1414"/>
      <c r="FS23" s="1414"/>
      <c r="FT23" s="1414"/>
      <c r="FU23" s="1414"/>
      <c r="FV23" s="1414"/>
      <c r="FW23" s="1414"/>
      <c r="FX23" s="1414"/>
      <c r="FY23" s="1414"/>
      <c r="FZ23" s="1414"/>
      <c r="GA23" s="1414"/>
      <c r="GB23" s="1414"/>
      <c r="GC23" s="1414"/>
      <c r="GD23" s="1414"/>
      <c r="GE23" s="1414"/>
      <c r="GF23" s="1414"/>
      <c r="GG23" s="1414"/>
      <c r="GH23" s="1414"/>
      <c r="GI23" s="1414"/>
      <c r="GJ23" s="1414"/>
      <c r="GK23" s="1414"/>
      <c r="GL23" s="1414"/>
      <c r="GM23" s="1414"/>
      <c r="GN23" s="1414"/>
      <c r="GO23" s="1414"/>
      <c r="GP23" s="1414"/>
      <c r="GQ23" s="1414"/>
      <c r="GR23" s="1414"/>
      <c r="GS23" s="1414"/>
      <c r="GT23" s="1414"/>
      <c r="GU23" s="1414"/>
      <c r="GV23" s="1414"/>
      <c r="GW23" s="1414"/>
      <c r="GX23" s="1414"/>
      <c r="GY23" s="1414"/>
      <c r="GZ23" s="1414"/>
      <c r="HA23" s="1414"/>
      <c r="HB23" s="1414"/>
      <c r="HC23" s="1414"/>
      <c r="HD23" s="1414"/>
      <c r="HE23" s="1414"/>
      <c r="HF23" s="1414"/>
      <c r="HG23" s="1414"/>
      <c r="HH23" s="1414"/>
      <c r="HI23" s="1414"/>
      <c r="HJ23" s="1414"/>
      <c r="HK23" s="1414"/>
      <c r="HL23" s="1414"/>
      <c r="HM23" s="1414"/>
      <c r="HN23" s="1414"/>
      <c r="HO23" s="1414"/>
      <c r="HP23" s="1414"/>
      <c r="HQ23" s="1414"/>
      <c r="HR23" s="1414"/>
      <c r="HS23" s="1414"/>
      <c r="HT23" s="1414"/>
      <c r="HU23" s="1414"/>
      <c r="HV23" s="1414"/>
      <c r="HW23" s="1414"/>
      <c r="HX23" s="1414"/>
      <c r="HY23" s="1414"/>
      <c r="HZ23" s="1414"/>
      <c r="IA23" s="1414"/>
      <c r="IB23" s="1414"/>
      <c r="IC23" s="1414"/>
      <c r="ID23" s="1414"/>
      <c r="IE23" s="1414"/>
      <c r="IF23" s="1414"/>
      <c r="IG23" s="1414"/>
      <c r="IH23" s="1414"/>
      <c r="II23" s="1414"/>
      <c r="IJ23" s="1414"/>
      <c r="IK23" s="1414"/>
      <c r="IL23" s="1414"/>
      <c r="IM23" s="1414"/>
      <c r="IN23" s="1414"/>
      <c r="IO23" s="1414"/>
      <c r="IP23" s="1414"/>
      <c r="IQ23" s="1414"/>
      <c r="IR23" s="1414"/>
      <c r="IS23" s="1414"/>
      <c r="IT23" s="1414"/>
      <c r="IU23" s="1414"/>
      <c r="IV23" s="1414"/>
      <c r="IW23" s="1414"/>
      <c r="IX23" s="1414"/>
    </row>
    <row r="24" spans="2:258">
      <c r="B24" s="1569"/>
      <c r="C24" s="1612"/>
      <c r="D24" s="1612"/>
      <c r="E24" s="1612"/>
      <c r="F24" s="1231"/>
      <c r="G24" s="1231"/>
      <c r="H24" s="1232"/>
      <c r="I24" s="1233"/>
      <c r="J24" s="1231"/>
    </row>
    <row r="25" spans="2:258">
      <c r="B25" s="1569"/>
      <c r="C25" s="1977" t="s">
        <v>1562</v>
      </c>
      <c r="D25" s="1976" t="s">
        <v>1693</v>
      </c>
      <c r="E25" s="1966"/>
      <c r="F25" s="1966"/>
      <c r="G25" s="1966"/>
      <c r="H25" s="1966"/>
      <c r="I25" s="1966"/>
      <c r="J25" s="1231"/>
    </row>
    <row r="26" spans="2:258" ht="15.75" thickBot="1">
      <c r="B26" s="1387"/>
      <c r="C26" s="1979"/>
      <c r="D26" s="1261" t="s">
        <v>1</v>
      </c>
      <c r="E26" s="1261" t="s">
        <v>2</v>
      </c>
      <c r="F26" s="1261" t="s">
        <v>3</v>
      </c>
      <c r="G26" s="1261" t="s">
        <v>4</v>
      </c>
      <c r="H26" s="1261" t="s">
        <v>1551</v>
      </c>
      <c r="I26" s="1262" t="s">
        <v>1570</v>
      </c>
      <c r="J26" s="1390"/>
    </row>
    <row r="27" spans="2:258">
      <c r="B27" s="1387"/>
      <c r="C27" s="2144" t="s">
        <v>1563</v>
      </c>
      <c r="D27" s="2133"/>
      <c r="E27" s="2135"/>
      <c r="F27" s="2135"/>
      <c r="G27" s="2135"/>
      <c r="H27" s="1704">
        <f>'3b. Calculateur - MEÉ 1'!G154</f>
        <v>0</v>
      </c>
      <c r="I27" s="2137">
        <f>H27</f>
        <v>0</v>
      </c>
      <c r="J27" s="1390"/>
    </row>
    <row r="28" spans="2:258" ht="13.5" customHeight="1">
      <c r="B28" s="1387"/>
      <c r="C28" s="2145"/>
      <c r="D28" s="2134"/>
      <c r="E28" s="2136"/>
      <c r="F28" s="2136"/>
      <c r="G28" s="2136"/>
      <c r="H28" s="1703" t="str">
        <f>IF('3b. Calculateur - MEÉ 1'!P154&gt;0,"Note 4","")</f>
        <v/>
      </c>
      <c r="I28" s="2138"/>
      <c r="J28" s="1390"/>
    </row>
    <row r="29" spans="2:258">
      <c r="B29" s="1387"/>
      <c r="C29" s="2144" t="s">
        <v>1564</v>
      </c>
      <c r="D29" s="1696">
        <f>'3c. Calculateur MEÉ 2-3-4'!G147</f>
        <v>0</v>
      </c>
      <c r="E29" s="1697">
        <f>'3c. Calculateur MEÉ 2-3-4'!I147</f>
        <v>0</v>
      </c>
      <c r="F29" s="1697">
        <f>'3c. Calculateur MEÉ 2-3-4'!K147</f>
        <v>0</v>
      </c>
      <c r="G29" s="1698">
        <f>'3c. Calculateur MEÉ 2-3-4'!M147</f>
        <v>0</v>
      </c>
      <c r="H29" s="2142"/>
      <c r="I29" s="2137">
        <f>SUM(D29:G29)</f>
        <v>0</v>
      </c>
      <c r="J29" s="1390"/>
    </row>
    <row r="30" spans="2:258" ht="13.5" customHeight="1">
      <c r="B30" s="1387"/>
      <c r="C30" s="2145"/>
      <c r="D30" s="1699" t="str">
        <f>'3c. Calculateur MEÉ 2-3-4'!G148</f>
        <v/>
      </c>
      <c r="E30" s="1700" t="str">
        <f>'3c. Calculateur MEÉ 2-3-4'!I148</f>
        <v/>
      </c>
      <c r="F30" s="1700" t="str">
        <f>'3c. Calculateur MEÉ 2-3-4'!K148</f>
        <v/>
      </c>
      <c r="G30" s="1700" t="str">
        <f>'3c. Calculateur MEÉ 2-3-4'!M148</f>
        <v/>
      </c>
      <c r="H30" s="2143"/>
      <c r="I30" s="2138"/>
      <c r="J30" s="1390"/>
    </row>
    <row r="31" spans="2:258">
      <c r="B31" s="1387"/>
      <c r="C31" s="2144" t="s">
        <v>1565</v>
      </c>
      <c r="D31" s="1696">
        <f>'3c. Calculateur MEÉ 2-3-4'!G149</f>
        <v>0</v>
      </c>
      <c r="E31" s="1697">
        <f>'3c. Calculateur MEÉ 2-3-4'!I149</f>
        <v>0</v>
      </c>
      <c r="F31" s="1697">
        <f>'3c. Calculateur MEÉ 2-3-4'!K149</f>
        <v>0</v>
      </c>
      <c r="G31" s="1698">
        <f>'3c. Calculateur MEÉ 2-3-4'!M149</f>
        <v>0</v>
      </c>
      <c r="H31" s="2142"/>
      <c r="I31" s="2137">
        <f>SUM(D31:G31)</f>
        <v>0</v>
      </c>
      <c r="J31" s="1390"/>
    </row>
    <row r="32" spans="2:258" ht="12" customHeight="1">
      <c r="B32" s="1387"/>
      <c r="C32" s="2145"/>
      <c r="D32" s="1699" t="str">
        <f>'3c. Calculateur MEÉ 2-3-4'!G150</f>
        <v/>
      </c>
      <c r="E32" s="1700" t="str">
        <f>'3c. Calculateur MEÉ 2-3-4'!I150</f>
        <v/>
      </c>
      <c r="F32" s="1700" t="str">
        <f>'3c. Calculateur MEÉ 2-3-4'!K150</f>
        <v/>
      </c>
      <c r="G32" s="1700" t="str">
        <f>'3c. Calculateur MEÉ 2-3-4'!M150</f>
        <v/>
      </c>
      <c r="H32" s="2143"/>
      <c r="I32" s="2138"/>
      <c r="J32" s="1390"/>
    </row>
    <row r="33" spans="2:10">
      <c r="B33" s="1569"/>
      <c r="C33" s="2146" t="s">
        <v>1567</v>
      </c>
      <c r="D33" s="1696">
        <f>'3c. Calculateur MEÉ 2-3-4'!G143</f>
        <v>0</v>
      </c>
      <c r="E33" s="1697">
        <f>'3c. Calculateur MEÉ 2-3-4'!I143</f>
        <v>0</v>
      </c>
      <c r="F33" s="1697">
        <f>'3c. Calculateur MEÉ 2-3-4'!K143</f>
        <v>0</v>
      </c>
      <c r="G33" s="1698">
        <f>'3c. Calculateur MEÉ 2-3-4'!M143</f>
        <v>0</v>
      </c>
      <c r="H33" s="2142"/>
      <c r="I33" s="2137">
        <f>SUM(D33:G33)</f>
        <v>0</v>
      </c>
      <c r="J33" s="1390"/>
    </row>
    <row r="34" spans="2:10" ht="12" customHeight="1">
      <c r="B34" s="1569"/>
      <c r="C34" s="2147"/>
      <c r="D34" s="1699" t="str">
        <f>'3c. Calculateur MEÉ 2-3-4'!G144</f>
        <v/>
      </c>
      <c r="E34" s="1700" t="str">
        <f>'3c. Calculateur MEÉ 2-3-4'!I144</f>
        <v/>
      </c>
      <c r="F34" s="1700" t="str">
        <f>'3c. Calculateur MEÉ 2-3-4'!K144</f>
        <v/>
      </c>
      <c r="G34" s="1700" t="str">
        <f>'3c. Calculateur MEÉ 2-3-4'!M144</f>
        <v/>
      </c>
      <c r="H34" s="2143"/>
      <c r="I34" s="2138"/>
      <c r="J34" s="1390"/>
    </row>
    <row r="35" spans="2:10">
      <c r="B35" s="1569"/>
      <c r="C35" s="2146" t="s">
        <v>1635</v>
      </c>
      <c r="D35" s="1696">
        <f>'3c. Calculateur MEÉ 2-3-4'!G145</f>
        <v>0</v>
      </c>
      <c r="E35" s="1697">
        <f>'3c. Calculateur MEÉ 2-3-4'!I145</f>
        <v>0</v>
      </c>
      <c r="F35" s="1697">
        <f>'3c. Calculateur MEÉ 2-3-4'!K145</f>
        <v>0</v>
      </c>
      <c r="G35" s="1698">
        <f>'3c. Calculateur MEÉ 2-3-4'!M145</f>
        <v>0</v>
      </c>
      <c r="H35" s="2142"/>
      <c r="I35" s="2137">
        <f>SUM(D35:G35)</f>
        <v>0</v>
      </c>
      <c r="J35" s="1390"/>
    </row>
    <row r="36" spans="2:10" ht="12" customHeight="1" thickBot="1">
      <c r="B36" s="1569"/>
      <c r="C36" s="2147"/>
      <c r="D36" s="1701" t="str">
        <f>'3c. Calculateur MEÉ 2-3-4'!G146</f>
        <v/>
      </c>
      <c r="E36" s="1702" t="str">
        <f>'3c. Calculateur MEÉ 2-3-4'!I146</f>
        <v/>
      </c>
      <c r="F36" s="1702" t="str">
        <f>'3c. Calculateur MEÉ 2-3-4'!K146</f>
        <v/>
      </c>
      <c r="G36" s="1702" t="str">
        <f>'3c. Calculateur MEÉ 2-3-4'!M146</f>
        <v/>
      </c>
      <c r="H36" s="2148"/>
      <c r="I36" s="2138"/>
      <c r="J36" s="1390"/>
    </row>
    <row r="37" spans="2:10" ht="15.75" customHeight="1">
      <c r="B37" s="6"/>
      <c r="C37" s="1613" t="s">
        <v>22</v>
      </c>
      <c r="D37" s="1614">
        <f>D29+D31+D33+D35</f>
        <v>0</v>
      </c>
      <c r="E37" s="1614">
        <f t="shared" ref="E37:G37" si="0">E29+E31+E33+E35</f>
        <v>0</v>
      </c>
      <c r="F37" s="1234">
        <f t="shared" si="0"/>
        <v>0</v>
      </c>
      <c r="G37" s="1614">
        <f t="shared" si="0"/>
        <v>0</v>
      </c>
      <c r="H37" s="1234">
        <f>H27</f>
        <v>0</v>
      </c>
      <c r="I37" s="1235">
        <f>SUM(I27:I36)</f>
        <v>0</v>
      </c>
      <c r="J37" s="6"/>
    </row>
    <row r="38" spans="2:10" ht="6.75" customHeight="1">
      <c r="B38" s="6"/>
      <c r="C38" s="1585" t="s">
        <v>1445</v>
      </c>
      <c r="D38" s="1483"/>
      <c r="E38" s="1579"/>
      <c r="F38" s="1580"/>
      <c r="G38" s="1581"/>
      <c r="H38" s="1581"/>
      <c r="I38" s="1583"/>
      <c r="J38" s="1428"/>
    </row>
    <row r="39" spans="2:10">
      <c r="B39" s="6"/>
      <c r="C39" s="1615" t="str">
        <f>'3c. Calculateur MEÉ 2-3-4'!D157</f>
        <v>¹ Mesure non applicable car le nombre d'heures d'opération annuelles est moins de 2000 h/an. Les cas ne répondant pas à ce critère peuvent être soumis à Énergir pour discussion.</v>
      </c>
      <c r="D39" s="1483"/>
      <c r="E39" s="1483"/>
      <c r="F39" s="1580"/>
      <c r="G39" s="1581"/>
      <c r="H39" s="1581"/>
      <c r="I39" s="1583"/>
      <c r="J39" s="1428"/>
    </row>
    <row r="40" spans="2:10">
      <c r="B40" s="6"/>
      <c r="C40" s="1615" t="str">
        <f>'3c. Calculateur MEÉ 2-3-4'!D158</f>
        <v>²  Notez que le nombre d’heure d’utilisation annuel de la chaudière peut avoir un impact sur la rentabilité du projet. Si vous souaitez davantage d'information sur la rentabilité, veuillez contacter Énergir.</v>
      </c>
      <c r="D40" s="1483"/>
      <c r="E40" s="1483"/>
      <c r="F40" s="1580"/>
      <c r="G40" s="1581"/>
      <c r="H40" s="1581"/>
      <c r="I40" s="1583"/>
      <c r="J40" s="1428"/>
    </row>
    <row r="41" spans="2:10">
      <c r="B41" s="6"/>
      <c r="C41" s="1615" t="str">
        <f>'3c. Calculateur MEÉ 2-3-4'!D159</f>
        <v>³ Mesure non applicable, car la chaudière est trop récente. L'âge de la chaudière doit être supérieur ou égal à 3 ans pour être admissible.</v>
      </c>
      <c r="D41" s="1483"/>
      <c r="E41" s="1579"/>
      <c r="F41" s="1580"/>
      <c r="G41" s="1581"/>
      <c r="H41" s="1581"/>
      <c r="I41" s="1583"/>
      <c r="J41" s="1428"/>
    </row>
    <row r="42" spans="2:10">
      <c r="B42" s="6"/>
      <c r="C42" s="1615" t="s">
        <v>1971</v>
      </c>
      <c r="D42" s="1483"/>
      <c r="E42" s="1483"/>
      <c r="F42" s="1580"/>
      <c r="G42" s="1581"/>
      <c r="H42" s="1581"/>
      <c r="I42" s="1583"/>
      <c r="J42" s="1428"/>
    </row>
    <row r="43" spans="2:10" ht="6.75" customHeight="1">
      <c r="B43" s="6"/>
      <c r="C43" s="1585"/>
      <c r="D43" s="1483"/>
      <c r="E43" s="1579"/>
      <c r="F43" s="1580"/>
      <c r="G43" s="1581"/>
      <c r="H43" s="1581"/>
      <c r="I43" s="1583"/>
      <c r="J43" s="1428"/>
    </row>
    <row r="44" spans="2:10" ht="6.75" customHeight="1">
      <c r="B44" s="1569"/>
      <c r="C44" s="1612"/>
      <c r="D44" s="1612"/>
      <c r="E44" s="1612"/>
      <c r="F44" s="1231"/>
      <c r="G44" s="1231"/>
      <c r="H44" s="1236"/>
      <c r="I44" s="1237"/>
      <c r="J44" s="1231"/>
    </row>
    <row r="45" spans="2:10">
      <c r="B45" s="1616"/>
      <c r="C45" s="1617"/>
      <c r="D45" s="1617"/>
      <c r="E45" s="1617"/>
      <c r="F45" s="1238"/>
      <c r="G45" s="1238"/>
      <c r="H45" s="1239"/>
      <c r="I45" s="1240"/>
      <c r="J45" s="1238"/>
    </row>
    <row r="46" spans="2:10">
      <c r="B46" s="1267"/>
      <c r="C46" s="1885" t="s">
        <v>1720</v>
      </c>
      <c r="D46" s="1885"/>
      <c r="E46" s="1885"/>
      <c r="F46" s="1885"/>
      <c r="G46" s="1885"/>
      <c r="H46" s="1885"/>
      <c r="I46" s="1885"/>
      <c r="J46" s="1267"/>
    </row>
    <row r="47" spans="2:10" ht="6.75" customHeight="1">
      <c r="B47" s="1618"/>
      <c r="C47" s="1388"/>
      <c r="D47" s="1389"/>
      <c r="E47" s="1389"/>
      <c r="F47" s="1389"/>
      <c r="G47" s="1389"/>
      <c r="H47" s="1389"/>
      <c r="I47" s="1389"/>
      <c r="J47" s="1390"/>
    </row>
    <row r="48" spans="2:10">
      <c r="B48" s="1619" t="s">
        <v>1652</v>
      </c>
      <c r="C48" s="1274" t="s">
        <v>1695</v>
      </c>
      <c r="D48" s="1274"/>
      <c r="E48" s="1274"/>
      <c r="F48" s="1274"/>
      <c r="G48" s="1274"/>
      <c r="H48" s="1274"/>
      <c r="I48" s="1274"/>
      <c r="J48" s="1274"/>
    </row>
    <row r="49" spans="2:10" ht="6.75" customHeight="1">
      <c r="B49" s="1618"/>
      <c r="C49" s="1269"/>
      <c r="D49" s="1269"/>
      <c r="E49" s="1269"/>
      <c r="F49" s="1269"/>
      <c r="G49" s="1269"/>
      <c r="H49" s="1269"/>
      <c r="I49" s="1269"/>
      <c r="J49" s="1269"/>
    </row>
    <row r="50" spans="2:10" ht="15.75" thickBot="1">
      <c r="B50" s="1618"/>
      <c r="C50" s="1620" t="s">
        <v>1696</v>
      </c>
      <c r="D50" s="1620" t="s">
        <v>1697</v>
      </c>
      <c r="E50" s="1620" t="s">
        <v>1698</v>
      </c>
      <c r="F50" s="1269"/>
      <c r="G50" s="1269"/>
      <c r="H50" s="1269"/>
      <c r="I50" s="1269"/>
      <c r="J50" s="1269"/>
    </row>
    <row r="51" spans="2:10">
      <c r="B51" s="1618"/>
      <c r="C51" s="1079"/>
      <c r="D51" s="1080"/>
      <c r="E51" s="1081"/>
      <c r="F51" s="1269"/>
      <c r="G51" s="1269"/>
      <c r="H51" s="1269"/>
      <c r="I51" s="1269"/>
      <c r="J51" s="1269"/>
    </row>
    <row r="52" spans="2:10">
      <c r="B52" s="1618"/>
      <c r="C52" s="1082"/>
      <c r="D52" s="1083"/>
      <c r="E52" s="1084"/>
      <c r="F52" s="1269"/>
      <c r="G52" s="1269"/>
      <c r="H52" s="1269"/>
      <c r="I52" s="1269"/>
      <c r="J52" s="1269"/>
    </row>
    <row r="53" spans="2:10" ht="15.75" thickBot="1">
      <c r="B53" s="1618"/>
      <c r="C53" s="1085"/>
      <c r="D53" s="1086"/>
      <c r="E53" s="1087"/>
      <c r="F53" s="1269"/>
      <c r="G53" s="1269"/>
      <c r="H53" s="1269"/>
      <c r="I53" s="1269"/>
      <c r="J53" s="1269"/>
    </row>
    <row r="54" spans="2:10" ht="6.75" customHeight="1">
      <c r="B54" s="1618"/>
      <c r="C54" s="1621"/>
      <c r="D54" s="1621"/>
      <c r="E54" s="1621"/>
      <c r="F54" s="1621"/>
      <c r="G54" s="1622"/>
      <c r="H54" s="1622"/>
      <c r="I54" s="1621"/>
      <c r="J54" s="1621"/>
    </row>
    <row r="55" spans="2:10">
      <c r="B55" s="1618"/>
      <c r="C55" s="1274" t="s">
        <v>1699</v>
      </c>
      <c r="D55" s="1274"/>
      <c r="E55" s="1274"/>
      <c r="F55" s="1274"/>
      <c r="G55" s="1274"/>
      <c r="H55" s="1274"/>
      <c r="I55" s="1274"/>
      <c r="J55" s="1274"/>
    </row>
    <row r="56" spans="2:10" ht="6.75" customHeight="1">
      <c r="B56" s="1618"/>
      <c r="C56" s="1388"/>
      <c r="D56" s="1389"/>
      <c r="E56" s="1389"/>
      <c r="F56" s="1389"/>
      <c r="G56" s="1389"/>
      <c r="H56" s="1389"/>
      <c r="I56" s="1389"/>
      <c r="J56" s="1390"/>
    </row>
    <row r="57" spans="2:10">
      <c r="B57" s="1616"/>
      <c r="C57" s="1617"/>
      <c r="D57" s="1617"/>
      <c r="E57" s="1617"/>
      <c r="F57" s="1238"/>
      <c r="G57" s="1238"/>
      <c r="H57" s="1239"/>
      <c r="I57" s="1240"/>
      <c r="J57" s="1238"/>
    </row>
    <row r="58" spans="2:10">
      <c r="B58" s="1267"/>
      <c r="C58" s="1885" t="s">
        <v>1724</v>
      </c>
      <c r="D58" s="1885"/>
      <c r="E58" s="1885"/>
      <c r="F58" s="1885"/>
      <c r="G58" s="1885"/>
      <c r="H58" s="1885"/>
      <c r="I58" s="1885"/>
      <c r="J58" s="1267"/>
    </row>
    <row r="59" spans="2:10" ht="6.75" customHeight="1" thickBot="1">
      <c r="B59" s="1618"/>
      <c r="C59" s="1388"/>
      <c r="D59" s="1389"/>
      <c r="E59" s="1389"/>
      <c r="F59" s="1389"/>
      <c r="G59" s="1389"/>
      <c r="H59" s="1389"/>
      <c r="I59" s="1389"/>
      <c r="J59" s="1390"/>
    </row>
    <row r="60" spans="2:10" ht="15.75" thickBot="1">
      <c r="B60" s="1619" t="s">
        <v>1652</v>
      </c>
      <c r="C60" s="1470" t="s">
        <v>1832</v>
      </c>
      <c r="D60" s="1389"/>
      <c r="E60" s="1389"/>
      <c r="F60" s="1389"/>
      <c r="G60" s="1389"/>
      <c r="H60" s="6"/>
      <c r="I60" s="1088"/>
      <c r="J60" s="1390"/>
    </row>
    <row r="61" spans="2:10" ht="6.75" customHeight="1">
      <c r="B61" s="1618"/>
      <c r="C61" s="1388"/>
      <c r="D61" s="1389"/>
      <c r="E61" s="1389"/>
      <c r="F61" s="1389"/>
      <c r="G61" s="1389"/>
      <c r="H61" s="1389"/>
      <c r="I61" s="1389"/>
      <c r="J61" s="1390"/>
    </row>
    <row r="62" spans="2:10" ht="26.25" customHeight="1">
      <c r="B62" s="1623"/>
      <c r="C62" s="2149" t="s">
        <v>1817</v>
      </c>
      <c r="D62" s="2149"/>
      <c r="E62" s="2149"/>
      <c r="F62" s="2149"/>
      <c r="G62" s="2149"/>
      <c r="H62" s="2149"/>
      <c r="I62" s="1241"/>
      <c r="J62" s="1242"/>
    </row>
    <row r="63" spans="2:10" ht="6.75" customHeight="1" thickBot="1">
      <c r="B63" s="1623"/>
      <c r="C63" s="1624"/>
      <c r="D63" s="1625"/>
      <c r="E63" s="1625"/>
      <c r="F63" s="1242"/>
      <c r="G63" s="1242"/>
      <c r="H63" s="1243"/>
      <c r="I63" s="1241"/>
      <c r="J63" s="1242"/>
    </row>
    <row r="64" spans="2:10" ht="22.5" customHeight="1">
      <c r="B64" s="1623"/>
      <c r="C64" s="1626" t="s">
        <v>24</v>
      </c>
      <c r="D64" s="1627" t="s">
        <v>1563</v>
      </c>
      <c r="E64" s="1627" t="s">
        <v>1564</v>
      </c>
      <c r="F64" s="1627" t="s">
        <v>1613</v>
      </c>
      <c r="G64" s="1627" t="s">
        <v>1571</v>
      </c>
      <c r="H64" s="1628" t="s">
        <v>1570</v>
      </c>
      <c r="I64" s="1241"/>
      <c r="J64" s="1290"/>
    </row>
    <row r="65" spans="2:10">
      <c r="B65" s="1623"/>
      <c r="C65" s="1629" t="s">
        <v>1700</v>
      </c>
      <c r="D65" s="1705">
        <f>I27</f>
        <v>0</v>
      </c>
      <c r="E65" s="1705">
        <f>I29</f>
        <v>0</v>
      </c>
      <c r="F65" s="1705">
        <f>I31</f>
        <v>0</v>
      </c>
      <c r="G65" s="1705">
        <f>I33+I35</f>
        <v>0</v>
      </c>
      <c r="H65" s="1705">
        <f>SUM(D65:G65)</f>
        <v>0</v>
      </c>
      <c r="I65" s="1241"/>
      <c r="J65" s="1290"/>
    </row>
    <row r="66" spans="2:10">
      <c r="B66" s="1623"/>
      <c r="C66" s="1629" t="s">
        <v>1923</v>
      </c>
      <c r="D66" s="1706">
        <f>IF((I60+D65)&gt;Subvention!L20,Subvention!L20-'4. Demande de versement'!I60,'4. Demande de versement'!D65)</f>
        <v>0</v>
      </c>
      <c r="E66" s="1631"/>
      <c r="F66" s="1631"/>
      <c r="G66" s="1706">
        <f>G72+G78+G84+G90</f>
        <v>0</v>
      </c>
      <c r="H66" s="1707"/>
      <c r="I66" s="1241"/>
      <c r="J66" s="1290"/>
    </row>
    <row r="67" spans="2:10" hidden="1" outlineLevel="1">
      <c r="B67" s="1623"/>
      <c r="C67" s="1633" t="s">
        <v>279</v>
      </c>
      <c r="D67" s="1707"/>
      <c r="E67" s="1632"/>
      <c r="F67" s="1632"/>
      <c r="G67" s="1632"/>
      <c r="H67" s="1632"/>
      <c r="I67" s="1244" t="s">
        <v>1554</v>
      </c>
      <c r="J67" s="1290"/>
    </row>
    <row r="68" spans="2:10" hidden="1" outlineLevel="1">
      <c r="B68" s="1623"/>
      <c r="C68" s="1633" t="s">
        <v>1734</v>
      </c>
      <c r="D68" s="1707"/>
      <c r="E68" s="1632"/>
      <c r="F68" s="1632"/>
      <c r="G68" s="1630" cm="1">
        <f t="array" ref="G68">_xlfn.IFS(G69="s",D33,G69="c",D35,G69="Pas d'économiseur",0)</f>
        <v>0</v>
      </c>
      <c r="H68" s="1632"/>
      <c r="I68" s="1244" t="s">
        <v>1554</v>
      </c>
      <c r="J68" s="1290"/>
    </row>
    <row r="69" spans="2:10" hidden="1" outlineLevel="1">
      <c r="B69" s="1623"/>
      <c r="C69" s="1633" t="s">
        <v>1736</v>
      </c>
      <c r="D69" s="1707"/>
      <c r="E69" s="1632"/>
      <c r="F69" s="1632"/>
      <c r="G69" s="1630" t="str">
        <f>IF('3c. Calculateur MEÉ 2-3-4'!G136=0,"Pas d'économiseur",'3c. Calculateur MEÉ 2-3-4'!G136)</f>
        <v>Pas d'économiseur</v>
      </c>
      <c r="H69" s="1632"/>
      <c r="I69" s="1244" t="s">
        <v>1554</v>
      </c>
      <c r="J69" s="1290"/>
    </row>
    <row r="70" spans="2:10" hidden="1" outlineLevel="1">
      <c r="B70" s="1623"/>
      <c r="C70" s="1633" t="s">
        <v>1737</v>
      </c>
      <c r="D70" s="1707"/>
      <c r="E70" s="1632"/>
      <c r="F70" s="1632"/>
      <c r="G70" s="1630" t="str">
        <f>IF(G69="Pas d'économiseur","",'3c. Calculateur MEÉ 2-3-4'!G134)</f>
        <v/>
      </c>
      <c r="H70" s="1632"/>
      <c r="I70" s="1244" t="s">
        <v>1554</v>
      </c>
      <c r="J70" s="1290"/>
    </row>
    <row r="71" spans="2:10" hidden="1" outlineLevel="1">
      <c r="B71" s="1623"/>
      <c r="C71" s="1633" t="s">
        <v>1733</v>
      </c>
      <c r="D71" s="1707"/>
      <c r="E71" s="1632"/>
      <c r="F71" s="1632"/>
      <c r="G71" s="1630" cm="1">
        <f t="array" ref="G71">_xlfn.IFS(G70="i",Subvention!M12,'4. Demande de versement'!G70="n-i",Subvention!L12,'4. Demande de versement'!G70="",0)</f>
        <v>0</v>
      </c>
      <c r="H71" s="1632"/>
      <c r="I71" s="1244" t="s">
        <v>1554</v>
      </c>
      <c r="J71" s="1290"/>
    </row>
    <row r="72" spans="2:10" hidden="1" outlineLevel="1">
      <c r="B72" s="1623"/>
      <c r="C72" s="1633" t="s">
        <v>1735</v>
      </c>
      <c r="D72" s="1707"/>
      <c r="E72" s="1632"/>
      <c r="F72" s="1632"/>
      <c r="G72" s="1630">
        <f>IF(G68&gt;G71,G71,G68)</f>
        <v>0</v>
      </c>
      <c r="H72" s="1632"/>
      <c r="I72" s="1244" t="s">
        <v>1554</v>
      </c>
      <c r="J72" s="1290"/>
    </row>
    <row r="73" spans="2:10" hidden="1" outlineLevel="1">
      <c r="B73" s="1623"/>
      <c r="C73" s="1633" t="s">
        <v>280</v>
      </c>
      <c r="D73" s="1707"/>
      <c r="E73" s="1632"/>
      <c r="F73" s="1632"/>
      <c r="G73" s="1632"/>
      <c r="H73" s="1632"/>
      <c r="I73" s="1244" t="s">
        <v>1554</v>
      </c>
      <c r="J73" s="1290"/>
    </row>
    <row r="74" spans="2:10" hidden="1" outlineLevel="1">
      <c r="B74" s="1623"/>
      <c r="C74" s="1633" t="s">
        <v>1734</v>
      </c>
      <c r="D74" s="1707"/>
      <c r="E74" s="1632"/>
      <c r="F74" s="1632"/>
      <c r="G74" s="1630" cm="1">
        <f t="array" ref="G74">_xlfn.IFS(G75="s",E33,G75="c",E35,G75="Pas d'économiseur",0)</f>
        <v>0</v>
      </c>
      <c r="H74" s="1632"/>
      <c r="I74" s="1244" t="s">
        <v>1554</v>
      </c>
      <c r="J74" s="1290"/>
    </row>
    <row r="75" spans="2:10" hidden="1" outlineLevel="1">
      <c r="B75" s="1623"/>
      <c r="C75" s="1633" t="s">
        <v>1736</v>
      </c>
      <c r="D75" s="1707"/>
      <c r="E75" s="1632"/>
      <c r="F75" s="1632"/>
      <c r="G75" s="1630" t="str">
        <f>IF('3c. Calculateur MEÉ 2-3-4'!I136=0,"Pas d'économiseur",'3c. Calculateur MEÉ 2-3-4'!I136)</f>
        <v>Pas d'économiseur</v>
      </c>
      <c r="H75" s="1632"/>
      <c r="I75" s="1244" t="s">
        <v>1554</v>
      </c>
      <c r="J75" s="1290"/>
    </row>
    <row r="76" spans="2:10" hidden="1" outlineLevel="1">
      <c r="B76" s="1623"/>
      <c r="C76" s="1633" t="s">
        <v>1737</v>
      </c>
      <c r="D76" s="1707"/>
      <c r="E76" s="1632"/>
      <c r="F76" s="1632"/>
      <c r="G76" s="1630" t="str">
        <f>IF(G75="Pas d'économiseur","",'3c. Calculateur MEÉ 2-3-4'!I134)</f>
        <v/>
      </c>
      <c r="H76" s="1632"/>
      <c r="I76" s="1244" t="s">
        <v>1554</v>
      </c>
      <c r="J76" s="1290"/>
    </row>
    <row r="77" spans="2:10" hidden="1" outlineLevel="1">
      <c r="B77" s="1623"/>
      <c r="C77" s="1633" t="s">
        <v>1733</v>
      </c>
      <c r="D77" s="1707"/>
      <c r="E77" s="1632"/>
      <c r="F77" s="1632"/>
      <c r="G77" s="1630" cm="1">
        <f t="array" ref="G77">_xlfn.IFS(G76="i",Subvention!M12,G76="n-i",Subvention!L12,G76="",0)</f>
        <v>0</v>
      </c>
      <c r="H77" s="1632"/>
      <c r="I77" s="1244" t="s">
        <v>1554</v>
      </c>
      <c r="J77" s="1290"/>
    </row>
    <row r="78" spans="2:10" hidden="1" outlineLevel="1">
      <c r="B78" s="1623"/>
      <c r="C78" s="1633" t="s">
        <v>1735</v>
      </c>
      <c r="D78" s="1707"/>
      <c r="E78" s="1632"/>
      <c r="F78" s="1632"/>
      <c r="G78" s="1630">
        <f>IF(G74&gt;G77,G77,G74)</f>
        <v>0</v>
      </c>
      <c r="H78" s="1632"/>
      <c r="I78" s="1244" t="s">
        <v>1554</v>
      </c>
      <c r="J78" s="1290"/>
    </row>
    <row r="79" spans="2:10" hidden="1" outlineLevel="1">
      <c r="B79" s="1623"/>
      <c r="C79" s="1633" t="s">
        <v>281</v>
      </c>
      <c r="D79" s="1707"/>
      <c r="E79" s="1632"/>
      <c r="F79" s="1632"/>
      <c r="G79" s="1632"/>
      <c r="H79" s="1632"/>
      <c r="I79" s="1244" t="s">
        <v>1554</v>
      </c>
      <c r="J79" s="1290"/>
    </row>
    <row r="80" spans="2:10" hidden="1" outlineLevel="1">
      <c r="B80" s="1623"/>
      <c r="C80" s="1633" t="s">
        <v>1734</v>
      </c>
      <c r="D80" s="1707"/>
      <c r="E80" s="1632"/>
      <c r="F80" s="1632"/>
      <c r="G80" s="1630" cm="1">
        <f t="array" ref="G80">_xlfn.IFS(G81="s",F33,G81="c",F35,G81="Pas d'économiseur",0)</f>
        <v>0</v>
      </c>
      <c r="H80" s="1632"/>
      <c r="I80" s="1244" t="s">
        <v>1554</v>
      </c>
      <c r="J80" s="1290"/>
    </row>
    <row r="81" spans="2:10" hidden="1" outlineLevel="1">
      <c r="B81" s="1623"/>
      <c r="C81" s="1633" t="s">
        <v>1736</v>
      </c>
      <c r="D81" s="1707"/>
      <c r="E81" s="1632"/>
      <c r="F81" s="1632"/>
      <c r="G81" s="1630" t="str">
        <f>IF('3c. Calculateur MEÉ 2-3-4'!K136=0,"Pas d'économiseur",'3c. Calculateur MEÉ 2-3-4'!K136)</f>
        <v>Pas d'économiseur</v>
      </c>
      <c r="H81" s="1632"/>
      <c r="I81" s="1244" t="s">
        <v>1554</v>
      </c>
      <c r="J81" s="1290"/>
    </row>
    <row r="82" spans="2:10" hidden="1" outlineLevel="1">
      <c r="B82" s="1623"/>
      <c r="C82" s="1633" t="s">
        <v>1737</v>
      </c>
      <c r="D82" s="1707"/>
      <c r="E82" s="1632"/>
      <c r="F82" s="1632"/>
      <c r="G82" s="1630" t="str">
        <f>IF(G81="Pas d'économiseur","",'3c. Calculateur MEÉ 2-3-4'!K134)</f>
        <v/>
      </c>
      <c r="H82" s="1632"/>
      <c r="I82" s="1244" t="s">
        <v>1554</v>
      </c>
      <c r="J82" s="1290"/>
    </row>
    <row r="83" spans="2:10" hidden="1" outlineLevel="1">
      <c r="B83" s="1623"/>
      <c r="C83" s="1633" t="s">
        <v>1733</v>
      </c>
      <c r="D83" s="1707"/>
      <c r="E83" s="1632"/>
      <c r="F83" s="1632"/>
      <c r="G83" s="1630" cm="1">
        <f t="array" ref="G83">_xlfn.IFS(G82="i",Subvention!M12,G82="n-i",Subvention!L12,G82="",0)</f>
        <v>0</v>
      </c>
      <c r="H83" s="1632"/>
      <c r="I83" s="1244" t="s">
        <v>1554</v>
      </c>
      <c r="J83" s="1290"/>
    </row>
    <row r="84" spans="2:10" hidden="1" outlineLevel="1">
      <c r="B84" s="1623"/>
      <c r="C84" s="1633" t="s">
        <v>1735</v>
      </c>
      <c r="D84" s="1707"/>
      <c r="E84" s="1632"/>
      <c r="F84" s="1632"/>
      <c r="G84" s="1630">
        <f>IF(G80&gt;G83,G83,G80)</f>
        <v>0</v>
      </c>
      <c r="H84" s="1632"/>
      <c r="I84" s="1244" t="s">
        <v>1554</v>
      </c>
      <c r="J84" s="1290"/>
    </row>
    <row r="85" spans="2:10" hidden="1" outlineLevel="1">
      <c r="B85" s="1623"/>
      <c r="C85" s="1633" t="s">
        <v>282</v>
      </c>
      <c r="D85" s="1707"/>
      <c r="E85" s="1632"/>
      <c r="F85" s="1632"/>
      <c r="G85" s="1632"/>
      <c r="H85" s="1632"/>
      <c r="I85" s="1244" t="s">
        <v>1554</v>
      </c>
      <c r="J85" s="1290"/>
    </row>
    <row r="86" spans="2:10" hidden="1" outlineLevel="1">
      <c r="B86" s="1623"/>
      <c r="C86" s="1633" t="s">
        <v>1734</v>
      </c>
      <c r="D86" s="1708"/>
      <c r="E86" s="1632"/>
      <c r="F86" s="1632"/>
      <c r="G86" s="1630" cm="1">
        <f t="array" ref="G86">_xlfn.IFS(G87="s",G33,G87="c",G35,G87="Pas d'économiseur",0)</f>
        <v>0</v>
      </c>
      <c r="H86" s="1632"/>
      <c r="I86" s="1244" t="s">
        <v>1554</v>
      </c>
      <c r="J86" s="1290"/>
    </row>
    <row r="87" spans="2:10" hidden="1" outlineLevel="1">
      <c r="B87" s="1623"/>
      <c r="C87" s="1633" t="s">
        <v>1736</v>
      </c>
      <c r="D87" s="1708"/>
      <c r="E87" s="1632"/>
      <c r="F87" s="1632"/>
      <c r="G87" s="1634" t="str">
        <f>IF('3c. Calculateur MEÉ 2-3-4'!M136=0,"Pas d'économiseur",'3c. Calculateur MEÉ 2-3-4'!M136)</f>
        <v>Pas d'économiseur</v>
      </c>
      <c r="H87" s="1632"/>
      <c r="I87" s="1244" t="s">
        <v>1554</v>
      </c>
      <c r="J87" s="1290"/>
    </row>
    <row r="88" spans="2:10" hidden="1" outlineLevel="1">
      <c r="B88" s="1623"/>
      <c r="C88" s="1633" t="s">
        <v>1737</v>
      </c>
      <c r="D88" s="1708"/>
      <c r="E88" s="1632"/>
      <c r="F88" s="1632"/>
      <c r="G88" s="1630" t="str">
        <f>IF(G87="Pas d'économiseur","",'3c. Calculateur MEÉ 2-3-4'!M134)</f>
        <v/>
      </c>
      <c r="H88" s="1632"/>
      <c r="I88" s="1244" t="s">
        <v>1554</v>
      </c>
      <c r="J88" s="1290"/>
    </row>
    <row r="89" spans="2:10" hidden="1" outlineLevel="1">
      <c r="B89" s="1623"/>
      <c r="C89" s="1633" t="s">
        <v>1733</v>
      </c>
      <c r="D89" s="1708"/>
      <c r="E89" s="1632"/>
      <c r="F89" s="1632"/>
      <c r="G89" s="1630" cm="1">
        <f t="array" ref="G89">_xlfn.IFS(G88="i",Subvention!M12,G88="n-i",Subvention!L12,G88="",0)</f>
        <v>0</v>
      </c>
      <c r="H89" s="1632"/>
      <c r="I89" s="1244" t="s">
        <v>1554</v>
      </c>
      <c r="J89" s="1290"/>
    </row>
    <row r="90" spans="2:10" hidden="1" outlineLevel="1">
      <c r="B90" s="1623"/>
      <c r="C90" s="1633" t="s">
        <v>1735</v>
      </c>
      <c r="D90" s="1708"/>
      <c r="E90" s="1632"/>
      <c r="F90" s="1632"/>
      <c r="G90" s="1630">
        <f>IF(G86&gt;G89,G89,G86)</f>
        <v>0</v>
      </c>
      <c r="H90" s="1632"/>
      <c r="I90" s="1244" t="s">
        <v>1554</v>
      </c>
      <c r="J90" s="1290"/>
    </row>
    <row r="91" spans="2:10" collapsed="1">
      <c r="B91" s="1623"/>
      <c r="C91" s="1635" t="s">
        <v>1701</v>
      </c>
      <c r="D91" s="1706">
        <f>'2. Rapport détaillé des coûts'!$E$141</f>
        <v>0</v>
      </c>
      <c r="E91" s="1706">
        <f>'2. Rapport détaillé des coûts'!$F$141</f>
        <v>0</v>
      </c>
      <c r="F91" s="1706">
        <f>'2. Rapport détaillé des coûts'!$H$141</f>
        <v>0</v>
      </c>
      <c r="G91" s="1706">
        <f>'2. Rapport détaillé des coûts'!$I$141+'2. Rapport détaillé des coûts'!$J$141+'2. Rapport détaillé des coûts'!$K$141</f>
        <v>0</v>
      </c>
      <c r="H91" s="1705">
        <f>SUM(D91:G91)</f>
        <v>0</v>
      </c>
      <c r="I91" s="1241"/>
      <c r="J91" s="1241"/>
    </row>
    <row r="92" spans="2:10">
      <c r="B92" s="1623"/>
      <c r="C92" s="1635" t="s">
        <v>1753</v>
      </c>
      <c r="D92" s="1709">
        <f>IF(D66&gt;0.75*D91,D91*0.75,D66)</f>
        <v>0</v>
      </c>
      <c r="E92" s="1709">
        <f>IF(E65&gt;0.75*E91,E91*0.75,E65)</f>
        <v>0</v>
      </c>
      <c r="F92" s="1709">
        <f>IF(F65&gt;0.75*F91,F91*0.75,F65)</f>
        <v>0</v>
      </c>
      <c r="G92" s="1709">
        <f>IF(G66&gt;0.75*G91,G91*0.75,G66)</f>
        <v>0</v>
      </c>
      <c r="H92" s="1710">
        <f>SUM(D92:G92)</f>
        <v>0</v>
      </c>
      <c r="I92" s="1241"/>
      <c r="J92" s="1241"/>
    </row>
    <row r="93" spans="2:10">
      <c r="B93" s="1623"/>
      <c r="C93" s="1635" t="s">
        <v>1702</v>
      </c>
      <c r="D93" s="1632"/>
      <c r="E93" s="1632"/>
      <c r="F93" s="1632"/>
      <c r="G93" s="1632"/>
      <c r="H93" s="1705">
        <f>SUM('4. Demande de versement'!E51:E53)</f>
        <v>0</v>
      </c>
      <c r="I93" s="1241"/>
      <c r="J93" s="1241"/>
    </row>
    <row r="94" spans="2:10" ht="25.5">
      <c r="B94" s="1623"/>
      <c r="C94" s="1635" t="s">
        <v>1818</v>
      </c>
      <c r="D94" s="1632"/>
      <c r="E94" s="1632"/>
      <c r="F94" s="1632"/>
      <c r="G94" s="1631"/>
      <c r="H94" s="1705">
        <f>IF((H92+H93)&gt;0.75*H91,(H91*0.75)-H93,H92)</f>
        <v>0</v>
      </c>
      <c r="I94" s="1241"/>
      <c r="J94" s="1241"/>
    </row>
    <row r="95" spans="2:10" ht="15" customHeight="1">
      <c r="B95" s="1623"/>
      <c r="C95" s="1623"/>
      <c r="D95" s="1623"/>
      <c r="E95" s="1623"/>
      <c r="F95" s="1623"/>
      <c r="G95" s="1636" t="s">
        <v>1703</v>
      </c>
      <c r="H95" s="1711">
        <f>IF(H94&lt;Subvention!N7,0,H94)</f>
        <v>0</v>
      </c>
      <c r="I95" s="1754"/>
      <c r="J95" s="1754"/>
    </row>
    <row r="96" spans="2:10" ht="24" customHeight="1">
      <c r="B96" s="1623"/>
      <c r="C96" s="1637"/>
      <c r="D96" s="1637"/>
      <c r="E96" s="1637"/>
      <c r="F96" s="1637"/>
      <c r="G96" s="1637"/>
      <c r="H96" s="2151" t="str">
        <f>IF(H94&lt;Subvention!N7,"Les demandes en dessous de 1 000 $ ne sont pas admissibles.","")</f>
        <v>Les demandes en dessous de 1 000 $ ne sont pas admissibles.</v>
      </c>
      <c r="I96" s="2151"/>
      <c r="J96" s="2151"/>
    </row>
    <row r="97" spans="2:10">
      <c r="B97" s="1616"/>
      <c r="C97" s="1617"/>
      <c r="D97" s="1617"/>
      <c r="E97" s="1617"/>
      <c r="F97" s="1238"/>
      <c r="G97" s="1238"/>
      <c r="H97" s="1239"/>
      <c r="I97" s="1240"/>
      <c r="J97" s="1238"/>
    </row>
    <row r="98" spans="2:10">
      <c r="B98" s="1267"/>
      <c r="C98" s="1885" t="s">
        <v>1722</v>
      </c>
      <c r="D98" s="1885"/>
      <c r="E98" s="1885"/>
      <c r="F98" s="1885"/>
      <c r="G98" s="1885"/>
      <c r="H98" s="1885"/>
      <c r="I98" s="1885"/>
      <c r="J98" s="1267"/>
    </row>
    <row r="99" spans="2:10" ht="6.75" customHeight="1">
      <c r="B99" s="1290"/>
      <c r="C99" s="1269"/>
      <c r="D99" s="1289"/>
      <c r="E99" s="1289"/>
      <c r="F99" s="1289"/>
      <c r="G99" s="1289"/>
      <c r="H99" s="1289"/>
      <c r="I99" s="1289"/>
      <c r="J99" s="1290"/>
    </row>
    <row r="100" spans="2:10">
      <c r="B100" s="1290"/>
      <c r="C100" s="1638" t="s">
        <v>1819</v>
      </c>
      <c r="D100" s="1639"/>
      <c r="E100" s="1639"/>
      <c r="F100" s="1640"/>
      <c r="G100" s="1640"/>
      <c r="H100" s="1640"/>
      <c r="I100" s="1639"/>
      <c r="J100" s="1290"/>
    </row>
    <row r="101" spans="2:10" ht="6.75" customHeight="1" thickBot="1">
      <c r="B101" s="1290"/>
      <c r="C101" s="1269"/>
      <c r="D101" s="1269"/>
      <c r="E101" s="1269"/>
      <c r="F101" s="1269"/>
      <c r="G101" s="1269"/>
      <c r="H101" s="1269"/>
      <c r="I101" s="1269"/>
      <c r="J101" s="1290"/>
    </row>
    <row r="102" spans="2:10" ht="15.75" thickBot="1">
      <c r="B102" s="1619" t="s">
        <v>1652</v>
      </c>
      <c r="C102" s="2150" t="s">
        <v>1924</v>
      </c>
      <c r="D102" s="2150"/>
      <c r="E102" s="1089"/>
      <c r="F102" s="1290"/>
      <c r="G102" s="1893"/>
      <c r="H102" s="1893"/>
      <c r="I102" s="1893"/>
      <c r="J102" s="1290"/>
    </row>
    <row r="103" spans="2:10">
      <c r="B103" s="1290"/>
      <c r="C103" s="1273"/>
      <c r="D103" s="1273"/>
      <c r="E103" s="1641" t="s">
        <v>1723</v>
      </c>
      <c r="F103" s="1273"/>
      <c r="G103" s="1273"/>
      <c r="H103" s="1273"/>
      <c r="I103" s="1273"/>
      <c r="J103" s="1290"/>
    </row>
    <row r="104" spans="2:10">
      <c r="B104" s="1290"/>
      <c r="C104" s="1274" t="s">
        <v>1714</v>
      </c>
      <c r="D104" s="1274"/>
      <c r="E104" s="1274"/>
      <c r="F104" s="1274"/>
      <c r="G104" s="1274"/>
      <c r="H104" s="1274"/>
      <c r="I104" s="1274"/>
      <c r="J104" s="1290"/>
    </row>
    <row r="105" spans="2:10" ht="6.75" customHeight="1">
      <c r="B105" s="1290"/>
      <c r="C105" s="1273"/>
      <c r="D105" s="1273"/>
      <c r="E105" s="1273"/>
      <c r="F105" s="1273"/>
      <c r="G105" s="1273"/>
      <c r="H105" s="1273"/>
      <c r="I105" s="1273"/>
      <c r="J105" s="1290"/>
    </row>
    <row r="106" spans="2:10">
      <c r="B106" s="1290"/>
      <c r="C106" s="1642" t="s">
        <v>1704</v>
      </c>
      <c r="D106" s="1273"/>
      <c r="E106" s="1273"/>
      <c r="F106" s="1273"/>
      <c r="G106" s="1273"/>
      <c r="H106" s="1273"/>
      <c r="I106" s="1273"/>
      <c r="J106" s="1290"/>
    </row>
    <row r="107" spans="2:10" ht="6.75" customHeight="1">
      <c r="B107" s="1290"/>
      <c r="C107" s="1273"/>
      <c r="D107" s="1273"/>
      <c r="E107" s="1273"/>
      <c r="F107" s="1273"/>
      <c r="G107" s="1273"/>
      <c r="H107" s="1273"/>
      <c r="I107" s="1273"/>
      <c r="J107" s="1290"/>
    </row>
    <row r="108" spans="2:10">
      <c r="B108" s="1290"/>
      <c r="C108" s="1642" t="s">
        <v>1705</v>
      </c>
      <c r="D108" s="1642"/>
      <c r="E108" s="1642"/>
      <c r="F108" s="1642"/>
      <c r="G108" s="1642"/>
      <c r="H108" s="1642"/>
      <c r="I108" s="1642"/>
      <c r="J108" s="1290"/>
    </row>
    <row r="109" spans="2:10" ht="6.75" customHeight="1">
      <c r="B109" s="1290"/>
      <c r="C109" s="1621"/>
      <c r="D109" s="1621"/>
      <c r="E109" s="1621"/>
      <c r="F109" s="1621"/>
      <c r="G109" s="1621"/>
      <c r="H109" s="1621"/>
      <c r="I109" s="1621"/>
      <c r="J109" s="1290"/>
    </row>
    <row r="110" spans="2:10">
      <c r="B110" s="1290"/>
      <c r="C110" s="1642" t="s">
        <v>1760</v>
      </c>
      <c r="D110" s="1642"/>
      <c r="E110" s="1642"/>
      <c r="F110" s="1642"/>
      <c r="G110" s="1642"/>
      <c r="H110" s="1642"/>
      <c r="I110" s="1642"/>
      <c r="J110" s="1290"/>
    </row>
    <row r="111" spans="2:10" ht="6.75" customHeight="1">
      <c r="B111" s="1290"/>
      <c r="C111" s="1621"/>
      <c r="D111" s="1621"/>
      <c r="E111" s="1621"/>
      <c r="F111" s="1621"/>
      <c r="G111" s="1621"/>
      <c r="H111" s="1621"/>
      <c r="I111" s="1621"/>
      <c r="J111" s="1290"/>
    </row>
    <row r="112" spans="2:10">
      <c r="B112" s="1290"/>
      <c r="C112" s="1642" t="s">
        <v>1706</v>
      </c>
      <c r="D112" s="1642"/>
      <c r="E112" s="1642"/>
      <c r="F112" s="1642"/>
      <c r="G112" s="1642"/>
      <c r="H112" s="1642"/>
      <c r="I112" s="1642"/>
      <c r="J112" s="1290"/>
    </row>
    <row r="113" spans="2:10" ht="6.75" customHeight="1">
      <c r="B113" s="1290"/>
      <c r="C113" s="1621"/>
      <c r="D113" s="1621"/>
      <c r="E113" s="1621"/>
      <c r="F113" s="1621"/>
      <c r="G113" s="1621"/>
      <c r="H113" s="1621"/>
      <c r="I113" s="1621"/>
      <c r="J113" s="1290"/>
    </row>
    <row r="114" spans="2:10">
      <c r="B114" s="1290"/>
      <c r="C114" s="1642" t="s">
        <v>1707</v>
      </c>
      <c r="D114" s="1642"/>
      <c r="E114" s="1642"/>
      <c r="F114" s="1642"/>
      <c r="G114" s="1642"/>
      <c r="H114" s="1642"/>
      <c r="I114" s="1642"/>
      <c r="J114" s="1290"/>
    </row>
    <row r="115" spans="2:10">
      <c r="B115" s="1290"/>
      <c r="C115" s="1643" t="s">
        <v>1708</v>
      </c>
      <c r="D115" s="1644"/>
      <c r="E115" s="1645"/>
      <c r="F115" s="1644"/>
      <c r="G115" s="1644"/>
      <c r="H115" s="1644"/>
      <c r="I115" s="1644"/>
      <c r="J115" s="1290"/>
    </row>
    <row r="116" spans="2:10">
      <c r="B116" s="1290"/>
      <c r="C116" s="1643" t="s">
        <v>1709</v>
      </c>
      <c r="D116" s="1644"/>
      <c r="E116" s="1644"/>
      <c r="F116" s="1644"/>
      <c r="G116" s="1644"/>
      <c r="H116" s="1644"/>
      <c r="I116" s="1644"/>
      <c r="J116" s="1290"/>
    </row>
    <row r="117" spans="2:10" ht="6.75" customHeight="1">
      <c r="B117" s="1290"/>
      <c r="C117" s="1646"/>
      <c r="D117" s="1646"/>
      <c r="E117" s="1646"/>
      <c r="F117" s="1646"/>
      <c r="G117" s="1646"/>
      <c r="H117" s="1646"/>
      <c r="I117" s="1646"/>
      <c r="J117" s="1290"/>
    </row>
    <row r="118" spans="2:10">
      <c r="B118" s="1290"/>
      <c r="C118" s="1647" t="s">
        <v>1710</v>
      </c>
      <c r="D118" s="1646"/>
      <c r="E118" s="1646"/>
      <c r="F118" s="1646"/>
      <c r="G118" s="1646"/>
      <c r="H118" s="1646"/>
      <c r="I118" s="1646"/>
      <c r="J118" s="1290"/>
    </row>
    <row r="119" spans="2:10">
      <c r="B119" s="1290"/>
      <c r="C119" s="1648"/>
      <c r="D119" s="1646"/>
      <c r="E119" s="1646"/>
      <c r="F119" s="1646"/>
      <c r="G119" s="1646"/>
      <c r="H119" s="1646"/>
      <c r="I119" s="1646"/>
      <c r="J119" s="1290"/>
    </row>
    <row r="120" spans="2:10">
      <c r="B120" s="1290"/>
      <c r="C120" s="1648"/>
      <c r="D120" s="1035" t="s">
        <v>29</v>
      </c>
      <c r="E120" s="1649" t="s">
        <v>1711</v>
      </c>
      <c r="F120" s="1649" t="s">
        <v>1715</v>
      </c>
      <c r="G120" s="1649" t="s">
        <v>303</v>
      </c>
      <c r="H120" s="1646"/>
      <c r="I120" s="1646"/>
      <c r="J120" s="1290"/>
    </row>
    <row r="121" spans="2:10" ht="36.950000000000003" customHeight="1">
      <c r="B121" s="1290"/>
      <c r="C121" s="1648"/>
      <c r="D121" s="2139" t="s">
        <v>1916</v>
      </c>
      <c r="E121" s="1650" t="s">
        <v>1716</v>
      </c>
      <c r="F121" s="1650" t="s">
        <v>1716</v>
      </c>
      <c r="G121" s="1650" t="s">
        <v>1716</v>
      </c>
      <c r="H121" s="1646"/>
      <c r="I121" s="1646"/>
      <c r="J121" s="1290"/>
    </row>
    <row r="122" spans="2:10" ht="33.6" customHeight="1">
      <c r="B122" s="1290"/>
      <c r="C122" s="1648"/>
      <c r="D122" s="2140"/>
      <c r="E122" s="1650" t="s">
        <v>1918</v>
      </c>
      <c r="F122" s="1650" t="s">
        <v>1918</v>
      </c>
      <c r="G122" s="1650" t="s">
        <v>1919</v>
      </c>
      <c r="H122" s="1646"/>
      <c r="I122" s="1646"/>
      <c r="J122" s="1290"/>
    </row>
    <row r="123" spans="2:10" ht="32.450000000000003" customHeight="1">
      <c r="B123" s="1290"/>
      <c r="C123" s="1648"/>
      <c r="D123" s="2140"/>
      <c r="E123" s="1650" t="s">
        <v>1712</v>
      </c>
      <c r="F123" s="1650" t="s">
        <v>1712</v>
      </c>
      <c r="G123" s="1650" t="s">
        <v>1717</v>
      </c>
      <c r="H123" s="1646"/>
      <c r="I123" s="1646"/>
      <c r="J123" s="1290"/>
    </row>
    <row r="124" spans="2:10" ht="32.1" customHeight="1">
      <c r="B124" s="1290"/>
      <c r="C124" s="1648"/>
      <c r="D124" s="2141"/>
      <c r="E124" s="1650" t="s">
        <v>1713</v>
      </c>
      <c r="F124" s="1650" t="s">
        <v>1713</v>
      </c>
      <c r="G124" s="1650" t="s">
        <v>1713</v>
      </c>
      <c r="H124" s="1646"/>
      <c r="I124" s="1646"/>
      <c r="J124" s="1290"/>
    </row>
    <row r="125" spans="2:10" ht="38.25">
      <c r="B125" s="1290"/>
      <c r="C125" s="1648"/>
      <c r="D125" s="1650" t="s">
        <v>2035</v>
      </c>
      <c r="E125" s="1650" t="s">
        <v>2036</v>
      </c>
      <c r="F125" s="1650"/>
      <c r="G125" s="1650"/>
      <c r="H125" s="1646"/>
      <c r="I125" s="1646"/>
      <c r="J125" s="1290"/>
    </row>
    <row r="126" spans="2:10" ht="6.75" customHeight="1">
      <c r="B126" s="1290"/>
      <c r="C126" s="1651"/>
      <c r="D126" s="1646"/>
      <c r="E126" s="1290"/>
      <c r="F126" s="1290"/>
      <c r="G126" s="1646"/>
      <c r="H126" s="1646"/>
      <c r="I126" s="1646"/>
      <c r="J126" s="1290"/>
    </row>
    <row r="127" spans="2:10" ht="28.5" customHeight="1">
      <c r="B127" s="1290"/>
      <c r="C127" s="2152" t="s">
        <v>1917</v>
      </c>
      <c r="D127" s="2152"/>
      <c r="E127" s="2152"/>
      <c r="F127" s="2152"/>
      <c r="G127" s="2152"/>
      <c r="H127" s="2152"/>
      <c r="I127" s="2152"/>
      <c r="J127" s="1290"/>
    </row>
    <row r="128" spans="2:10">
      <c r="B128" s="1290"/>
      <c r="C128" s="1286" t="s">
        <v>1833</v>
      </c>
      <c r="D128" s="1646"/>
      <c r="E128" s="1290"/>
      <c r="F128" s="1290"/>
      <c r="G128" s="1646"/>
      <c r="H128" s="1646"/>
      <c r="I128" s="1646"/>
      <c r="J128" s="1290"/>
    </row>
    <row r="129" spans="2:10" ht="6.75" customHeight="1">
      <c r="B129" s="1290"/>
      <c r="C129" s="1646"/>
      <c r="D129" s="1646"/>
      <c r="E129" s="1646"/>
      <c r="F129" s="1646"/>
      <c r="G129" s="1646"/>
      <c r="H129" s="1646"/>
      <c r="I129" s="1646"/>
      <c r="J129" s="1290"/>
    </row>
    <row r="130" spans="2:10">
      <c r="B130" s="1616"/>
      <c r="C130" s="1617"/>
      <c r="D130" s="1617"/>
      <c r="E130" s="1617"/>
      <c r="F130" s="1238"/>
      <c r="G130" s="1238"/>
      <c r="H130" s="1239"/>
      <c r="I130" s="1240"/>
      <c r="J130" s="1238"/>
    </row>
    <row r="131" spans="2:10">
      <c r="B131" s="1652"/>
      <c r="C131" s="1383" t="s">
        <v>1942</v>
      </c>
      <c r="D131" s="1652"/>
      <c r="E131" s="1652"/>
      <c r="F131" s="1652"/>
      <c r="G131" s="1652"/>
      <c r="H131" s="1652"/>
      <c r="I131" s="1652"/>
      <c r="J131" s="1652"/>
    </row>
    <row r="132" spans="2:10" ht="6.75" customHeight="1">
      <c r="B132" s="1644"/>
      <c r="C132" s="1644"/>
      <c r="D132" s="1644"/>
      <c r="E132" s="1653"/>
      <c r="F132" s="1644"/>
      <c r="G132" s="1644"/>
      <c r="H132" s="1644"/>
      <c r="I132" s="1644"/>
      <c r="J132" s="1644"/>
    </row>
    <row r="133" spans="2:10" ht="29.25" customHeight="1">
      <c r="B133" s="1644"/>
      <c r="C133" s="2160" t="s">
        <v>1925</v>
      </c>
      <c r="D133" s="2160"/>
      <c r="E133" s="2160"/>
      <c r="F133" s="2160"/>
      <c r="G133" s="2160"/>
      <c r="H133" s="2160"/>
      <c r="I133" s="2160"/>
      <c r="J133" s="1644"/>
    </row>
    <row r="134" spans="2:10" ht="6.75" customHeight="1">
      <c r="B134" s="1644"/>
      <c r="C134" s="1644"/>
      <c r="D134" s="1644"/>
      <c r="E134" s="1653"/>
      <c r="F134" s="1644"/>
      <c r="G134" s="1644"/>
      <c r="H134" s="1644"/>
      <c r="I134" s="1644"/>
      <c r="J134" s="1644"/>
    </row>
    <row r="135" spans="2:10">
      <c r="B135" s="1644"/>
      <c r="C135" s="1654" t="s">
        <v>1669</v>
      </c>
      <c r="D135" s="1273"/>
      <c r="E135" s="1653"/>
      <c r="F135" s="1644"/>
      <c r="G135" s="1644"/>
      <c r="H135" s="1644"/>
      <c r="I135" s="1644"/>
      <c r="J135" s="1644"/>
    </row>
    <row r="136" spans="2:10" ht="6.75" customHeight="1" thickBot="1">
      <c r="B136" s="1644"/>
      <c r="C136" s="1290"/>
      <c r="D136" s="1268"/>
      <c r="E136" s="1653"/>
      <c r="F136" s="1644"/>
      <c r="G136" s="1644"/>
      <c r="H136" s="1644"/>
      <c r="I136" s="1644"/>
      <c r="J136" s="1644"/>
    </row>
    <row r="137" spans="2:10" ht="15.75" thickBot="1">
      <c r="B137" s="1644"/>
      <c r="C137" s="2161"/>
      <c r="D137" s="2162"/>
      <c r="E137" s="1653"/>
      <c r="F137" s="1644"/>
      <c r="G137" s="1644"/>
      <c r="H137" s="1644"/>
      <c r="I137" s="1644"/>
      <c r="J137" s="1644"/>
    </row>
    <row r="138" spans="2:10" ht="6.75" customHeight="1">
      <c r="B138" s="1644"/>
      <c r="C138" s="1644"/>
      <c r="D138" s="1644"/>
      <c r="E138" s="1653"/>
      <c r="F138" s="1644"/>
      <c r="G138" s="1644"/>
      <c r="H138" s="1644"/>
      <c r="I138" s="1644"/>
      <c r="J138" s="1644"/>
    </row>
    <row r="139" spans="2:10">
      <c r="B139" s="1290"/>
      <c r="C139" s="1893" t="s">
        <v>1670</v>
      </c>
      <c r="D139" s="1893"/>
      <c r="E139" s="2163" t="s">
        <v>1654</v>
      </c>
      <c r="F139" s="2163"/>
      <c r="G139" s="2163"/>
      <c r="H139" s="2163"/>
      <c r="I139" s="2163"/>
      <c r="J139" s="1644"/>
    </row>
    <row r="140" spans="2:10" ht="6.75" customHeight="1" thickBot="1">
      <c r="B140" s="1290"/>
      <c r="C140" s="1273"/>
      <c r="D140" s="1273"/>
      <c r="E140" s="2163"/>
      <c r="F140" s="2163"/>
      <c r="G140" s="2163"/>
      <c r="H140" s="2163"/>
      <c r="I140" s="2163"/>
      <c r="J140" s="1644"/>
    </row>
    <row r="141" spans="2:10" ht="15.75" thickBot="1">
      <c r="B141" s="1290"/>
      <c r="C141" s="1887"/>
      <c r="D141" s="1889"/>
      <c r="E141" s="2163"/>
      <c r="F141" s="2163"/>
      <c r="G141" s="2163"/>
      <c r="H141" s="2163"/>
      <c r="I141" s="2163"/>
      <c r="J141" s="1644"/>
    </row>
    <row r="142" spans="2:10">
      <c r="B142" s="1290"/>
      <c r="C142" s="1273"/>
      <c r="D142" s="1273"/>
      <c r="E142" s="2163"/>
      <c r="F142" s="2163"/>
      <c r="G142" s="2163"/>
      <c r="H142" s="2163"/>
      <c r="I142" s="2163"/>
      <c r="J142" s="1644"/>
    </row>
    <row r="143" spans="2:10">
      <c r="B143" s="1290"/>
      <c r="C143" s="1893" t="s">
        <v>1671</v>
      </c>
      <c r="D143" s="1893"/>
      <c r="E143" s="2163"/>
      <c r="F143" s="2163"/>
      <c r="G143" s="2163"/>
      <c r="H143" s="2163"/>
      <c r="I143" s="2163"/>
      <c r="J143" s="1644"/>
    </row>
    <row r="144" spans="2:10" ht="6.75" customHeight="1" thickBot="1">
      <c r="B144" s="1290"/>
      <c r="C144" s="1273"/>
      <c r="D144" s="1273"/>
      <c r="E144" s="2163"/>
      <c r="F144" s="2163"/>
      <c r="G144" s="2163"/>
      <c r="H144" s="2163"/>
      <c r="I144" s="2163"/>
      <c r="J144" s="1644"/>
    </row>
    <row r="145" spans="2:10" ht="15.75" thickBot="1">
      <c r="B145" s="1290"/>
      <c r="C145" s="1887"/>
      <c r="D145" s="1889"/>
      <c r="E145" s="2163"/>
      <c r="F145" s="2163"/>
      <c r="G145" s="2163"/>
      <c r="H145" s="2163"/>
      <c r="I145" s="2163"/>
      <c r="J145" s="1644"/>
    </row>
    <row r="146" spans="2:10" ht="6.75" customHeight="1">
      <c r="B146" s="1644"/>
      <c r="C146" s="1644"/>
      <c r="D146" s="1644"/>
      <c r="E146" s="1653"/>
      <c r="F146" s="1644"/>
      <c r="G146" s="1644"/>
      <c r="H146" s="1644"/>
      <c r="I146" s="1644"/>
      <c r="J146" s="1644"/>
    </row>
    <row r="147" spans="2:10">
      <c r="B147" s="1290"/>
      <c r="C147" s="1893" t="s">
        <v>1672</v>
      </c>
      <c r="D147" s="1893"/>
      <c r="E147" s="1653"/>
      <c r="F147" s="1644"/>
      <c r="G147" s="1644"/>
      <c r="H147" s="1644"/>
      <c r="I147" s="1644"/>
      <c r="J147" s="1644"/>
    </row>
    <row r="148" spans="2:10" ht="6.75" customHeight="1" thickBot="1">
      <c r="B148" s="1290"/>
      <c r="C148" s="1273"/>
      <c r="D148" s="1273"/>
      <c r="E148" s="1653"/>
      <c r="F148" s="1644"/>
      <c r="G148" s="1644"/>
      <c r="H148" s="1644"/>
      <c r="I148" s="1644"/>
      <c r="J148" s="1644"/>
    </row>
    <row r="149" spans="2:10" ht="15.75" thickBot="1">
      <c r="B149" s="1290"/>
      <c r="C149" s="2157"/>
      <c r="D149" s="2158"/>
      <c r="E149" s="1653"/>
      <c r="F149" s="1644"/>
      <c r="G149" s="1644"/>
      <c r="H149" s="1644"/>
      <c r="I149" s="1644"/>
      <c r="J149" s="1644"/>
    </row>
    <row r="150" spans="2:10">
      <c r="B150" s="1290"/>
      <c r="C150" s="2159" t="s">
        <v>1655</v>
      </c>
      <c r="D150" s="2159"/>
      <c r="E150" s="1653"/>
      <c r="F150" s="1644"/>
      <c r="G150" s="1644"/>
      <c r="H150" s="1644"/>
      <c r="I150" s="1644"/>
      <c r="J150" s="1644"/>
    </row>
    <row r="151" spans="2:10" ht="6.75" customHeight="1">
      <c r="B151" s="1290"/>
      <c r="C151" s="1893"/>
      <c r="D151" s="1893"/>
      <c r="E151" s="1281"/>
      <c r="F151" s="1273"/>
      <c r="G151" s="1273"/>
      <c r="H151" s="1273"/>
      <c r="I151" s="1273"/>
      <c r="J151" s="1644"/>
    </row>
    <row r="152" spans="2:10">
      <c r="B152" s="1655"/>
      <c r="C152" s="1296"/>
      <c r="D152" s="1656"/>
      <c r="E152" s="1656"/>
      <c r="F152" s="1656"/>
      <c r="G152" s="1656"/>
      <c r="H152" s="1657"/>
      <c r="I152" s="1240"/>
      <c r="J152" s="1238"/>
    </row>
    <row r="153" spans="2:10" ht="18">
      <c r="B153" s="2154" t="s">
        <v>1718</v>
      </c>
      <c r="C153" s="2154"/>
      <c r="D153" s="2154"/>
      <c r="E153" s="2154"/>
      <c r="F153" s="2154"/>
      <c r="G153" s="2154"/>
      <c r="H153" s="2154"/>
      <c r="I153" s="1240"/>
      <c r="J153" s="1238"/>
    </row>
    <row r="154" spans="2:10" ht="20.25" customHeight="1">
      <c r="B154" s="2155" t="s">
        <v>1926</v>
      </c>
      <c r="C154" s="2155"/>
      <c r="D154" s="2155"/>
      <c r="E154" s="2155"/>
      <c r="F154" s="2155"/>
      <c r="G154" s="2155"/>
      <c r="H154" s="2155"/>
      <c r="I154" s="1240"/>
      <c r="J154" s="1238"/>
    </row>
    <row r="155" spans="2:10" ht="17.25" customHeight="1">
      <c r="I155" s="1240"/>
      <c r="J155" s="1238"/>
    </row>
    <row r="156" spans="2:10" ht="41.25" customHeight="1">
      <c r="B156" s="2153" t="s">
        <v>1656</v>
      </c>
      <c r="C156" s="2153"/>
      <c r="D156" s="2153"/>
      <c r="E156" s="2153"/>
      <c r="F156" s="2153"/>
      <c r="G156" s="2153"/>
      <c r="H156" s="2153"/>
      <c r="I156" s="1240"/>
      <c r="J156" s="1238"/>
    </row>
    <row r="157" spans="2:10" s="1071" customFormat="1"/>
    <row r="158" spans="2:10" s="1071" customFormat="1"/>
    <row r="159" spans="2:10" s="1071" customFormat="1"/>
    <row r="160" spans="2:10" s="1071" customFormat="1"/>
    <row r="161" s="1071" customFormat="1"/>
    <row r="162" s="1071" customFormat="1"/>
    <row r="163" s="1071" customFormat="1"/>
    <row r="164" s="1071" customFormat="1"/>
    <row r="165" s="1071" customFormat="1"/>
    <row r="166" s="1071" customFormat="1"/>
    <row r="167" s="1071" customFormat="1"/>
    <row r="168" s="1071" customFormat="1"/>
    <row r="169" s="1071" customFormat="1"/>
    <row r="170" s="1071" customFormat="1"/>
    <row r="171" s="1071" customFormat="1"/>
    <row r="172" s="1071" customFormat="1"/>
    <row r="173" s="1071" customFormat="1"/>
    <row r="174" s="1071" customFormat="1"/>
    <row r="175" s="1071" customFormat="1"/>
    <row r="176" s="1071" customFormat="1"/>
    <row r="177" s="1071" customFormat="1"/>
    <row r="178" s="1071" customFormat="1"/>
    <row r="179" s="1071" customFormat="1"/>
    <row r="180" s="1071" customFormat="1"/>
    <row r="181" s="1071" customFormat="1"/>
    <row r="182" s="1071" customFormat="1"/>
    <row r="183" s="1071" customFormat="1"/>
    <row r="184" s="1071" customFormat="1"/>
    <row r="185" s="1071" customFormat="1"/>
    <row r="186" s="1071" customFormat="1"/>
    <row r="187" s="1071" customFormat="1"/>
    <row r="188" s="1071" customFormat="1"/>
    <row r="189" s="1071" customFormat="1"/>
    <row r="190" s="1071" customFormat="1"/>
    <row r="191" s="1071" customFormat="1"/>
    <row r="192" s="1071" customFormat="1"/>
    <row r="193" s="1071" customFormat="1"/>
    <row r="194" s="1071" customFormat="1"/>
    <row r="195" s="1071" customFormat="1"/>
    <row r="196" s="1071" customFormat="1"/>
    <row r="197" s="1071" customFormat="1"/>
    <row r="198" s="1071" customFormat="1"/>
    <row r="199" s="1071" customFormat="1"/>
    <row r="200" s="1071" customFormat="1"/>
    <row r="201" s="1071" customFormat="1"/>
    <row r="202" s="1071" customFormat="1"/>
    <row r="203" s="1071" customFormat="1"/>
    <row r="204" s="1071" customFormat="1"/>
    <row r="205" s="1071" customFormat="1"/>
    <row r="206" s="1071" customFormat="1"/>
    <row r="207" s="1071" customFormat="1"/>
    <row r="208" s="1071" customFormat="1"/>
    <row r="209" s="1071" customFormat="1"/>
    <row r="210" s="1071" customFormat="1"/>
    <row r="211" s="1071" customFormat="1"/>
    <row r="212" s="1071" customFormat="1"/>
    <row r="213" s="1071" customFormat="1"/>
    <row r="214" s="1071" customFormat="1"/>
    <row r="215" s="1071" customFormat="1"/>
    <row r="216" s="1071" customFormat="1"/>
    <row r="217" s="1071" customFormat="1"/>
    <row r="218" s="1071" customFormat="1"/>
    <row r="219" s="1071" customFormat="1"/>
    <row r="220" s="1071" customFormat="1"/>
    <row r="221" s="1071" customFormat="1"/>
    <row r="222" s="1071" customFormat="1"/>
    <row r="223" s="1071" customFormat="1"/>
    <row r="224" s="1071" customFormat="1"/>
    <row r="225" s="1071" customFormat="1"/>
    <row r="226" s="1071" customFormat="1"/>
    <row r="227" s="1071" customFormat="1"/>
    <row r="228" s="1071" customFormat="1"/>
    <row r="229" s="1071" customFormat="1"/>
    <row r="230" s="1071" customFormat="1"/>
    <row r="231" s="1071" customFormat="1"/>
    <row r="232" s="1071" customFormat="1"/>
    <row r="233" s="1071" customFormat="1"/>
    <row r="234" s="1071" customFormat="1"/>
    <row r="235" s="1071" customFormat="1"/>
    <row r="236" s="1071" customFormat="1"/>
    <row r="237" s="1071" customFormat="1"/>
    <row r="238" s="1071" customFormat="1"/>
    <row r="239" s="1071" customFormat="1"/>
    <row r="240" s="1071" customFormat="1"/>
    <row r="241" s="1071" customFormat="1"/>
    <row r="242" s="1071" customFormat="1"/>
    <row r="243" s="1071" customFormat="1"/>
    <row r="244" s="1071" customFormat="1"/>
    <row r="245" s="1071" customFormat="1"/>
    <row r="246" s="1071" customFormat="1"/>
    <row r="247" s="1071" customFormat="1"/>
    <row r="248" s="1071" customFormat="1"/>
    <row r="249" s="1071" customFormat="1"/>
    <row r="250" s="1071" customFormat="1"/>
    <row r="251" s="1071" customFormat="1"/>
    <row r="252" s="1071" customFormat="1"/>
    <row r="253" s="1071" customFormat="1"/>
    <row r="254" s="1071" customFormat="1"/>
    <row r="255" s="1071" customFormat="1"/>
    <row r="256" s="1071" customFormat="1"/>
    <row r="257" s="1071" customFormat="1"/>
    <row r="258" s="1071" customFormat="1"/>
    <row r="259" s="1071" customFormat="1"/>
    <row r="260" s="1071" customFormat="1"/>
    <row r="261" s="1071" customFormat="1"/>
    <row r="262" s="1071" customFormat="1"/>
    <row r="263" s="1071" customFormat="1"/>
    <row r="264" s="1071" customFormat="1"/>
    <row r="265" s="1071" customFormat="1"/>
    <row r="266" s="1071" customFormat="1"/>
    <row r="267" s="1071" customFormat="1"/>
    <row r="268" s="1071" customFormat="1"/>
    <row r="269" s="1071" customFormat="1"/>
    <row r="270" s="1071" customFormat="1"/>
    <row r="271" s="1071" customFormat="1"/>
    <row r="272" s="1071" customFormat="1"/>
    <row r="273" s="1071" customFormat="1"/>
    <row r="274" s="1071" customFormat="1"/>
    <row r="275" s="1071" customFormat="1"/>
    <row r="276" s="1071" customFormat="1"/>
    <row r="277" s="1071" customFormat="1"/>
    <row r="278" s="1071" customFormat="1"/>
    <row r="279" s="1071" customFormat="1"/>
    <row r="280" s="1071" customFormat="1"/>
    <row r="281" s="1071" customFormat="1"/>
    <row r="282" s="1071" customFormat="1"/>
    <row r="283" s="1071" customFormat="1"/>
    <row r="284" s="1071" customFormat="1"/>
    <row r="285" s="1071" customFormat="1"/>
    <row r="286" s="1071" customFormat="1"/>
    <row r="287" s="1071" customFormat="1"/>
    <row r="288" s="1071" customFormat="1"/>
    <row r="289" s="1071" customFormat="1"/>
    <row r="290" s="1071" customFormat="1"/>
    <row r="291" s="1071" customFormat="1"/>
    <row r="292" s="1071" customFormat="1"/>
    <row r="293" s="1071" customFormat="1"/>
    <row r="294" s="1071" customFormat="1"/>
    <row r="295" s="1071" customFormat="1"/>
    <row r="296" s="1071" customFormat="1"/>
    <row r="297" s="1071" customFormat="1"/>
    <row r="298" s="1071" customFormat="1"/>
    <row r="299" s="1071" customFormat="1"/>
    <row r="300" s="1071" customFormat="1"/>
    <row r="301" s="1071" customFormat="1"/>
    <row r="302" s="1071" customFormat="1"/>
    <row r="303" s="1071" customFormat="1"/>
    <row r="304" s="1071" customFormat="1"/>
    <row r="305" s="1071" customFormat="1"/>
    <row r="306" s="1071" customFormat="1"/>
    <row r="307" s="1071" customFormat="1"/>
    <row r="308" s="1071" customFormat="1"/>
    <row r="309" s="1071" customFormat="1"/>
    <row r="310" s="1071" customFormat="1"/>
    <row r="311" s="1071" customFormat="1"/>
    <row r="312" s="1071" customFormat="1"/>
    <row r="313" s="1071" customFormat="1"/>
    <row r="314" s="1071" customFormat="1"/>
    <row r="315" s="1071" customFormat="1"/>
    <row r="316" s="1071" customFormat="1"/>
    <row r="317" s="1071" customFormat="1"/>
    <row r="318" s="1071" customFormat="1"/>
    <row r="319" s="1071" customFormat="1"/>
    <row r="320" s="1071" customFormat="1"/>
    <row r="321" s="1071" customFormat="1"/>
    <row r="322" s="1071" customFormat="1"/>
    <row r="323" s="1071" customFormat="1"/>
    <row r="324" s="1071" customFormat="1"/>
    <row r="325" s="1071" customFormat="1"/>
    <row r="326" s="1071" customFormat="1"/>
    <row r="327" s="1071" customFormat="1"/>
    <row r="328" s="1071" customFormat="1"/>
    <row r="329" s="1071" customFormat="1"/>
    <row r="330" s="1071" customFormat="1"/>
    <row r="331" s="1071" customFormat="1"/>
    <row r="332" s="1071" customFormat="1"/>
    <row r="333" s="1071" customFormat="1"/>
    <row r="334" s="1071" customFormat="1"/>
    <row r="335" s="1071" customFormat="1"/>
    <row r="336" s="1071" customFormat="1"/>
    <row r="337" s="1071" customFormat="1"/>
    <row r="338" s="1071" customFormat="1"/>
    <row r="339" s="1071" customFormat="1"/>
    <row r="340" s="1071" customFormat="1"/>
    <row r="341" s="1071" customFormat="1"/>
    <row r="342" s="1071" customFormat="1"/>
    <row r="343" s="1071" customFormat="1"/>
    <row r="344" s="1071" customFormat="1"/>
    <row r="345" s="1071" customFormat="1"/>
    <row r="346" s="1071" customFormat="1"/>
    <row r="347" s="1071" customFormat="1"/>
    <row r="348" s="1071" customFormat="1"/>
    <row r="349" s="1071" customFormat="1"/>
    <row r="350" s="1071" customFormat="1"/>
    <row r="351" s="1071" customFormat="1"/>
    <row r="352" s="1071" customFormat="1"/>
    <row r="353" s="1071" customFormat="1"/>
    <row r="354" s="1071" customFormat="1"/>
    <row r="355" s="1071" customFormat="1"/>
    <row r="356" s="1071" customFormat="1"/>
    <row r="357" s="1071" customFormat="1"/>
    <row r="358" s="1071" customFormat="1"/>
    <row r="359" s="1071" customFormat="1"/>
    <row r="360" s="1071" customFormat="1"/>
    <row r="361" s="1071" customFormat="1"/>
    <row r="362" s="1071" customFormat="1"/>
    <row r="363" s="1071" customFormat="1"/>
    <row r="364" s="1071" customFormat="1"/>
    <row r="365" s="1071" customFormat="1"/>
    <row r="366" s="1071" customFormat="1"/>
    <row r="367" s="1071" customFormat="1"/>
    <row r="368" s="1071" customFormat="1"/>
    <row r="369" s="1071" customFormat="1"/>
    <row r="370" s="1071" customFormat="1"/>
    <row r="371" s="1071" customFormat="1"/>
    <row r="372" s="1071" customFormat="1"/>
    <row r="373" s="1071" customFormat="1"/>
    <row r="374" s="1071" customFormat="1"/>
    <row r="375" s="1071" customFormat="1"/>
    <row r="376" s="1071" customFormat="1"/>
    <row r="377" s="1071" customFormat="1"/>
    <row r="378" s="1071" customFormat="1"/>
    <row r="379" s="1071" customFormat="1"/>
    <row r="380" s="1071" customFormat="1"/>
    <row r="381" s="1071" customFormat="1"/>
    <row r="382" s="1071" customFormat="1"/>
    <row r="383" s="1071" customFormat="1"/>
    <row r="384" s="1071" customFormat="1"/>
    <row r="385" s="1071" customFormat="1"/>
    <row r="386" s="1071" customFormat="1"/>
    <row r="387" s="1071" customFormat="1"/>
    <row r="388" s="1071" customFormat="1"/>
    <row r="389" s="1071" customFormat="1"/>
    <row r="390" s="1071" customFormat="1"/>
    <row r="391" s="1071" customFormat="1"/>
    <row r="392" s="1071" customFormat="1"/>
    <row r="393" s="1071" customFormat="1"/>
    <row r="394" s="1071" customFormat="1"/>
    <row r="395" s="1071" customFormat="1"/>
    <row r="396" s="1071" customFormat="1"/>
    <row r="397" s="1071" customFormat="1"/>
    <row r="398" s="1071" customFormat="1"/>
    <row r="399" s="1071" customFormat="1"/>
    <row r="400" s="1071" customFormat="1"/>
    <row r="401" s="1071" customFormat="1"/>
    <row r="402" s="1071" customFormat="1"/>
    <row r="403" s="1071" customFormat="1"/>
    <row r="404" s="1071" customFormat="1"/>
    <row r="405" s="1071" customFormat="1"/>
    <row r="406" s="1071" customFormat="1"/>
    <row r="407" s="1071" customFormat="1"/>
    <row r="408" s="1071" customFormat="1"/>
    <row r="409" s="1071" customFormat="1"/>
    <row r="410" s="1071" customFormat="1"/>
    <row r="411" s="1071" customFormat="1"/>
    <row r="412" s="1071" customFormat="1"/>
    <row r="413" s="1071" customFormat="1"/>
    <row r="414" s="1071" customFormat="1"/>
    <row r="415" s="1071" customFormat="1"/>
    <row r="416" s="1071" customFormat="1"/>
    <row r="417" s="1071" customFormat="1"/>
    <row r="418" s="1071" customFormat="1"/>
    <row r="419" s="1071" customFormat="1"/>
    <row r="420" s="1071" customFormat="1"/>
    <row r="421" s="1071" customFormat="1"/>
    <row r="422" s="1071" customFormat="1"/>
    <row r="423" s="1071" customFormat="1"/>
    <row r="424" s="1071" customFormat="1"/>
    <row r="425" s="1071" customFormat="1"/>
    <row r="426" s="1071" customFormat="1"/>
    <row r="427" s="1071" customFormat="1"/>
    <row r="428" s="1071" customFormat="1"/>
    <row r="429" s="1071" customFormat="1"/>
    <row r="430" s="1071" customFormat="1"/>
    <row r="431" s="1071" customFormat="1"/>
    <row r="432" s="1071" customFormat="1"/>
    <row r="433" s="1071" customFormat="1"/>
    <row r="434" s="1071" customFormat="1"/>
    <row r="435" s="1071" customFormat="1"/>
    <row r="436" s="1071" customFormat="1"/>
    <row r="437" s="1071" customFormat="1"/>
    <row r="438" s="1071" customFormat="1"/>
    <row r="439" s="1071" customFormat="1"/>
    <row r="440" s="1071" customFormat="1"/>
    <row r="441" s="1071" customFormat="1"/>
    <row r="442" s="1071" customFormat="1"/>
    <row r="443" s="1071" customFormat="1"/>
    <row r="444" s="1071" customFormat="1"/>
    <row r="445" s="1071" customFormat="1"/>
    <row r="446" s="1071" customFormat="1"/>
    <row r="447" s="1071" customFormat="1"/>
    <row r="448" s="1071" customFormat="1"/>
    <row r="449" s="1071" customFormat="1"/>
    <row r="450" s="1071" customFormat="1"/>
    <row r="451" s="1071" customFormat="1"/>
    <row r="452" s="1071" customFormat="1"/>
    <row r="453" s="1071" customFormat="1"/>
    <row r="454" s="1071" customFormat="1"/>
    <row r="455" s="1071" customFormat="1"/>
    <row r="456" s="1071" customFormat="1"/>
    <row r="457" s="1071" customFormat="1"/>
    <row r="458" s="1071" customFormat="1"/>
    <row r="459" s="1071" customFormat="1"/>
    <row r="460" s="1071" customFormat="1"/>
    <row r="461" s="1071" customFormat="1"/>
    <row r="462" s="1071" customFormat="1"/>
    <row r="463" s="1071" customFormat="1"/>
    <row r="464" s="1071" customFormat="1"/>
    <row r="465" s="1071" customFormat="1"/>
    <row r="466" s="1071" customFormat="1"/>
    <row r="467" s="1071" customFormat="1"/>
    <row r="468" s="1071" customFormat="1"/>
    <row r="469" s="1071" customFormat="1"/>
    <row r="470" s="1071" customFormat="1"/>
    <row r="471" s="1071" customFormat="1"/>
    <row r="472" s="1071" customFormat="1"/>
    <row r="473" s="1071" customFormat="1"/>
    <row r="474" s="1071" customFormat="1"/>
    <row r="475" s="1071" customFormat="1"/>
    <row r="476" s="1071" customFormat="1"/>
    <row r="477" s="1071" customFormat="1"/>
    <row r="478" s="1071" customFormat="1"/>
    <row r="479" s="1071" customFormat="1"/>
    <row r="480" s="1071" customFormat="1"/>
    <row r="481" s="1071" customFormat="1"/>
    <row r="482" s="1071" customFormat="1"/>
    <row r="483" s="1071" customFormat="1"/>
    <row r="484" s="1071" customFormat="1"/>
    <row r="485" s="1071" customFormat="1"/>
    <row r="486" s="1071" customFormat="1"/>
    <row r="487" s="1071" customFormat="1"/>
    <row r="488" s="1071" customFormat="1"/>
    <row r="489" s="1071" customFormat="1"/>
    <row r="490" s="1071" customFormat="1"/>
    <row r="491" s="1071" customFormat="1"/>
    <row r="492" s="1071" customFormat="1"/>
    <row r="493" s="1071" customFormat="1"/>
    <row r="494" s="1071" customFormat="1"/>
    <row r="495" s="1071" customFormat="1"/>
    <row r="496" s="1071" customFormat="1"/>
    <row r="497" s="1071" customFormat="1"/>
    <row r="498" s="1071" customFormat="1"/>
    <row r="499" s="1071" customFormat="1"/>
    <row r="500" s="1071" customFormat="1"/>
    <row r="501" s="1071" customFormat="1"/>
    <row r="502" s="1071" customFormat="1"/>
    <row r="503" s="1071" customFormat="1"/>
    <row r="504" s="1071" customFormat="1"/>
    <row r="505" s="1071" customFormat="1"/>
    <row r="506" s="1071" customFormat="1"/>
    <row r="507" s="1071" customFormat="1"/>
    <row r="508" s="1071" customFormat="1"/>
    <row r="509" s="1071" customFormat="1"/>
    <row r="510" s="1071" customFormat="1"/>
    <row r="511" s="1071" customFormat="1"/>
    <row r="512" s="1071" customFormat="1"/>
    <row r="513" s="1071" customFormat="1"/>
    <row r="514" s="1071" customFormat="1"/>
    <row r="515" s="1071" customFormat="1"/>
    <row r="516" s="1071" customFormat="1"/>
    <row r="517" s="1071" customFormat="1"/>
    <row r="518" s="1071" customFormat="1"/>
    <row r="519" s="1071" customFormat="1"/>
    <row r="520" s="1071" customFormat="1"/>
    <row r="521" s="1071" customFormat="1"/>
    <row r="522" s="1071" customFormat="1"/>
    <row r="523" s="1071" customFormat="1"/>
    <row r="524" s="1071" customFormat="1"/>
    <row r="525" s="1071" customFormat="1"/>
    <row r="526" s="1071" customFormat="1"/>
    <row r="527" s="1071" customFormat="1"/>
    <row r="528" s="1071" customFormat="1"/>
    <row r="529" s="1071" customFormat="1"/>
    <row r="530" s="1071" customFormat="1"/>
    <row r="531" s="1071" customFormat="1"/>
    <row r="532" s="1071" customFormat="1"/>
    <row r="533" s="1071" customFormat="1"/>
    <row r="534" s="1071" customFormat="1"/>
    <row r="535" s="1071" customFormat="1"/>
    <row r="536" s="1071" customFormat="1"/>
    <row r="537" s="1071" customFormat="1"/>
    <row r="538" s="1071" customFormat="1"/>
    <row r="539" s="1071" customFormat="1"/>
    <row r="540" s="1071" customFormat="1"/>
    <row r="541" s="1071" customFormat="1"/>
    <row r="542" s="1071" customFormat="1"/>
    <row r="543" s="1071" customFormat="1"/>
    <row r="544" s="1071" customFormat="1"/>
    <row r="545" s="1071" customFormat="1"/>
    <row r="546" s="1071" customFormat="1"/>
    <row r="547" s="1071" customFormat="1"/>
    <row r="548" s="1071" customFormat="1"/>
    <row r="549" s="1071" customFormat="1"/>
    <row r="550" s="1071" customFormat="1"/>
    <row r="551" s="1071" customFormat="1"/>
    <row r="552" s="1071" customFormat="1"/>
    <row r="553" s="1071" customFormat="1"/>
    <row r="554" s="1071" customFormat="1"/>
    <row r="555" s="1071" customFormat="1"/>
    <row r="556" s="1071" customFormat="1"/>
    <row r="557" s="1071" customFormat="1"/>
    <row r="558" s="1071" customFormat="1"/>
    <row r="559" s="1071" customFormat="1"/>
    <row r="560" s="1071" customFormat="1"/>
    <row r="561" s="1071" customFormat="1"/>
    <row r="562" s="1071" customFormat="1"/>
    <row r="563" s="1071" customFormat="1"/>
    <row r="564" s="1071" customFormat="1"/>
    <row r="565" s="1071" customFormat="1"/>
    <row r="566" s="1071" customFormat="1"/>
    <row r="567" s="1071" customFormat="1"/>
    <row r="568" s="1071" customFormat="1"/>
    <row r="569" s="1071" customFormat="1"/>
    <row r="570" s="1071" customFormat="1"/>
    <row r="571" s="1071" customFormat="1"/>
    <row r="572" s="1071" customFormat="1"/>
    <row r="573" s="1071" customFormat="1"/>
    <row r="574" s="1071" customFormat="1"/>
    <row r="575" s="1071" customFormat="1"/>
    <row r="576" s="1071" customFormat="1"/>
    <row r="577" s="1071" customFormat="1"/>
    <row r="578" s="1071" customFormat="1"/>
    <row r="579" s="1071" customFormat="1"/>
    <row r="580" s="1071" customFormat="1"/>
    <row r="581" s="1071" customFormat="1"/>
    <row r="582" s="1071" customFormat="1"/>
    <row r="583" s="1071" customFormat="1"/>
    <row r="584" s="1071" customFormat="1"/>
    <row r="585" s="1071" customFormat="1"/>
    <row r="586" s="1071" customFormat="1"/>
    <row r="587" s="1071" customFormat="1"/>
    <row r="588" s="1071" customFormat="1"/>
    <row r="589" s="1071" customFormat="1"/>
    <row r="590" s="1071" customFormat="1"/>
    <row r="591" s="1071" customFormat="1"/>
    <row r="592" s="1071" customFormat="1"/>
    <row r="593" s="1071" customFormat="1"/>
    <row r="594" s="1071" customFormat="1"/>
    <row r="595" s="1071" customFormat="1"/>
    <row r="596" s="1071" customFormat="1"/>
    <row r="597" s="1071" customFormat="1"/>
    <row r="598" s="1071" customFormat="1"/>
    <row r="599" s="1071" customFormat="1"/>
    <row r="600" s="1071" customFormat="1"/>
    <row r="601" s="1071" customFormat="1"/>
    <row r="602" s="1071" customFormat="1"/>
    <row r="603" s="1071" customFormat="1"/>
    <row r="604" s="1071" customFormat="1"/>
    <row r="605" s="1071" customFormat="1"/>
    <row r="606" s="1071" customFormat="1"/>
    <row r="607" s="1071" customFormat="1"/>
    <row r="608" s="1071" customFormat="1"/>
    <row r="609" s="1071" customFormat="1"/>
    <row r="610" s="1071" customFormat="1"/>
    <row r="611" s="1071" customFormat="1"/>
    <row r="612" s="1071" customFormat="1"/>
    <row r="613" s="1071" customFormat="1"/>
    <row r="614" s="1071" customFormat="1"/>
    <row r="615" s="1071" customFormat="1"/>
    <row r="616" s="1071" customFormat="1"/>
    <row r="617" s="1071" customFormat="1"/>
    <row r="618" s="1071" customFormat="1"/>
    <row r="619" s="1071" customFormat="1"/>
    <row r="620" s="1071" customFormat="1"/>
    <row r="621" s="1071" customFormat="1"/>
    <row r="622" s="1071" customFormat="1"/>
    <row r="623" s="1071" customFormat="1"/>
    <row r="624" s="1071" customFormat="1"/>
    <row r="625" s="1071" customFormat="1"/>
    <row r="626" s="1071" customFormat="1"/>
    <row r="627" s="1071" customFormat="1"/>
    <row r="628" s="1071" customFormat="1"/>
    <row r="629" s="1071" customFormat="1"/>
    <row r="630" s="1071" customFormat="1"/>
    <row r="631" s="1071" customFormat="1"/>
    <row r="632" s="1071" customFormat="1"/>
    <row r="633" s="1071" customFormat="1"/>
    <row r="634" s="1071" customFormat="1"/>
    <row r="635" s="1071" customFormat="1"/>
    <row r="636" s="1071" customFormat="1"/>
    <row r="637" s="1071" customFormat="1"/>
    <row r="638" s="1071" customFormat="1"/>
    <row r="639" s="1071" customFormat="1"/>
    <row r="640" s="1071" customFormat="1"/>
    <row r="641" s="1071" customFormat="1"/>
    <row r="642" s="1071" customFormat="1"/>
    <row r="643" s="1071" customFormat="1"/>
    <row r="644" s="1071" customFormat="1"/>
    <row r="645" s="1071" customFormat="1"/>
    <row r="646" s="1071" customFormat="1"/>
    <row r="647" s="1071" customFormat="1"/>
    <row r="648" s="1071" customFormat="1"/>
    <row r="649" s="1071" customFormat="1"/>
    <row r="650" s="1071" customFormat="1"/>
    <row r="651" s="1071" customFormat="1"/>
    <row r="652" s="1071" customFormat="1"/>
    <row r="653" s="1071" customFormat="1"/>
    <row r="654" s="1071" customFormat="1"/>
    <row r="655" s="1071" customFormat="1"/>
    <row r="656" s="1071" customFormat="1"/>
    <row r="657" s="1071" customFormat="1"/>
    <row r="658" s="1071" customFormat="1"/>
    <row r="659" s="1071" customFormat="1"/>
    <row r="660" s="1071" customFormat="1"/>
    <row r="661" s="1071" customFormat="1"/>
    <row r="662" s="1071" customFormat="1"/>
    <row r="663" s="1071" customFormat="1"/>
    <row r="664" s="1071" customFormat="1"/>
    <row r="665" s="1071" customFormat="1"/>
    <row r="666" s="1071" customFormat="1"/>
    <row r="667" s="1071" customFormat="1"/>
    <row r="668" s="1071" customFormat="1"/>
    <row r="669" s="1071" customFormat="1"/>
    <row r="670" s="1071" customFormat="1"/>
    <row r="671" s="1071" customFormat="1"/>
    <row r="672" s="1071" customFormat="1"/>
    <row r="673" s="1071" customFormat="1"/>
    <row r="674" s="1071" customFormat="1"/>
    <row r="675" s="1071" customFormat="1"/>
    <row r="676" s="1071" customFormat="1"/>
    <row r="677" s="1071" customFormat="1"/>
    <row r="678" s="1071" customFormat="1"/>
    <row r="679" s="1071" customFormat="1"/>
    <row r="680" s="1071" customFormat="1"/>
    <row r="681" s="1071" customFormat="1"/>
    <row r="682" s="1071" customFormat="1"/>
    <row r="683" s="1071" customFormat="1"/>
    <row r="684" s="1071" customFormat="1"/>
    <row r="685" s="1071" customFormat="1"/>
    <row r="686" s="1071" customFormat="1"/>
    <row r="687" s="1071" customFormat="1"/>
    <row r="688" s="1071" customFormat="1"/>
    <row r="689" s="1071" customFormat="1"/>
    <row r="690" s="1071" customFormat="1"/>
    <row r="691" s="1071" customFormat="1"/>
    <row r="692" s="1071" customFormat="1"/>
    <row r="693" s="1071" customFormat="1"/>
    <row r="694" s="1071" customFormat="1"/>
    <row r="695" s="1071" customFormat="1"/>
    <row r="696" s="1071" customFormat="1"/>
    <row r="697" s="1071" customFormat="1"/>
    <row r="698" s="1071" customFormat="1"/>
    <row r="699" s="1071" customFormat="1"/>
    <row r="700" s="1071" customFormat="1"/>
    <row r="701" s="1071" customFormat="1"/>
    <row r="702" s="1071" customFormat="1"/>
    <row r="703" s="1071" customFormat="1"/>
    <row r="704" s="1071" customFormat="1"/>
    <row r="705" s="1071" customFormat="1"/>
    <row r="706" s="1071" customFormat="1"/>
    <row r="707" s="1071" customFormat="1"/>
    <row r="708" s="1071" customFormat="1"/>
    <row r="709" s="1071" customFormat="1"/>
    <row r="710" s="1071" customFormat="1"/>
    <row r="711" s="1071" customFormat="1"/>
    <row r="712" s="1071" customFormat="1"/>
    <row r="713" s="1071" customFormat="1"/>
    <row r="714" s="1071" customFormat="1"/>
    <row r="715" s="1071" customFormat="1"/>
    <row r="716" s="1071" customFormat="1"/>
    <row r="717" s="1071" customFormat="1"/>
    <row r="718" s="1071" customFormat="1"/>
    <row r="719" s="1071" customFormat="1"/>
    <row r="720" s="1071" customFormat="1"/>
    <row r="721" s="1071" customFormat="1"/>
    <row r="722" s="1071" customFormat="1"/>
    <row r="723" s="1071" customFormat="1"/>
    <row r="724" s="1071" customFormat="1"/>
    <row r="725" s="1071" customFormat="1"/>
    <row r="726" s="1071" customFormat="1"/>
    <row r="727" s="1071" customFormat="1"/>
    <row r="728" s="1071" customFormat="1"/>
    <row r="729" s="1071" customFormat="1"/>
    <row r="730" s="1071" customFormat="1"/>
    <row r="731" s="1071" customFormat="1"/>
    <row r="732" s="1071" customFormat="1"/>
    <row r="733" s="1071" customFormat="1"/>
    <row r="734" s="1071" customFormat="1"/>
    <row r="735" s="1071" customFormat="1"/>
    <row r="736" s="1071" customFormat="1"/>
    <row r="737" s="1071" customFormat="1"/>
    <row r="738" s="1071" customFormat="1"/>
    <row r="739" s="1071" customFormat="1"/>
    <row r="740" s="1071" customFormat="1"/>
    <row r="741" s="1071" customFormat="1"/>
    <row r="742" s="1071" customFormat="1"/>
    <row r="743" s="1071" customFormat="1"/>
    <row r="744" s="1071" customFormat="1"/>
    <row r="745" s="1071" customFormat="1"/>
    <row r="746" s="1071" customFormat="1"/>
    <row r="747" s="1071" customFormat="1"/>
    <row r="748" s="1071" customFormat="1"/>
    <row r="749" s="1071" customFormat="1"/>
    <row r="750" s="1071" customFormat="1"/>
    <row r="751" s="1071" customFormat="1"/>
    <row r="752" s="1071" customFormat="1"/>
    <row r="753" s="1071" customFormat="1"/>
    <row r="754" s="1071" customFormat="1"/>
    <row r="755" s="1071" customFormat="1"/>
    <row r="756" s="1071" customFormat="1"/>
    <row r="757" s="1071" customFormat="1"/>
    <row r="758" s="1071" customFormat="1"/>
    <row r="759" s="1071" customFormat="1"/>
    <row r="760" s="1071" customFormat="1"/>
    <row r="761" s="1071" customFormat="1"/>
    <row r="762" s="1071" customFormat="1"/>
    <row r="763" s="1071" customFormat="1"/>
    <row r="764" s="1071" customFormat="1"/>
    <row r="765" s="1071" customFormat="1"/>
    <row r="766" s="1071" customFormat="1"/>
    <row r="767" s="1071" customFormat="1"/>
    <row r="768" s="1071" customFormat="1"/>
    <row r="769" s="1071" customFormat="1"/>
    <row r="770" s="1071" customFormat="1"/>
    <row r="771" s="1071" customFormat="1"/>
    <row r="772" s="1071" customFormat="1"/>
    <row r="773" s="1071" customFormat="1"/>
    <row r="774" s="1071" customFormat="1"/>
    <row r="775" s="1071" customFormat="1"/>
    <row r="776" s="1071" customFormat="1"/>
    <row r="777" s="1071" customFormat="1"/>
    <row r="778" s="1071" customFormat="1"/>
    <row r="779" s="1071" customFormat="1"/>
    <row r="780" s="1071" customFormat="1"/>
    <row r="781" s="1071" customFormat="1"/>
    <row r="782" s="1071" customFormat="1"/>
    <row r="783" s="1071" customFormat="1"/>
    <row r="784" s="1071" customFormat="1"/>
    <row r="785" s="1071" customFormat="1"/>
    <row r="786" s="1071" customFormat="1"/>
    <row r="787" s="1071" customFormat="1"/>
    <row r="788" s="1071" customFormat="1"/>
    <row r="789" s="1071" customFormat="1"/>
    <row r="790" s="1071" customFormat="1"/>
    <row r="791" s="1071" customFormat="1"/>
    <row r="792" s="1071" customFormat="1"/>
    <row r="793" s="1071" customFormat="1"/>
    <row r="794" s="1071" customFormat="1"/>
    <row r="795" s="1071" customFormat="1"/>
    <row r="796" s="1071" customFormat="1"/>
    <row r="797" s="1071" customFormat="1"/>
    <row r="798" s="1071" customFormat="1"/>
    <row r="799" s="1071" customFormat="1"/>
    <row r="800" s="1071" customFormat="1"/>
    <row r="801" s="1071" customFormat="1"/>
    <row r="802" s="1071" customFormat="1"/>
    <row r="803" s="1071" customFormat="1"/>
    <row r="804" s="1071" customFormat="1"/>
    <row r="805" s="1071" customFormat="1"/>
    <row r="806" s="1071" customFormat="1"/>
    <row r="807" s="1071" customFormat="1"/>
    <row r="808" s="1071" customFormat="1"/>
    <row r="809" s="1071" customFormat="1"/>
    <row r="810" s="1071" customFormat="1"/>
    <row r="811" s="1071" customFormat="1"/>
    <row r="812" s="1071" customFormat="1"/>
    <row r="813" s="1071" customFormat="1"/>
    <row r="814" s="1071" customFormat="1"/>
    <row r="815" s="1071" customFormat="1"/>
    <row r="816" s="1071" customFormat="1"/>
    <row r="817" s="1071" customFormat="1"/>
    <row r="818" s="1071" customFormat="1"/>
    <row r="819" s="1071" customFormat="1"/>
    <row r="820" s="1071" customFormat="1"/>
    <row r="821" s="1071" customFormat="1"/>
    <row r="822" s="1071" customFormat="1"/>
    <row r="823" s="1071" customFormat="1"/>
    <row r="824" s="1071" customFormat="1"/>
    <row r="825" s="1071" customFormat="1"/>
    <row r="826" s="1071" customFormat="1"/>
    <row r="827" s="1071" customFormat="1"/>
    <row r="828" s="1071" customFormat="1"/>
    <row r="829" s="1071" customFormat="1"/>
    <row r="830" s="1071" customFormat="1"/>
    <row r="831" s="1071" customFormat="1"/>
    <row r="832" s="1071" customFormat="1"/>
    <row r="833" s="1071" customFormat="1"/>
    <row r="834" s="1071" customFormat="1"/>
    <row r="835" s="1071" customFormat="1"/>
    <row r="836" s="1071" customFormat="1"/>
    <row r="837" s="1071" customFormat="1"/>
    <row r="838" s="1071" customFormat="1"/>
    <row r="839" s="1071" customFormat="1"/>
    <row r="840" s="1071" customFormat="1"/>
    <row r="841" s="1071" customFormat="1"/>
    <row r="842" s="1071" customFormat="1"/>
    <row r="843" s="1071" customFormat="1"/>
    <row r="844" s="1071" customFormat="1"/>
    <row r="845" s="1071" customFormat="1"/>
    <row r="846" s="1071" customFormat="1"/>
    <row r="847" s="1071" customFormat="1"/>
    <row r="848" s="1071" customFormat="1"/>
    <row r="849" s="1071" customFormat="1"/>
    <row r="850" s="1071" customFormat="1"/>
    <row r="851" s="1071" customFormat="1"/>
    <row r="852" s="1071" customFormat="1"/>
    <row r="853" s="1071" customFormat="1"/>
    <row r="854" s="1071" customFormat="1"/>
    <row r="855" s="1071" customFormat="1"/>
    <row r="856" s="1071" customFormat="1"/>
    <row r="857" s="1071" customFormat="1"/>
    <row r="858" s="1071" customFormat="1"/>
    <row r="859" s="1071" customFormat="1"/>
    <row r="860" s="1071" customFormat="1"/>
    <row r="861" s="1071" customFormat="1"/>
    <row r="862" s="1071" customFormat="1"/>
    <row r="863" s="1071" customFormat="1"/>
    <row r="864" s="1071" customFormat="1"/>
    <row r="865" s="1071" customFormat="1"/>
    <row r="866" s="1071" customFormat="1"/>
    <row r="867" s="1071" customFormat="1"/>
    <row r="868" s="1071" customFormat="1"/>
    <row r="869" s="1071" customFormat="1"/>
    <row r="870" s="1071" customFormat="1"/>
    <row r="871" s="1071" customFormat="1"/>
    <row r="872" s="1071" customFormat="1"/>
    <row r="873" s="1071" customFormat="1"/>
    <row r="874" s="1071" customFormat="1"/>
    <row r="875" s="1071" customFormat="1"/>
    <row r="876" s="1071" customFormat="1"/>
    <row r="877" s="1071" customFormat="1"/>
    <row r="878" s="1071" customFormat="1"/>
    <row r="879" s="1071" customFormat="1"/>
    <row r="880" s="1071" customFormat="1"/>
    <row r="881" s="1071" customFormat="1"/>
    <row r="882" s="1071" customFormat="1"/>
    <row r="883" s="1071" customFormat="1"/>
    <row r="884" s="1071" customFormat="1"/>
    <row r="885" s="1071" customFormat="1"/>
    <row r="886" s="1071" customFormat="1"/>
    <row r="887" s="1071" customFormat="1"/>
    <row r="888" s="1071" customFormat="1"/>
    <row r="889" s="1071" customFormat="1"/>
    <row r="890" s="1071" customFormat="1"/>
    <row r="891" s="1071" customFormat="1"/>
    <row r="892" s="1071" customFormat="1"/>
    <row r="893" s="1071" customFormat="1"/>
    <row r="894" s="1071" customFormat="1"/>
    <row r="895" s="1071" customFormat="1"/>
    <row r="896" s="1071" customFormat="1"/>
    <row r="897" s="1071" customFormat="1"/>
    <row r="898" s="1071" customFormat="1"/>
    <row r="899" s="1071" customFormat="1"/>
    <row r="900" s="1071" customFormat="1"/>
    <row r="901" s="1071" customFormat="1"/>
    <row r="902" s="1071" customFormat="1"/>
    <row r="903" s="1071" customFormat="1"/>
    <row r="904" s="1071" customFormat="1"/>
    <row r="905" s="1071" customFormat="1"/>
    <row r="906" s="1071" customFormat="1"/>
    <row r="907" s="1071" customFormat="1"/>
    <row r="908" s="1071" customFormat="1"/>
    <row r="909" s="1071" customFormat="1"/>
    <row r="910" s="1071" customFormat="1"/>
    <row r="911" s="1071" customFormat="1"/>
    <row r="912" s="1071" customFormat="1"/>
    <row r="913" s="1071" customFormat="1"/>
    <row r="914" s="1071" customFormat="1"/>
    <row r="915" s="1071" customFormat="1"/>
    <row r="916" s="1071" customFormat="1"/>
    <row r="917" s="1071" customFormat="1"/>
    <row r="918" s="1071" customFormat="1"/>
    <row r="919" s="1071" customFormat="1"/>
    <row r="920" s="1071" customFormat="1"/>
    <row r="921" s="1071" customFormat="1"/>
    <row r="922" s="1071" customFormat="1"/>
    <row r="923" s="1071" customFormat="1"/>
    <row r="924" s="1071" customFormat="1"/>
    <row r="925" s="1071" customFormat="1"/>
    <row r="926" s="1071" customFormat="1"/>
    <row r="927" s="1071" customFormat="1"/>
    <row r="928" s="1071" customFormat="1"/>
    <row r="929" s="1071" customFormat="1"/>
    <row r="930" s="1071" customFormat="1"/>
    <row r="931" s="1071" customFormat="1"/>
    <row r="932" s="1071" customFormat="1"/>
    <row r="933" s="1071" customFormat="1"/>
    <row r="934" s="1071" customFormat="1"/>
    <row r="935" s="1071" customFormat="1"/>
    <row r="936" s="1071" customFormat="1"/>
    <row r="937" s="1071" customFormat="1"/>
    <row r="938" s="1071" customFormat="1"/>
    <row r="939" s="1071" customFormat="1"/>
    <row r="940" s="1071" customFormat="1"/>
    <row r="941" s="1071" customFormat="1"/>
    <row r="942" s="1071" customFormat="1"/>
    <row r="943" s="1071" customFormat="1"/>
    <row r="944" s="1071" customFormat="1"/>
    <row r="945" s="1071" customFormat="1"/>
    <row r="946" s="1071" customFormat="1"/>
    <row r="947" s="1071" customFormat="1"/>
    <row r="948" s="1071" customFormat="1"/>
    <row r="949" s="1071" customFormat="1"/>
    <row r="950" s="1071" customFormat="1"/>
    <row r="951" s="1071" customFormat="1"/>
    <row r="952" s="1071" customFormat="1"/>
    <row r="953" s="1071" customFormat="1"/>
    <row r="954" s="1071" customFormat="1"/>
    <row r="955" s="1071" customFormat="1"/>
    <row r="956" s="1071" customFormat="1"/>
    <row r="957" s="1071" customFormat="1"/>
    <row r="958" s="1071" customFormat="1"/>
    <row r="959" s="1071" customFormat="1"/>
    <row r="960" s="1071" customFormat="1"/>
    <row r="961" s="1071" customFormat="1"/>
    <row r="962" s="1071" customFormat="1"/>
    <row r="963" s="1071" customFormat="1"/>
    <row r="964" s="1071" customFormat="1"/>
    <row r="965" s="1071" customFormat="1"/>
    <row r="966" s="1071" customFormat="1"/>
    <row r="967" s="1071" customFormat="1"/>
    <row r="968" s="1071" customFormat="1"/>
    <row r="969" s="1071" customFormat="1"/>
    <row r="970" s="1071" customFormat="1"/>
    <row r="971" s="1071" customFormat="1"/>
    <row r="972" s="1071" customFormat="1"/>
    <row r="973" s="1071" customFormat="1"/>
    <row r="974" s="1071" customFormat="1"/>
    <row r="975" s="1071" customFormat="1"/>
    <row r="976" s="1071" customFormat="1"/>
    <row r="977" s="1071" customFormat="1"/>
    <row r="978" s="1071" customFormat="1"/>
    <row r="979" s="1071" customFormat="1"/>
    <row r="980" s="1071" customFormat="1"/>
    <row r="981" s="1071" customFormat="1"/>
    <row r="982" s="1071" customFormat="1"/>
    <row r="983" s="1071" customFormat="1"/>
    <row r="984" s="1071" customFormat="1"/>
    <row r="985" s="1071" customFormat="1"/>
    <row r="986" s="1071" customFormat="1"/>
    <row r="987" s="1071" customFormat="1"/>
    <row r="988" s="1071" customFormat="1"/>
    <row r="989" s="1071" customFormat="1"/>
    <row r="990" s="1071" customFormat="1"/>
    <row r="991" s="1071" customFormat="1"/>
    <row r="992" s="1071" customFormat="1"/>
    <row r="993" s="1071" customFormat="1"/>
    <row r="994" s="1071" customFormat="1"/>
    <row r="995" s="1071" customFormat="1"/>
    <row r="996" s="1071" customFormat="1"/>
    <row r="997" s="1071" customFormat="1"/>
    <row r="998" s="1071" customFormat="1"/>
    <row r="999" s="1071" customFormat="1"/>
    <row r="1000" s="1071" customFormat="1"/>
    <row r="1001" s="1071" customFormat="1"/>
    <row r="1002" s="1071" customFormat="1"/>
    <row r="1003" s="1071" customFormat="1"/>
    <row r="1004" s="1071" customFormat="1"/>
    <row r="1005" s="1071" customFormat="1"/>
    <row r="1006" s="1071" customFormat="1"/>
    <row r="1007" s="1071" customFormat="1"/>
    <row r="1008" s="1071" customFormat="1"/>
    <row r="1009" s="1071" customFormat="1"/>
    <row r="1010" s="1071" customFormat="1"/>
    <row r="1011" s="1071" customFormat="1"/>
    <row r="1012" s="1071" customFormat="1"/>
    <row r="1013" s="1071" customFormat="1"/>
    <row r="1014" s="1071" customFormat="1"/>
    <row r="1015" s="1071" customFormat="1"/>
    <row r="1016" s="1071" customFormat="1"/>
    <row r="1017" s="1071" customFormat="1"/>
    <row r="1018" s="1071" customFormat="1"/>
    <row r="1019" s="1071" customFormat="1"/>
    <row r="1020" s="1071" customFormat="1"/>
    <row r="1021" s="1071" customFormat="1"/>
    <row r="1022" s="1071" customFormat="1"/>
    <row r="1023" s="1071" customFormat="1"/>
    <row r="1024" s="1071" customFormat="1"/>
    <row r="1025" s="1071" customFormat="1"/>
    <row r="1026" s="1071" customFormat="1"/>
    <row r="1027" s="1071" customFormat="1"/>
    <row r="1028" s="1071" customFormat="1"/>
    <row r="1029" s="1071" customFormat="1"/>
    <row r="1030" s="1071" customFormat="1"/>
    <row r="1031" s="1071" customFormat="1"/>
    <row r="1032" s="1071" customFormat="1"/>
    <row r="1033" s="1071" customFormat="1"/>
    <row r="1034" s="1071" customFormat="1"/>
    <row r="1035" s="1071" customFormat="1"/>
    <row r="1036" s="1071" customFormat="1"/>
    <row r="1037" s="1071" customFormat="1"/>
    <row r="1038" s="1071" customFormat="1"/>
    <row r="1039" s="1071" customFormat="1"/>
    <row r="1040" s="1071" customFormat="1"/>
    <row r="1041" s="1071" customFormat="1"/>
    <row r="1042" s="1071" customFormat="1"/>
    <row r="1043" s="1071" customFormat="1"/>
    <row r="1044" s="1071" customFormat="1"/>
    <row r="1045" s="1071" customFormat="1"/>
    <row r="1046" s="1071" customFormat="1"/>
    <row r="1047" s="1071" customFormat="1"/>
    <row r="1048" s="1071" customFormat="1"/>
    <row r="1049" s="1071" customFormat="1"/>
    <row r="1050" s="1071" customFormat="1"/>
    <row r="1051" s="1071" customFormat="1"/>
    <row r="1052" s="1071" customFormat="1"/>
    <row r="1053" s="1071" customFormat="1"/>
    <row r="1054" s="1071" customFormat="1"/>
    <row r="1055" s="1071" customFormat="1"/>
    <row r="1056" s="1071" customFormat="1"/>
    <row r="1057" s="1071" customFormat="1"/>
    <row r="1058" s="1071" customFormat="1"/>
    <row r="1059" s="1071" customFormat="1"/>
    <row r="1060" s="1071" customFormat="1"/>
    <row r="1061" s="1071" customFormat="1"/>
    <row r="1062" s="1071" customFormat="1"/>
    <row r="1063" s="1071" customFormat="1"/>
    <row r="1064" s="1071" customFormat="1"/>
    <row r="1065" s="1071" customFormat="1"/>
    <row r="1066" s="1071" customFormat="1"/>
    <row r="1067" s="1071" customFormat="1"/>
    <row r="1068" s="1071" customFormat="1"/>
    <row r="1069" s="1071" customFormat="1"/>
    <row r="1070" s="1071" customFormat="1"/>
    <row r="1071" s="1071" customFormat="1"/>
    <row r="1072" s="1071" customFormat="1"/>
    <row r="1073" s="1071" customFormat="1"/>
    <row r="1074" s="1071" customFormat="1"/>
    <row r="1075" s="1071" customFormat="1"/>
    <row r="1076" s="1071" customFormat="1"/>
    <row r="1077" s="1071" customFormat="1"/>
    <row r="1078" s="1071" customFormat="1"/>
    <row r="1079" s="1071" customFormat="1"/>
    <row r="1080" s="1071" customFormat="1"/>
    <row r="1081" s="1071" customFormat="1"/>
    <row r="1082" s="1071" customFormat="1"/>
    <row r="1083" s="1071" customFormat="1"/>
    <row r="1084" s="1071" customFormat="1"/>
    <row r="1085" s="1071" customFormat="1"/>
    <row r="1086" s="1071" customFormat="1"/>
    <row r="1087" s="1071" customFormat="1"/>
    <row r="1088" s="1071" customFormat="1"/>
    <row r="1089" s="1071" customFormat="1"/>
    <row r="1090" s="1071" customFormat="1"/>
    <row r="1091" s="1071" customFormat="1"/>
    <row r="1092" s="1071" customFormat="1"/>
    <row r="1093" s="1071" customFormat="1"/>
    <row r="1094" s="1071" customFormat="1"/>
    <row r="1095" s="1071" customFormat="1"/>
    <row r="1096" s="1071" customFormat="1"/>
    <row r="1097" s="1071" customFormat="1"/>
    <row r="1098" s="1071" customFormat="1"/>
    <row r="1099" s="1071" customFormat="1"/>
    <row r="1100" s="1071" customFormat="1"/>
    <row r="1101" s="1071" customFormat="1"/>
    <row r="1102" s="1071" customFormat="1"/>
    <row r="1103" s="1071" customFormat="1"/>
    <row r="1104" s="1071" customFormat="1"/>
    <row r="1105" s="1071" customFormat="1"/>
    <row r="1106" s="1071" customFormat="1"/>
    <row r="1107" s="1071" customFormat="1"/>
    <row r="1108" s="1071" customFormat="1"/>
    <row r="1109" s="1071" customFormat="1"/>
    <row r="1110" s="1071" customFormat="1"/>
    <row r="1111" s="1071" customFormat="1"/>
    <row r="1112" s="1071" customFormat="1"/>
    <row r="1113" s="1071" customFormat="1"/>
    <row r="1114" s="1071" customFormat="1"/>
    <row r="1115" s="1071" customFormat="1"/>
    <row r="1116" s="1071" customFormat="1"/>
    <row r="1117" s="1071" customFormat="1"/>
    <row r="1118" s="1071" customFormat="1"/>
    <row r="1119" s="1071" customFormat="1"/>
    <row r="1120" s="1071" customFormat="1"/>
    <row r="1121" s="1071" customFormat="1"/>
    <row r="1122" s="1071" customFormat="1"/>
    <row r="1123" s="1071" customFormat="1"/>
    <row r="1124" s="1071" customFormat="1"/>
    <row r="1125" s="1071" customFormat="1"/>
    <row r="1126" s="1071" customFormat="1"/>
    <row r="1127" s="1071" customFormat="1"/>
    <row r="1128" s="1071" customFormat="1"/>
    <row r="1129" s="1071" customFormat="1"/>
    <row r="1130" s="1071" customFormat="1"/>
    <row r="1131" s="1071" customFormat="1"/>
    <row r="1132" s="1071" customFormat="1"/>
    <row r="1133" s="1071" customFormat="1"/>
    <row r="1134" s="1071" customFormat="1"/>
    <row r="1135" s="1071" customFormat="1"/>
    <row r="1136" s="1071" customFormat="1"/>
    <row r="1137" s="1071" customFormat="1"/>
    <row r="1138" s="1071" customFormat="1"/>
    <row r="1139" s="1071" customFormat="1"/>
    <row r="1140" s="1071" customFormat="1"/>
    <row r="1141" s="1071" customFormat="1"/>
    <row r="1142" s="1071" customFormat="1"/>
    <row r="1143" s="1071" customFormat="1"/>
    <row r="1144" s="1071" customFormat="1"/>
    <row r="1145" s="1071" customFormat="1"/>
    <row r="1146" s="1071" customFormat="1"/>
    <row r="1147" s="1071" customFormat="1"/>
    <row r="1148" s="1071" customFormat="1"/>
    <row r="1149" s="1071" customFormat="1"/>
    <row r="1150" s="1071" customFormat="1"/>
    <row r="1151" s="1071" customFormat="1"/>
    <row r="1152" s="1071" customFormat="1"/>
    <row r="1153" s="1071" customFormat="1"/>
    <row r="1154" s="1071" customFormat="1"/>
    <row r="1155" s="1071" customFormat="1"/>
    <row r="1156" s="1071" customFormat="1"/>
    <row r="1157" s="1071" customFormat="1"/>
    <row r="1158" s="1071" customFormat="1"/>
    <row r="1159" s="1071" customFormat="1"/>
    <row r="1160" s="1071" customFormat="1"/>
    <row r="1161" s="1071" customFormat="1"/>
    <row r="1162" s="1071" customFormat="1"/>
    <row r="1163" s="1071" customFormat="1"/>
    <row r="1164" s="1071" customFormat="1"/>
    <row r="1165" s="1071" customFormat="1"/>
    <row r="1166" s="1071" customFormat="1"/>
    <row r="1167" s="1071" customFormat="1"/>
    <row r="1168" s="1071" customFormat="1"/>
    <row r="1169" s="1071" customFormat="1"/>
    <row r="1170" s="1071" customFormat="1"/>
    <row r="1171" s="1071" customFormat="1"/>
    <row r="1172" s="1071" customFormat="1"/>
    <row r="1173" s="1071" customFormat="1"/>
    <row r="1174" s="1071" customFormat="1"/>
    <row r="1175" s="1071" customFormat="1"/>
    <row r="1176" s="1071" customFormat="1"/>
    <row r="1177" s="1071" customFormat="1"/>
    <row r="1178" s="1071" customFormat="1"/>
    <row r="1179" s="1071" customFormat="1"/>
    <row r="1180" s="1071" customFormat="1"/>
    <row r="1181" s="1071" customFormat="1"/>
    <row r="1182" s="1071" customFormat="1"/>
    <row r="1183" s="1071" customFormat="1"/>
    <row r="1184" s="1071" customFormat="1"/>
    <row r="1185" s="1071" customFormat="1"/>
    <row r="1186" s="1071" customFormat="1"/>
    <row r="1187" s="1071" customFormat="1"/>
    <row r="1188" s="1071" customFormat="1"/>
    <row r="1189" s="1071" customFormat="1"/>
    <row r="1190" s="1071" customFormat="1"/>
    <row r="1191" s="1071" customFormat="1"/>
    <row r="1192" s="1071" customFormat="1"/>
    <row r="1193" s="1071" customFormat="1"/>
    <row r="1194" s="1071" customFormat="1"/>
    <row r="1195" s="1071" customFormat="1"/>
    <row r="1196" s="1071" customFormat="1"/>
    <row r="1197" s="1071" customFormat="1"/>
    <row r="1198" s="1071" customFormat="1"/>
    <row r="1199" s="1071" customFormat="1"/>
    <row r="1200" s="1071" customFormat="1"/>
    <row r="1201" s="1071" customFormat="1"/>
    <row r="1202" s="1071" customFormat="1"/>
    <row r="1203" s="1071" customFormat="1"/>
    <row r="1204" s="1071" customFormat="1"/>
    <row r="1205" s="1071" customFormat="1"/>
    <row r="1206" s="1071" customFormat="1"/>
    <row r="1207" s="1071" customFormat="1"/>
    <row r="1208" s="1071" customFormat="1"/>
    <row r="1209" s="1071" customFormat="1"/>
    <row r="1210" s="1071" customFormat="1"/>
    <row r="1211" s="1071" customFormat="1"/>
    <row r="1212" s="1071" customFormat="1"/>
    <row r="1213" s="1071" customFormat="1"/>
    <row r="1214" s="1071" customFormat="1"/>
    <row r="1215" s="1071" customFormat="1"/>
    <row r="1216" s="1071" customFormat="1"/>
    <row r="1217" s="1071" customFormat="1"/>
    <row r="1218" s="1071" customFormat="1"/>
    <row r="1219" s="1071" customFormat="1"/>
    <row r="1220" s="1071" customFormat="1"/>
    <row r="1221" s="1071" customFormat="1"/>
    <row r="1222" s="1071" customFormat="1"/>
    <row r="1223" s="1071" customFormat="1"/>
    <row r="1224" s="1071" customFormat="1"/>
    <row r="1225" s="1071" customFormat="1"/>
    <row r="1226" s="1071" customFormat="1"/>
    <row r="1227" s="1071" customFormat="1"/>
    <row r="1228" s="1071" customFormat="1"/>
    <row r="1229" s="1071" customFormat="1"/>
    <row r="1230" s="1071" customFormat="1"/>
    <row r="1231" s="1071" customFormat="1"/>
    <row r="1232" s="1071" customFormat="1"/>
    <row r="1233" s="1071" customFormat="1"/>
    <row r="1234" s="1071" customFormat="1"/>
    <row r="1235" s="1071" customFormat="1"/>
    <row r="1236" s="1071" customFormat="1"/>
    <row r="1237" s="1071" customFormat="1"/>
    <row r="1238" s="1071" customFormat="1"/>
    <row r="1239" s="1071" customFormat="1"/>
    <row r="1240" s="1071" customFormat="1"/>
    <row r="1241" s="1071" customFormat="1"/>
    <row r="1242" s="1071" customFormat="1"/>
    <row r="1243" s="1071" customFormat="1"/>
    <row r="1244" s="1071" customFormat="1"/>
    <row r="1245" s="1071" customFormat="1"/>
    <row r="1246" s="1071" customFormat="1"/>
    <row r="1247" s="1071" customFormat="1"/>
    <row r="1248" s="1071" customFormat="1"/>
    <row r="1249" s="1071" customFormat="1"/>
    <row r="1250" s="1071" customFormat="1"/>
    <row r="1251" s="1071" customFormat="1"/>
    <row r="1252" s="1071" customFormat="1"/>
    <row r="1253" s="1071" customFormat="1"/>
    <row r="1254" s="1071" customFormat="1"/>
    <row r="1255" s="1071" customFormat="1"/>
    <row r="1256" s="1071" customFormat="1"/>
    <row r="1257" s="1071" customFormat="1"/>
    <row r="1258" s="1071" customFormat="1"/>
    <row r="1259" s="1071" customFormat="1"/>
    <row r="1260" s="1071" customFormat="1"/>
    <row r="1261" s="1071" customFormat="1"/>
    <row r="1262" s="1071" customFormat="1"/>
    <row r="1263" s="1071" customFormat="1"/>
    <row r="1264" s="1071" customFormat="1"/>
    <row r="1265" s="1071" customFormat="1"/>
    <row r="1266" s="1071" customFormat="1"/>
    <row r="1267" s="1071" customFormat="1"/>
    <row r="1268" s="1071" customFormat="1"/>
    <row r="1269" s="1071" customFormat="1"/>
    <row r="1270" s="1071" customFormat="1"/>
    <row r="1271" s="1071" customFormat="1"/>
    <row r="1272" s="1071" customFormat="1"/>
    <row r="1273" s="1071" customFormat="1"/>
    <row r="1274" s="1071" customFormat="1"/>
    <row r="1275" s="1071" customFormat="1"/>
    <row r="1276" s="1071" customFormat="1"/>
    <row r="1277" s="1071" customFormat="1"/>
    <row r="1278" s="1071" customFormat="1"/>
    <row r="1279" s="1071" customFormat="1"/>
    <row r="1280" s="1071" customFormat="1"/>
    <row r="1281" s="1071" customFormat="1"/>
    <row r="1282" s="1071" customFormat="1"/>
    <row r="1283" s="1071" customFormat="1"/>
    <row r="1284" s="1071" customFormat="1"/>
    <row r="1285" s="1071" customFormat="1"/>
    <row r="1286" s="1071" customFormat="1"/>
    <row r="1287" s="1071" customFormat="1"/>
    <row r="1288" s="1071" customFormat="1"/>
    <row r="1289" s="1071" customFormat="1"/>
    <row r="1290" s="1071" customFormat="1"/>
    <row r="1291" s="1071" customFormat="1"/>
    <row r="1292" s="1071" customFormat="1"/>
    <row r="1293" s="1071" customFormat="1"/>
    <row r="1294" s="1071" customFormat="1"/>
    <row r="1295" s="1071" customFormat="1"/>
    <row r="1296" s="1071" customFormat="1"/>
    <row r="1297" s="1071" customFormat="1"/>
    <row r="1298" s="1071" customFormat="1"/>
    <row r="1299" s="1071" customFormat="1"/>
    <row r="1300" s="1071" customFormat="1"/>
    <row r="1301" s="1071" customFormat="1"/>
    <row r="1302" s="1071" customFormat="1"/>
    <row r="1303" s="1071" customFormat="1"/>
    <row r="1304" s="1071" customFormat="1"/>
    <row r="1305" s="1071" customFormat="1"/>
    <row r="1306" s="1071" customFormat="1"/>
    <row r="1307" s="1071" customFormat="1"/>
    <row r="1308" s="1071" customFormat="1"/>
    <row r="1309" s="1071" customFormat="1"/>
    <row r="1310" s="1071" customFormat="1"/>
    <row r="1311" s="1071" customFormat="1"/>
    <row r="1312" s="1071" customFormat="1"/>
    <row r="1313" s="1071" customFormat="1"/>
    <row r="1314" s="1071" customFormat="1"/>
    <row r="1315" s="1071" customFormat="1"/>
    <row r="1316" s="1071" customFormat="1"/>
    <row r="1317" s="1071" customFormat="1"/>
    <row r="1318" s="1071" customFormat="1"/>
    <row r="1319" s="1071" customFormat="1"/>
    <row r="1320" s="1071" customFormat="1"/>
    <row r="1321" s="1071" customFormat="1"/>
    <row r="1322" s="1071" customFormat="1"/>
    <row r="1323" s="1071" customFormat="1"/>
    <row r="1324" s="1071" customFormat="1"/>
    <row r="1325" s="1071" customFormat="1"/>
    <row r="1326" s="1071" customFormat="1"/>
    <row r="1327" s="1071" customFormat="1"/>
    <row r="1328" s="1071" customFormat="1"/>
    <row r="1329" s="1071" customFormat="1"/>
    <row r="1330" s="1071" customFormat="1"/>
    <row r="1331" s="1071" customFormat="1"/>
    <row r="1332" s="1071" customFormat="1"/>
    <row r="1333" s="1071" customFormat="1"/>
    <row r="1334" s="1071" customFormat="1"/>
    <row r="1335" s="1071" customFormat="1"/>
    <row r="1336" s="1071" customFormat="1"/>
    <row r="1337" s="1071" customFormat="1"/>
    <row r="1338" s="1071" customFormat="1"/>
    <row r="1339" s="1071" customFormat="1"/>
    <row r="1340" s="1071" customFormat="1"/>
    <row r="1341" s="1071" customFormat="1"/>
    <row r="1342" s="1071" customFormat="1"/>
    <row r="1343" s="1071" customFormat="1"/>
    <row r="1344" s="1071" customFormat="1"/>
    <row r="1345" s="1071" customFormat="1"/>
    <row r="1346" s="1071" customFormat="1"/>
    <row r="1347" s="1071" customFormat="1"/>
    <row r="1348" s="1071" customFormat="1"/>
    <row r="1349" s="1071" customFormat="1"/>
    <row r="1350" s="1071" customFormat="1"/>
    <row r="1351" s="1071" customFormat="1"/>
    <row r="1352" s="1071" customFormat="1"/>
    <row r="1353" s="1071" customFormat="1"/>
    <row r="1354" s="1071" customFormat="1"/>
    <row r="1355" s="1071" customFormat="1"/>
    <row r="1356" s="1071" customFormat="1"/>
    <row r="1357" s="1071" customFormat="1"/>
    <row r="1358" s="1071" customFormat="1"/>
    <row r="1359" s="1071" customFormat="1"/>
    <row r="1360" s="1071" customFormat="1"/>
    <row r="1361" s="1071" customFormat="1"/>
    <row r="1362" s="1071" customFormat="1"/>
    <row r="1363" s="1071" customFormat="1"/>
    <row r="1364" s="1071" customFormat="1"/>
    <row r="1365" s="1071" customFormat="1"/>
    <row r="1366" s="1071" customFormat="1"/>
    <row r="1367" s="1071" customFormat="1"/>
    <row r="1368" s="1071" customFormat="1"/>
    <row r="1369" s="1071" customFormat="1"/>
    <row r="1370" s="1071" customFormat="1"/>
    <row r="1371" s="1071" customFormat="1"/>
    <row r="1372" s="1071" customFormat="1"/>
    <row r="1373" s="1071" customFormat="1"/>
    <row r="1374" s="1071" customFormat="1"/>
    <row r="1375" s="1071" customFormat="1"/>
    <row r="1376" s="1071" customFormat="1"/>
    <row r="1377" s="1071" customFormat="1"/>
    <row r="1378" s="1071" customFormat="1"/>
    <row r="1379" s="1071" customFormat="1"/>
    <row r="1380" s="1071" customFormat="1"/>
    <row r="1381" s="1071" customFormat="1"/>
    <row r="1382" s="1071" customFormat="1"/>
    <row r="1383" s="1071" customFormat="1"/>
    <row r="1384" s="1071" customFormat="1"/>
    <row r="1385" s="1071" customFormat="1"/>
    <row r="1386" s="1071" customFormat="1"/>
    <row r="1387" s="1071" customFormat="1"/>
    <row r="1388" s="1071" customFormat="1"/>
    <row r="1389" s="1071" customFormat="1"/>
    <row r="1390" s="1071" customFormat="1"/>
    <row r="1391" s="1071" customFormat="1"/>
    <row r="1392" s="1071" customFormat="1"/>
    <row r="1393" s="1071" customFormat="1"/>
    <row r="1394" s="1071" customFormat="1"/>
    <row r="1395" s="1071" customFormat="1"/>
    <row r="1396" s="1071" customFormat="1"/>
    <row r="1397" s="1071" customFormat="1"/>
    <row r="1398" s="1071" customFormat="1"/>
    <row r="1399" s="1071" customFormat="1"/>
    <row r="1400" s="1071" customFormat="1"/>
    <row r="1401" s="1071" customFormat="1"/>
    <row r="1402" s="1071" customFormat="1"/>
    <row r="1403" s="1071" customFormat="1"/>
    <row r="1404" s="1071" customFormat="1"/>
    <row r="1405" s="1071" customFormat="1"/>
    <row r="1406" s="1071" customFormat="1"/>
    <row r="1407" s="1071" customFormat="1"/>
    <row r="1408" s="1071" customFormat="1"/>
    <row r="1409" s="1071" customFormat="1"/>
    <row r="1410" s="1071" customFormat="1"/>
    <row r="1411" s="1071" customFormat="1"/>
    <row r="1412" s="1071" customFormat="1"/>
    <row r="1413" s="1071" customFormat="1"/>
    <row r="1414" s="1071" customFormat="1"/>
    <row r="1415" s="1071" customFormat="1"/>
    <row r="1416" s="1071" customFormat="1"/>
    <row r="1417" s="1071" customFormat="1"/>
    <row r="1418" s="1071" customFormat="1"/>
    <row r="1419" s="1071" customFormat="1"/>
    <row r="1420" s="1071" customFormat="1"/>
    <row r="1421" s="1071" customFormat="1"/>
    <row r="1422" s="1071" customFormat="1"/>
    <row r="1423" s="1071" customFormat="1"/>
    <row r="1424" s="1071" customFormat="1"/>
    <row r="1425" s="1071" customFormat="1"/>
    <row r="1426" s="1071" customFormat="1"/>
    <row r="1427" s="1071" customFormat="1"/>
    <row r="1428" s="1071" customFormat="1"/>
    <row r="1429" s="1071" customFormat="1"/>
    <row r="1430" s="1071" customFormat="1"/>
    <row r="1431" s="1071" customFormat="1"/>
    <row r="1432" s="1071" customFormat="1"/>
    <row r="1433" s="1071" customFormat="1"/>
    <row r="1434" s="1071" customFormat="1"/>
    <row r="1435" s="1071" customFormat="1"/>
    <row r="1436" s="1071" customFormat="1"/>
    <row r="1437" s="1071" customFormat="1"/>
    <row r="1438" s="1071" customFormat="1"/>
    <row r="1439" s="1071" customFormat="1"/>
    <row r="1440" s="1071" customFormat="1"/>
    <row r="1441" s="1071" customFormat="1"/>
    <row r="1442" s="1071" customFormat="1"/>
    <row r="1443" s="1071" customFormat="1"/>
    <row r="1444" s="1071" customFormat="1"/>
    <row r="1445" s="1071" customFormat="1"/>
    <row r="1446" s="1071" customFormat="1"/>
    <row r="1447" s="1071" customFormat="1"/>
    <row r="1448" s="1071" customFormat="1"/>
    <row r="1449" s="1071" customFormat="1"/>
    <row r="1450" s="1071" customFormat="1"/>
    <row r="1451" s="1071" customFormat="1"/>
    <row r="1452" s="1071" customFormat="1"/>
    <row r="1453" s="1071" customFormat="1"/>
    <row r="1454" s="1071" customFormat="1"/>
    <row r="1455" s="1071" customFormat="1"/>
    <row r="1456" s="1071" customFormat="1"/>
    <row r="1457" s="1071" customFormat="1"/>
    <row r="1458" s="1071" customFormat="1"/>
    <row r="1459" s="1071" customFormat="1"/>
    <row r="1460" s="1071" customFormat="1"/>
    <row r="1461" s="1071" customFormat="1"/>
    <row r="1462" s="1071" customFormat="1"/>
    <row r="1463" s="1071" customFormat="1"/>
    <row r="1464" s="1071" customFormat="1"/>
    <row r="1465" s="1071" customFormat="1"/>
    <row r="1466" s="1071" customFormat="1"/>
    <row r="1467" s="1071" customFormat="1"/>
    <row r="1468" s="1071" customFormat="1"/>
    <row r="1469" s="1071" customFormat="1"/>
    <row r="1470" s="1071" customFormat="1"/>
    <row r="1471" s="1071" customFormat="1"/>
    <row r="1472" s="1071" customFormat="1"/>
    <row r="1473" s="1071" customFormat="1"/>
    <row r="1474" s="1071" customFormat="1"/>
    <row r="1475" s="1071" customFormat="1"/>
    <row r="1476" s="1071" customFormat="1"/>
    <row r="1477" s="1071" customFormat="1"/>
    <row r="1478" s="1071" customFormat="1"/>
    <row r="1479" s="1071" customFormat="1"/>
    <row r="1480" s="1071" customFormat="1"/>
    <row r="1481" s="1071" customFormat="1"/>
    <row r="1482" s="1071" customFormat="1"/>
    <row r="1483" s="1071" customFormat="1"/>
    <row r="1484" s="1071" customFormat="1"/>
    <row r="1485" s="1071" customFormat="1"/>
    <row r="1486" s="1071" customFormat="1"/>
    <row r="1487" s="1071" customFormat="1"/>
    <row r="1488" s="1071" customFormat="1"/>
    <row r="1489" s="1071" customFormat="1"/>
    <row r="1490" s="1071" customFormat="1"/>
    <row r="1491" s="1071" customFormat="1"/>
    <row r="1492" s="1071" customFormat="1"/>
    <row r="1493" s="1071" customFormat="1"/>
    <row r="1494" s="1071" customFormat="1"/>
    <row r="1495" s="1071" customFormat="1"/>
    <row r="1496" s="1071" customFormat="1"/>
    <row r="1497" s="1071" customFormat="1"/>
    <row r="1498" s="1071" customFormat="1"/>
    <row r="1499" s="1071" customFormat="1"/>
    <row r="1500" s="1071" customFormat="1"/>
    <row r="1501" s="1071" customFormat="1"/>
    <row r="1502" s="1071" customFormat="1"/>
    <row r="1503" s="1071" customFormat="1"/>
    <row r="1504" s="1071" customFormat="1"/>
    <row r="1505" s="1071" customFormat="1"/>
    <row r="1506" s="1071" customFormat="1"/>
    <row r="1507" s="1071" customFormat="1"/>
    <row r="1508" s="1071" customFormat="1"/>
    <row r="1509" s="1071" customFormat="1"/>
    <row r="1510" s="1071" customFormat="1"/>
    <row r="1511" s="1071" customFormat="1"/>
    <row r="1512" s="1071" customFormat="1"/>
    <row r="1513" s="1071" customFormat="1"/>
    <row r="1514" s="1071" customFormat="1"/>
    <row r="1515" s="1071" customFormat="1"/>
    <row r="1516" s="1071" customFormat="1"/>
    <row r="1517" s="1071" customFormat="1"/>
    <row r="1518" s="1071" customFormat="1"/>
    <row r="1519" s="1071" customFormat="1"/>
    <row r="1520" s="1071" customFormat="1"/>
    <row r="1521" s="1071" customFormat="1"/>
    <row r="1522" s="1071" customFormat="1"/>
    <row r="1523" s="1071" customFormat="1"/>
    <row r="1524" s="1071" customFormat="1"/>
    <row r="1525" s="1071" customFormat="1"/>
    <row r="1526" s="1071" customFormat="1"/>
    <row r="1527" s="1071" customFormat="1"/>
    <row r="1528" s="1071" customFormat="1"/>
    <row r="1529" s="1071" customFormat="1"/>
    <row r="1530" s="1071" customFormat="1"/>
    <row r="1531" s="1071" customFormat="1"/>
    <row r="1532" s="1071" customFormat="1"/>
    <row r="1533" s="1071" customFormat="1"/>
    <row r="1534" s="1071" customFormat="1"/>
    <row r="1535" s="1071" customFormat="1"/>
    <row r="1536" s="1071" customFormat="1"/>
    <row r="1537" s="1071" customFormat="1"/>
    <row r="1538" s="1071" customFormat="1"/>
    <row r="1539" s="1071" customFormat="1"/>
    <row r="1540" s="1071" customFormat="1"/>
    <row r="1541" s="1071" customFormat="1"/>
    <row r="1542" s="1071" customFormat="1"/>
    <row r="1543" s="1071" customFormat="1"/>
    <row r="1544" s="1071" customFormat="1"/>
    <row r="1545" s="1071" customFormat="1"/>
    <row r="1546" s="1071" customFormat="1"/>
    <row r="1547" s="1071" customFormat="1"/>
    <row r="1548" s="1071" customFormat="1"/>
    <row r="1549" s="1071" customFormat="1"/>
    <row r="1550" s="1071" customFormat="1"/>
    <row r="1551" s="1071" customFormat="1"/>
    <row r="1552" s="1071" customFormat="1"/>
    <row r="1553" s="1071" customFormat="1"/>
    <row r="1554" s="1071" customFormat="1"/>
    <row r="1555" s="1071" customFormat="1"/>
    <row r="1556" s="1071" customFormat="1"/>
    <row r="1557" s="1071" customFormat="1"/>
    <row r="1558" s="1071" customFormat="1"/>
    <row r="1559" s="1071" customFormat="1"/>
    <row r="1560" s="1071" customFormat="1"/>
    <row r="1561" s="1071" customFormat="1"/>
    <row r="1562" s="1071" customFormat="1"/>
    <row r="1563" s="1071" customFormat="1"/>
    <row r="1564" s="1071" customFormat="1"/>
    <row r="1565" s="1071" customFormat="1"/>
    <row r="1566" s="1071" customFormat="1"/>
    <row r="1567" s="1071" customFormat="1"/>
    <row r="1568" s="1071" customFormat="1"/>
    <row r="1569" s="1071" customFormat="1"/>
    <row r="1570" s="1071" customFormat="1"/>
    <row r="1571" s="1071" customFormat="1"/>
    <row r="1572" s="1071" customFormat="1"/>
    <row r="1573" s="1071" customFormat="1"/>
    <row r="1574" s="1071" customFormat="1"/>
    <row r="1575" s="1071" customFormat="1"/>
    <row r="1576" s="1071" customFormat="1"/>
    <row r="1577" s="1071" customFormat="1"/>
    <row r="1578" s="1071" customFormat="1"/>
    <row r="1579" s="1071" customFormat="1"/>
    <row r="1580" s="1071" customFormat="1"/>
    <row r="1581" s="1071" customFormat="1"/>
    <row r="1582" s="1071" customFormat="1"/>
    <row r="1583" s="1071" customFormat="1"/>
    <row r="1584" s="1071" customFormat="1"/>
    <row r="1585" s="1071" customFormat="1"/>
    <row r="1586" s="1071" customFormat="1"/>
    <row r="1587" s="1071" customFormat="1"/>
    <row r="1588" s="1071" customFormat="1"/>
    <row r="1589" s="1071" customFormat="1"/>
    <row r="1590" s="1071" customFormat="1"/>
    <row r="1591" s="1071" customFormat="1"/>
    <row r="1592" s="1071" customFormat="1"/>
    <row r="1593" s="1071" customFormat="1"/>
    <row r="1594" s="1071" customFormat="1"/>
    <row r="1595" s="1071" customFormat="1"/>
    <row r="1596" s="1071" customFormat="1"/>
    <row r="1597" s="1071" customFormat="1"/>
    <row r="1598" s="1071" customFormat="1"/>
    <row r="1599" s="1071" customFormat="1"/>
    <row r="1600" s="1071" customFormat="1"/>
    <row r="1601" s="1071" customFormat="1"/>
    <row r="1602" s="1071" customFormat="1"/>
    <row r="1603" s="1071" customFormat="1"/>
    <row r="1604" s="1071" customFormat="1"/>
    <row r="1605" s="1071" customFormat="1"/>
    <row r="1606" s="1071" customFormat="1"/>
    <row r="1607" s="1071" customFormat="1"/>
    <row r="1608" s="1071" customFormat="1"/>
    <row r="1609" s="1071" customFormat="1"/>
    <row r="1610" s="1071" customFormat="1"/>
    <row r="1611" s="1071" customFormat="1"/>
    <row r="1612" s="1071" customFormat="1"/>
    <row r="1613" s="1071" customFormat="1"/>
    <row r="1614" s="1071" customFormat="1"/>
    <row r="1615" s="1071" customFormat="1"/>
    <row r="1616" s="1071" customFormat="1"/>
    <row r="1617" s="1071" customFormat="1"/>
    <row r="1618" s="1071" customFormat="1"/>
    <row r="1619" s="1071" customFormat="1"/>
    <row r="1620" s="1071" customFormat="1"/>
    <row r="1621" s="1071" customFormat="1"/>
    <row r="1622" s="1071" customFormat="1"/>
    <row r="1623" s="1071" customFormat="1"/>
    <row r="1624" s="1071" customFormat="1"/>
    <row r="1625" s="1071" customFormat="1"/>
    <row r="1626" s="1071" customFormat="1"/>
    <row r="1627" s="1071" customFormat="1"/>
    <row r="1628" s="1071" customFormat="1"/>
    <row r="1629" s="1071" customFormat="1"/>
    <row r="1630" s="1071" customFormat="1"/>
    <row r="1631" s="1071" customFormat="1"/>
    <row r="1632" s="1071" customFormat="1"/>
    <row r="1633" s="1071" customFormat="1"/>
    <row r="1634" s="1071" customFormat="1"/>
    <row r="1635" s="1071" customFormat="1"/>
    <row r="1636" s="1071" customFormat="1"/>
    <row r="1637" s="1071" customFormat="1"/>
    <row r="1638" s="1071" customFormat="1"/>
    <row r="1639" s="1071" customFormat="1"/>
    <row r="1640" s="1071" customFormat="1"/>
    <row r="1641" s="1071" customFormat="1"/>
    <row r="1642" s="1071" customFormat="1"/>
    <row r="1643" s="1071" customFormat="1"/>
    <row r="1644" s="1071" customFormat="1"/>
    <row r="1645" s="1071" customFormat="1"/>
    <row r="1646" s="1071" customFormat="1"/>
    <row r="1647" s="1071" customFormat="1"/>
    <row r="1648" s="1071" customFormat="1"/>
    <row r="1649" s="1071" customFormat="1"/>
    <row r="1650" s="1071" customFormat="1"/>
    <row r="1651" s="1071" customFormat="1"/>
    <row r="1652" s="1071" customFormat="1"/>
    <row r="1653" s="1071" customFormat="1"/>
    <row r="1654" s="1071" customFormat="1"/>
    <row r="1655" s="1071" customFormat="1"/>
    <row r="1656" s="1071" customFormat="1"/>
    <row r="1657" s="1071" customFormat="1"/>
    <row r="1658" s="1071" customFormat="1"/>
    <row r="1659" s="1071" customFormat="1"/>
    <row r="1660" s="1071" customFormat="1"/>
    <row r="1661" s="1071" customFormat="1"/>
    <row r="1662" s="1071" customFormat="1"/>
    <row r="1663" s="1071" customFormat="1"/>
    <row r="1664" s="1071" customFormat="1"/>
    <row r="1665" s="1071" customFormat="1"/>
    <row r="1666" s="1071" customFormat="1"/>
    <row r="1667" s="1071" customFormat="1"/>
    <row r="1668" s="1071" customFormat="1"/>
    <row r="1669" s="1071" customFormat="1"/>
    <row r="1670" s="1071" customFormat="1"/>
    <row r="1671" s="1071" customFormat="1"/>
    <row r="1672" s="1071" customFormat="1"/>
    <row r="1673" s="1071" customFormat="1"/>
    <row r="1674" s="1071" customFormat="1"/>
    <row r="1675" s="1071" customFormat="1"/>
    <row r="1676" s="1071" customFormat="1"/>
    <row r="1677" s="1071" customFormat="1"/>
    <row r="1678" s="1071" customFormat="1"/>
    <row r="1679" s="1071" customFormat="1"/>
    <row r="1680" s="1071" customFormat="1"/>
    <row r="1681" s="1071" customFormat="1"/>
    <row r="1682" s="1071" customFormat="1"/>
    <row r="1683" s="1071" customFormat="1"/>
    <row r="1684" s="1071" customFormat="1"/>
    <row r="1685" s="1071" customFormat="1"/>
    <row r="1686" s="1071" customFormat="1"/>
    <row r="1687" s="1071" customFormat="1"/>
    <row r="1688" s="1071" customFormat="1"/>
    <row r="1689" s="1071" customFormat="1"/>
    <row r="1690" s="1071" customFormat="1"/>
    <row r="1691" s="1071" customFormat="1"/>
    <row r="1692" s="1071" customFormat="1"/>
    <row r="1693" s="1071" customFormat="1"/>
    <row r="1694" s="1071" customFormat="1"/>
    <row r="1695" s="1071" customFormat="1"/>
    <row r="1696" s="1071" customFormat="1"/>
    <row r="1697" s="1071" customFormat="1"/>
    <row r="1698" s="1071" customFormat="1"/>
    <row r="1699" s="1071" customFormat="1"/>
    <row r="1700" s="1071" customFormat="1"/>
    <row r="1701" s="1071" customFormat="1"/>
    <row r="1702" s="1071" customFormat="1"/>
    <row r="1703" s="1071" customFormat="1"/>
    <row r="1704" s="1071" customFormat="1"/>
    <row r="1705" s="1071" customFormat="1"/>
    <row r="1706" s="1071" customFormat="1"/>
    <row r="1707" s="1071" customFormat="1"/>
    <row r="1708" s="1071" customFormat="1"/>
    <row r="1709" s="1071" customFormat="1"/>
    <row r="1710" s="1071" customFormat="1"/>
    <row r="1711" s="1071" customFormat="1"/>
    <row r="1712" s="1071" customFormat="1"/>
    <row r="1713" s="1071" customFormat="1"/>
    <row r="1714" s="1071" customFormat="1"/>
    <row r="1715" s="1071" customFormat="1"/>
    <row r="1716" s="1071" customFormat="1"/>
    <row r="1717" s="1071" customFormat="1"/>
    <row r="1718" s="1071" customFormat="1"/>
    <row r="1719" s="1071" customFormat="1"/>
    <row r="1720" s="1071" customFormat="1"/>
    <row r="1721" s="1071" customFormat="1"/>
    <row r="1722" s="1071" customFormat="1"/>
    <row r="1723" s="1071" customFormat="1"/>
    <row r="1724" s="1071" customFormat="1"/>
    <row r="1725" s="1071" customFormat="1"/>
    <row r="1726" s="1071" customFormat="1"/>
    <row r="1727" s="1071" customFormat="1"/>
    <row r="1728" s="1071" customFormat="1"/>
    <row r="1729" s="1071" customFormat="1"/>
    <row r="1730" s="1071" customFormat="1"/>
    <row r="1731" s="1071" customFormat="1"/>
    <row r="1732" s="1071" customFormat="1"/>
    <row r="1733" s="1071" customFormat="1"/>
    <row r="1734" s="1071" customFormat="1"/>
    <row r="1735" s="1071" customFormat="1"/>
    <row r="1736" s="1071" customFormat="1"/>
    <row r="1737" s="1071" customFormat="1"/>
    <row r="1738" s="1071" customFormat="1"/>
    <row r="1739" s="1071" customFormat="1"/>
    <row r="1740" s="1071" customFormat="1"/>
    <row r="1741" s="1071" customFormat="1"/>
    <row r="1742" s="1071" customFormat="1"/>
    <row r="1743" s="1071" customFormat="1"/>
    <row r="1744" s="1071" customFormat="1"/>
    <row r="1745" s="1071" customFormat="1"/>
    <row r="1746" s="1071" customFormat="1"/>
    <row r="1747" s="1071" customFormat="1"/>
    <row r="1748" s="1071" customFormat="1"/>
    <row r="1749" s="1071" customFormat="1"/>
    <row r="1750" s="1071" customFormat="1"/>
    <row r="1751" s="1071" customFormat="1"/>
    <row r="1752" s="1071" customFormat="1"/>
    <row r="1753" s="1071" customFormat="1"/>
    <row r="1754" s="1071" customFormat="1"/>
    <row r="1755" s="1071" customFormat="1"/>
    <row r="1756" s="1071" customFormat="1"/>
    <row r="1757" s="1071" customFormat="1"/>
    <row r="1758" s="1071" customFormat="1"/>
    <row r="1759" s="1071" customFormat="1"/>
    <row r="1760" s="1071" customFormat="1"/>
    <row r="1761" s="1071" customFormat="1"/>
    <row r="1762" s="1071" customFormat="1"/>
    <row r="1763" s="1071" customFormat="1"/>
    <row r="1764" s="1071" customFormat="1"/>
    <row r="1765" s="1071" customFormat="1"/>
    <row r="1766" s="1071" customFormat="1"/>
    <row r="1767" s="1071" customFormat="1"/>
    <row r="1768" s="1071" customFormat="1"/>
    <row r="1769" s="1071" customFormat="1"/>
    <row r="1770" s="1071" customFormat="1"/>
    <row r="1771" s="1071" customFormat="1"/>
    <row r="1772" s="1071" customFormat="1"/>
    <row r="1773" s="1071" customFormat="1"/>
    <row r="1774" s="1071" customFormat="1"/>
    <row r="1775" s="1071" customFormat="1"/>
    <row r="1776" s="1071" customFormat="1"/>
    <row r="1777" s="1071" customFormat="1"/>
    <row r="1778" s="1071" customFormat="1"/>
    <row r="1779" s="1071" customFormat="1"/>
    <row r="1780" s="1071" customFormat="1"/>
    <row r="1781" s="1071" customFormat="1"/>
    <row r="1782" s="1071" customFormat="1"/>
    <row r="1783" s="1071" customFormat="1"/>
    <row r="1784" s="1071" customFormat="1"/>
    <row r="1785" s="1071" customFormat="1"/>
    <row r="1786" s="1071" customFormat="1"/>
    <row r="1787" s="1071" customFormat="1"/>
    <row r="1788" s="1071" customFormat="1"/>
    <row r="1789" s="1071" customFormat="1"/>
    <row r="1790" s="1071" customFormat="1"/>
    <row r="1791" s="1071" customFormat="1"/>
    <row r="1792" s="1071" customFormat="1"/>
    <row r="1793" s="1071" customFormat="1"/>
    <row r="1794" s="1071" customFormat="1"/>
    <row r="1795" s="1071" customFormat="1"/>
    <row r="1796" s="1071" customFormat="1"/>
    <row r="1797" s="1071" customFormat="1"/>
    <row r="1798" s="1071" customFormat="1"/>
    <row r="1799" s="1071" customFormat="1"/>
    <row r="1800" s="1071" customFormat="1"/>
    <row r="1801" s="1071" customFormat="1"/>
    <row r="1802" s="1071" customFormat="1"/>
    <row r="1803" s="1071" customFormat="1"/>
    <row r="1804" s="1071" customFormat="1"/>
    <row r="1805" s="1071" customFormat="1"/>
    <row r="1806" s="1071" customFormat="1"/>
    <row r="1807" s="1071" customFormat="1"/>
    <row r="1808" s="1071" customFormat="1"/>
    <row r="1809" s="1071" customFormat="1"/>
    <row r="1810" s="1071" customFormat="1"/>
    <row r="1811" s="1071" customFormat="1"/>
    <row r="1812" s="1071" customFormat="1"/>
    <row r="1813" s="1071" customFormat="1"/>
    <row r="1814" s="1071" customFormat="1"/>
    <row r="1815" s="1071" customFormat="1"/>
    <row r="1816" s="1071" customFormat="1"/>
    <row r="1817" s="1071" customFormat="1"/>
    <row r="1818" s="1071" customFormat="1"/>
    <row r="1819" s="1071" customFormat="1"/>
    <row r="1820" s="1071" customFormat="1"/>
    <row r="1821" s="1071" customFormat="1"/>
    <row r="1822" s="1071" customFormat="1"/>
    <row r="1823" s="1071" customFormat="1"/>
    <row r="1824" s="1071" customFormat="1"/>
    <row r="1825" s="1071" customFormat="1"/>
    <row r="1826" s="1071" customFormat="1"/>
    <row r="1827" s="1071" customFormat="1"/>
    <row r="1828" s="1071" customFormat="1"/>
    <row r="1829" s="1071" customFormat="1"/>
    <row r="1830" s="1071" customFormat="1"/>
    <row r="1831" s="1071" customFormat="1"/>
    <row r="1832" s="1071" customFormat="1"/>
    <row r="1833" s="1071" customFormat="1"/>
    <row r="1834" s="1071" customFormat="1"/>
    <row r="1835" s="1071" customFormat="1"/>
    <row r="1836" s="1071" customFormat="1"/>
    <row r="1837" s="1071" customFormat="1"/>
    <row r="1838" s="1071" customFormat="1"/>
    <row r="1839" s="1071" customFormat="1"/>
    <row r="1840" s="1071" customFormat="1"/>
    <row r="1841" s="1071" customFormat="1"/>
    <row r="1842" s="1071" customFormat="1"/>
    <row r="1843" s="1071" customFormat="1"/>
    <row r="1844" s="1071" customFormat="1"/>
    <row r="1845" s="1071" customFormat="1"/>
    <row r="1846" s="1071" customFormat="1"/>
    <row r="1847" s="1071" customFormat="1"/>
    <row r="1848" s="1071" customFormat="1"/>
    <row r="1849" s="1071" customFormat="1"/>
    <row r="1850" s="1071" customFormat="1"/>
    <row r="1851" s="1071" customFormat="1"/>
    <row r="1852" s="1071" customFormat="1"/>
    <row r="1853" s="1071" customFormat="1"/>
    <row r="1854" s="1071" customFormat="1"/>
    <row r="1855" s="1071" customFormat="1"/>
    <row r="1856" s="1071" customFormat="1"/>
    <row r="1857" s="1071" customFormat="1"/>
    <row r="1858" s="1071" customFormat="1"/>
    <row r="1859" s="1071" customFormat="1"/>
    <row r="1860" s="1071" customFormat="1"/>
    <row r="1861" s="1071" customFormat="1"/>
    <row r="1862" s="1071" customFormat="1"/>
    <row r="1863" s="1071" customFormat="1"/>
    <row r="1864" s="1071" customFormat="1"/>
    <row r="1865" s="1071" customFormat="1"/>
    <row r="1866" s="1071" customFormat="1"/>
    <row r="1867" s="1071" customFormat="1"/>
    <row r="1868" s="1071" customFormat="1"/>
    <row r="1869" s="1071" customFormat="1"/>
    <row r="1870" s="1071" customFormat="1"/>
    <row r="1871" s="1071" customFormat="1"/>
    <row r="1872" s="1071" customFormat="1"/>
    <row r="1873" s="1071" customFormat="1"/>
    <row r="1874" s="1071" customFormat="1"/>
    <row r="1875" s="1071" customFormat="1"/>
    <row r="1876" s="1071" customFormat="1"/>
    <row r="1877" s="1071" customFormat="1"/>
    <row r="1878" s="1071" customFormat="1"/>
    <row r="1879" s="1071" customFormat="1"/>
    <row r="1880" s="1071" customFormat="1"/>
    <row r="1881" s="1071" customFormat="1"/>
    <row r="1882" s="1071" customFormat="1"/>
    <row r="1883" s="1071" customFormat="1"/>
    <row r="1884" s="1071" customFormat="1"/>
    <row r="1885" s="1071" customFormat="1"/>
    <row r="1886" s="1071" customFormat="1"/>
    <row r="1887" s="1071" customFormat="1"/>
    <row r="1888" s="1071" customFormat="1"/>
    <row r="1889" s="1071" customFormat="1"/>
    <row r="1890" s="1071" customFormat="1"/>
    <row r="1891" s="1071" customFormat="1"/>
    <row r="1892" s="1071" customFormat="1"/>
    <row r="1893" s="1071" customFormat="1"/>
    <row r="1894" s="1071" customFormat="1"/>
    <row r="1895" s="1071" customFormat="1"/>
    <row r="1896" s="1071" customFormat="1"/>
    <row r="1897" s="1071" customFormat="1"/>
    <row r="1898" s="1071" customFormat="1"/>
    <row r="1899" s="1071" customFormat="1"/>
    <row r="1900" s="1071" customFormat="1"/>
    <row r="1901" s="1071" customFormat="1"/>
    <row r="1902" s="1071" customFormat="1"/>
    <row r="1903" s="1071" customFormat="1"/>
    <row r="1904" s="1071" customFormat="1"/>
    <row r="1905" s="1071" customFormat="1"/>
    <row r="1906" s="1071" customFormat="1"/>
    <row r="1907" s="1071" customFormat="1"/>
    <row r="1908" s="1071" customFormat="1"/>
    <row r="1909" s="1071" customFormat="1"/>
    <row r="1910" s="1071" customFormat="1"/>
    <row r="1911" s="1071" customFormat="1"/>
    <row r="1912" s="1071" customFormat="1"/>
    <row r="1913" s="1071" customFormat="1"/>
    <row r="1914" s="1071" customFormat="1"/>
    <row r="1915" s="1071" customFormat="1"/>
    <row r="1916" s="1071" customFormat="1"/>
    <row r="1917" s="1071" customFormat="1"/>
    <row r="1918" s="1071" customFormat="1"/>
    <row r="1919" s="1071" customFormat="1"/>
    <row r="1920" s="1071" customFormat="1"/>
    <row r="1921" s="1071" customFormat="1"/>
    <row r="1922" s="1071" customFormat="1"/>
    <row r="1923" s="1071" customFormat="1"/>
    <row r="1924" s="1071" customFormat="1"/>
    <row r="1925" s="1071" customFormat="1"/>
    <row r="1926" s="1071" customFormat="1"/>
    <row r="1927" s="1071" customFormat="1"/>
    <row r="1928" s="1071" customFormat="1"/>
    <row r="1929" s="1071" customFormat="1"/>
    <row r="1930" s="1071" customFormat="1"/>
    <row r="1931" s="1071" customFormat="1"/>
    <row r="1932" s="1071" customFormat="1"/>
    <row r="1933" s="1071" customFormat="1"/>
    <row r="1934" s="1071" customFormat="1"/>
    <row r="1935" s="1071" customFormat="1"/>
    <row r="1936" s="1071" customFormat="1"/>
    <row r="1937" s="1071" customFormat="1"/>
    <row r="1938" s="1071" customFormat="1"/>
    <row r="1939" s="1071" customFormat="1"/>
    <row r="1940" s="1071" customFormat="1"/>
    <row r="1941" s="1071" customFormat="1"/>
    <row r="1942" s="1071" customFormat="1"/>
    <row r="1943" s="1071" customFormat="1"/>
    <row r="1944" s="1071" customFormat="1"/>
    <row r="1945" s="1071" customFormat="1"/>
    <row r="1946" s="1071" customFormat="1"/>
    <row r="1947" s="1071" customFormat="1"/>
    <row r="1948" s="1071" customFormat="1"/>
    <row r="1949" s="1071" customFormat="1"/>
    <row r="1950" s="1071" customFormat="1"/>
    <row r="1951" s="1071" customFormat="1"/>
    <row r="1952" s="1071" customFormat="1"/>
    <row r="1953" s="1071" customFormat="1"/>
    <row r="1954" s="1071" customFormat="1"/>
    <row r="1955" s="1071" customFormat="1"/>
    <row r="1956" s="1071" customFormat="1"/>
    <row r="1957" s="1071" customFormat="1"/>
    <row r="1958" s="1071" customFormat="1"/>
    <row r="1959" s="1071" customFormat="1"/>
    <row r="1960" s="1071" customFormat="1"/>
    <row r="1961" s="1071" customFormat="1"/>
    <row r="1962" s="1071" customFormat="1"/>
    <row r="1963" s="1071" customFormat="1"/>
    <row r="1964" s="1071" customFormat="1"/>
    <row r="1965" s="1071" customFormat="1"/>
    <row r="1966" s="1071" customFormat="1"/>
    <row r="1967" s="1071" customFormat="1"/>
    <row r="1968" s="1071" customFormat="1"/>
    <row r="1969" s="1071" customFormat="1"/>
    <row r="1970" s="1071" customFormat="1"/>
    <row r="1971" s="1071" customFormat="1"/>
    <row r="1972" s="1071" customFormat="1"/>
    <row r="1973" s="1071" customFormat="1"/>
    <row r="1974" s="1071" customFormat="1"/>
    <row r="1975" s="1071" customFormat="1"/>
    <row r="1976" s="1071" customFormat="1"/>
    <row r="1977" s="1071" customFormat="1"/>
    <row r="1978" s="1071" customFormat="1"/>
    <row r="1979" s="1071" customFormat="1"/>
    <row r="1980" s="1071" customFormat="1"/>
    <row r="1981" s="1071" customFormat="1"/>
    <row r="1982" s="1071" customFormat="1"/>
    <row r="1983" s="1071" customFormat="1"/>
    <row r="1984" s="1071" customFormat="1"/>
    <row r="1985" s="1071" customFormat="1"/>
    <row r="1986" s="1071" customFormat="1"/>
    <row r="1987" s="1071" customFormat="1"/>
    <row r="1988" s="1071" customFormat="1"/>
    <row r="1989" s="1071" customFormat="1"/>
    <row r="1990" s="1071" customFormat="1"/>
    <row r="1991" s="1071" customFormat="1"/>
    <row r="1992" s="1071" customFormat="1"/>
    <row r="1993" s="1071" customFormat="1"/>
    <row r="1994" s="1071" customFormat="1"/>
    <row r="1995" s="1071" customFormat="1"/>
    <row r="1996" s="1071" customFormat="1"/>
    <row r="1997" s="1071" customFormat="1"/>
    <row r="1998" s="1071" customFormat="1"/>
    <row r="1999" s="1071" customFormat="1"/>
    <row r="2000" s="1071" customFormat="1"/>
    <row r="2001" s="1071" customFormat="1"/>
    <row r="2002" s="1071" customFormat="1"/>
    <row r="2003" s="1071" customFormat="1"/>
    <row r="2004" s="1071" customFormat="1"/>
    <row r="2005" s="1071" customFormat="1"/>
    <row r="2006" s="1071" customFormat="1"/>
    <row r="2007" s="1071" customFormat="1"/>
    <row r="2008" s="1071" customFormat="1"/>
    <row r="2009" s="1071" customFormat="1"/>
    <row r="2010" s="1071" customFormat="1"/>
    <row r="2011" s="1071" customFormat="1"/>
    <row r="2012" s="1071" customFormat="1"/>
    <row r="2013" s="1071" customFormat="1"/>
    <row r="2014" s="1071" customFormat="1"/>
    <row r="2015" s="1071" customFormat="1"/>
    <row r="2016" s="1071" customFormat="1"/>
    <row r="2017" s="1071" customFormat="1"/>
    <row r="2018" s="1071" customFormat="1"/>
    <row r="2019" s="1071" customFormat="1"/>
    <row r="2020" s="1071" customFormat="1"/>
    <row r="2021" s="1071" customFormat="1"/>
    <row r="2022" s="1071" customFormat="1"/>
    <row r="2023" s="1071" customFormat="1"/>
    <row r="2024" s="1071" customFormat="1"/>
    <row r="2025" s="1071" customFormat="1"/>
    <row r="2026" s="1071" customFormat="1"/>
    <row r="2027" s="1071" customFormat="1"/>
    <row r="2028" s="1071" customFormat="1"/>
    <row r="2029" s="1071" customFormat="1"/>
    <row r="2030" s="1071" customFormat="1"/>
    <row r="2031" s="1071" customFormat="1"/>
    <row r="2032" s="1071" customFormat="1"/>
    <row r="2033" s="1071" customFormat="1"/>
    <row r="2034" s="1071" customFormat="1"/>
    <row r="2035" s="1071" customFormat="1"/>
    <row r="2036" s="1071" customFormat="1"/>
    <row r="2037" s="1071" customFormat="1"/>
    <row r="2038" s="1071" customFormat="1"/>
    <row r="2039" s="1071" customFormat="1"/>
    <row r="2040" s="1071" customFormat="1"/>
    <row r="2041" s="1071" customFormat="1"/>
    <row r="2042" s="1071" customFormat="1"/>
    <row r="2043" s="1071" customFormat="1"/>
    <row r="2044" s="1071" customFormat="1"/>
    <row r="2045" s="1071" customFormat="1"/>
    <row r="2046" s="1071" customFormat="1"/>
    <row r="2047" s="1071" customFormat="1"/>
    <row r="2048" s="1071" customFormat="1"/>
    <row r="2049" s="1071" customFormat="1"/>
    <row r="2050" s="1071" customFormat="1"/>
    <row r="2051" s="1071" customFormat="1"/>
    <row r="2052" s="1071" customFormat="1"/>
    <row r="2053" s="1071" customFormat="1"/>
    <row r="2054" s="1071" customFormat="1"/>
    <row r="2055" s="1071" customFormat="1"/>
    <row r="2056" s="1071" customFormat="1"/>
    <row r="2057" s="1071" customFormat="1"/>
    <row r="2058" s="1071" customFormat="1"/>
    <row r="2059" s="1071" customFormat="1"/>
    <row r="2060" s="1071" customFormat="1"/>
    <row r="2061" s="1071" customFormat="1"/>
    <row r="2062" s="1071" customFormat="1"/>
    <row r="2063" s="1071" customFormat="1"/>
    <row r="2064" s="1071" customFormat="1"/>
    <row r="2065" s="1071" customFormat="1"/>
    <row r="2066" s="1071" customFormat="1"/>
    <row r="2067" s="1071" customFormat="1"/>
    <row r="2068" s="1071" customFormat="1"/>
    <row r="2069" s="1071" customFormat="1"/>
    <row r="2070" s="1071" customFormat="1"/>
    <row r="2071" s="1071" customFormat="1"/>
    <row r="2072" s="1071" customFormat="1"/>
    <row r="2073" s="1071" customFormat="1"/>
    <row r="2074" s="1071" customFormat="1"/>
    <row r="2075" s="1071" customFormat="1"/>
    <row r="2076" s="1071" customFormat="1"/>
    <row r="2077" s="1071" customFormat="1"/>
    <row r="2078" s="1071" customFormat="1"/>
    <row r="2079" s="1071" customFormat="1"/>
    <row r="2080" s="1071" customFormat="1"/>
    <row r="2081" s="1071" customFormat="1"/>
    <row r="2082" s="1071" customFormat="1"/>
    <row r="2083" s="1071" customFormat="1"/>
    <row r="2084" s="1071" customFormat="1"/>
    <row r="2085" s="1071" customFormat="1"/>
    <row r="2086" s="1071" customFormat="1"/>
    <row r="2087" s="1071" customFormat="1"/>
    <row r="2088" s="1071" customFormat="1"/>
    <row r="2089" s="1071" customFormat="1"/>
    <row r="2090" s="1071" customFormat="1"/>
    <row r="2091" s="1071" customFormat="1"/>
    <row r="2092" s="1071" customFormat="1"/>
    <row r="2093" s="1071" customFormat="1"/>
    <row r="2094" s="1071" customFormat="1"/>
    <row r="2095" s="1071" customFormat="1"/>
    <row r="2096" s="1071" customFormat="1"/>
    <row r="2097" s="1071" customFormat="1"/>
    <row r="2098" s="1071" customFormat="1"/>
    <row r="2099" s="1071" customFormat="1"/>
    <row r="2100" s="1071" customFormat="1"/>
    <row r="2101" s="1071" customFormat="1"/>
    <row r="2102" s="1071" customFormat="1"/>
    <row r="2103" s="1071" customFormat="1"/>
    <row r="2104" s="1071" customFormat="1"/>
    <row r="2105" s="1071" customFormat="1"/>
    <row r="2106" s="1071" customFormat="1"/>
    <row r="2107" s="1071" customFormat="1"/>
    <row r="2108" s="1071" customFormat="1"/>
    <row r="2109" s="1071" customFormat="1"/>
    <row r="2110" s="1071" customFormat="1"/>
    <row r="2111" s="1071" customFormat="1"/>
    <row r="2112" s="1071" customFormat="1"/>
    <row r="2113" s="1071" customFormat="1"/>
    <row r="2114" s="1071" customFormat="1"/>
    <row r="2115" s="1071" customFormat="1"/>
    <row r="2116" s="1071" customFormat="1"/>
    <row r="2117" s="1071" customFormat="1"/>
    <row r="2118" s="1071" customFormat="1"/>
    <row r="2119" s="1071" customFormat="1"/>
    <row r="2120" s="1071" customFormat="1"/>
    <row r="2121" s="1071" customFormat="1"/>
    <row r="2122" s="1071" customFormat="1"/>
    <row r="2123" s="1071" customFormat="1"/>
    <row r="2124" s="1071" customFormat="1"/>
    <row r="2125" s="1071" customFormat="1"/>
    <row r="2126" s="1071" customFormat="1"/>
    <row r="2127" s="1071" customFormat="1"/>
    <row r="2128" s="1071" customFormat="1"/>
    <row r="2129" s="1071" customFormat="1"/>
    <row r="2130" s="1071" customFormat="1"/>
    <row r="2131" s="1071" customFormat="1"/>
    <row r="2132" s="1071" customFormat="1"/>
    <row r="2133" s="1071" customFormat="1"/>
    <row r="2134" s="1071" customFormat="1"/>
    <row r="2135" s="1071" customFormat="1"/>
    <row r="2136" s="1071" customFormat="1"/>
    <row r="2137" s="1071" customFormat="1"/>
    <row r="2138" s="1071" customFormat="1"/>
    <row r="2139" s="1071" customFormat="1"/>
    <row r="2140" s="1071" customFormat="1"/>
    <row r="2141" s="1071" customFormat="1"/>
    <row r="2142" s="1071" customFormat="1"/>
    <row r="2143" s="1071" customFormat="1"/>
    <row r="2144" s="1071" customFormat="1"/>
    <row r="2145" s="1071" customFormat="1"/>
    <row r="2146" s="1071" customFormat="1"/>
    <row r="2147" s="1071" customFormat="1"/>
    <row r="2148" s="1071" customFormat="1"/>
    <row r="2149" s="1071" customFormat="1"/>
    <row r="2150" s="1071" customFormat="1"/>
    <row r="2151" s="1071" customFormat="1"/>
    <row r="2152" s="1071" customFormat="1"/>
    <row r="2153" s="1071" customFormat="1"/>
    <row r="2154" s="1071" customFormat="1"/>
    <row r="2155" s="1071" customFormat="1"/>
    <row r="2156" s="1071" customFormat="1"/>
    <row r="2157" s="1071" customFormat="1"/>
    <row r="2158" s="1071" customFormat="1"/>
    <row r="2159" s="1071" customFormat="1"/>
    <row r="2160" s="1071" customFormat="1"/>
    <row r="2161" s="1071" customFormat="1"/>
    <row r="2162" s="1071" customFormat="1"/>
    <row r="2163" s="1071" customFormat="1"/>
    <row r="2164" s="1071" customFormat="1"/>
    <row r="2165" s="1071" customFormat="1"/>
    <row r="2166" s="1071" customFormat="1"/>
    <row r="2167" s="1071" customFormat="1"/>
    <row r="2168" s="1071" customFormat="1"/>
    <row r="2169" s="1071" customFormat="1"/>
    <row r="2170" s="1071" customFormat="1"/>
    <row r="2171" s="1071" customFormat="1"/>
    <row r="2172" s="1071" customFormat="1"/>
    <row r="2173" s="1071" customFormat="1"/>
    <row r="2174" s="1071" customFormat="1"/>
    <row r="2175" s="1071" customFormat="1"/>
    <row r="2176" s="1071" customFormat="1"/>
    <row r="2177" s="1071" customFormat="1"/>
    <row r="2178" s="1071" customFormat="1"/>
    <row r="2179" s="1071" customFormat="1"/>
    <row r="2180" s="1071" customFormat="1"/>
    <row r="2181" s="1071" customFormat="1"/>
    <row r="2182" s="1071" customFormat="1"/>
    <row r="2183" s="1071" customFormat="1"/>
    <row r="2184" s="1071" customFormat="1"/>
    <row r="2185" s="1071" customFormat="1"/>
    <row r="2186" s="1071" customFormat="1"/>
    <row r="2187" s="1071" customFormat="1"/>
    <row r="2188" s="1071" customFormat="1"/>
    <row r="2189" s="1071" customFormat="1"/>
    <row r="2190" s="1071" customFormat="1"/>
    <row r="2191" s="1071" customFormat="1"/>
    <row r="2192" s="1071" customFormat="1"/>
    <row r="2193" s="1071" customFormat="1"/>
    <row r="2194" s="1071" customFormat="1"/>
    <row r="2195" s="1071" customFormat="1"/>
    <row r="2196" s="1071" customFormat="1"/>
    <row r="2197" s="1071" customFormat="1"/>
    <row r="2198" s="1071" customFormat="1"/>
    <row r="2199" s="1071" customFormat="1"/>
    <row r="2200" s="1071" customFormat="1"/>
    <row r="2201" s="1071" customFormat="1"/>
    <row r="2202" s="1071" customFormat="1"/>
    <row r="2203" s="1071" customFormat="1"/>
    <row r="2204" s="1071" customFormat="1"/>
    <row r="2205" s="1071" customFormat="1"/>
    <row r="2206" s="1071" customFormat="1"/>
    <row r="2207" s="1071" customFormat="1"/>
    <row r="2208" s="1071" customFormat="1"/>
    <row r="2209" s="1071" customFormat="1"/>
    <row r="2210" s="1071" customFormat="1"/>
    <row r="2211" s="1071" customFormat="1"/>
    <row r="2212" s="1071" customFormat="1"/>
    <row r="2213" s="1071" customFormat="1"/>
    <row r="2214" s="1071" customFormat="1"/>
    <row r="2215" s="1071" customFormat="1"/>
    <row r="2216" s="1071" customFormat="1"/>
    <row r="2217" s="1071" customFormat="1"/>
    <row r="2218" s="1071" customFormat="1"/>
    <row r="2219" s="1071" customFormat="1"/>
    <row r="2220" s="1071" customFormat="1"/>
    <row r="2221" s="1071" customFormat="1"/>
    <row r="2222" s="1071" customFormat="1"/>
    <row r="2223" s="1071" customFormat="1"/>
    <row r="2224" s="1071" customFormat="1"/>
    <row r="2225" s="1071" customFormat="1"/>
    <row r="2226" s="1071" customFormat="1"/>
    <row r="2227" s="1071" customFormat="1"/>
    <row r="2228" s="1071" customFormat="1"/>
    <row r="2229" s="1071" customFormat="1"/>
    <row r="2230" s="1071" customFormat="1"/>
    <row r="2231" s="1071" customFormat="1"/>
    <row r="2232" s="1071" customFormat="1"/>
    <row r="2233" s="1071" customFormat="1"/>
    <row r="2234" s="1071" customFormat="1"/>
    <row r="2235" s="1071" customFormat="1"/>
    <row r="2236" s="1071" customFormat="1"/>
    <row r="2237" s="1071" customFormat="1"/>
    <row r="2238" s="1071" customFormat="1"/>
    <row r="2239" s="1071" customFormat="1"/>
    <row r="2240" s="1071" customFormat="1"/>
    <row r="2241" s="1071" customFormat="1"/>
    <row r="2242" s="1071" customFormat="1"/>
    <row r="2243" s="1071" customFormat="1"/>
    <row r="2244" s="1071" customFormat="1"/>
    <row r="2245" s="1071" customFormat="1"/>
    <row r="2246" s="1071" customFormat="1"/>
    <row r="2247" s="1071" customFormat="1"/>
    <row r="2248" s="1071" customFormat="1"/>
    <row r="2249" s="1071" customFormat="1"/>
    <row r="2250" s="1071" customFormat="1"/>
    <row r="2251" s="1071" customFormat="1"/>
    <row r="2252" s="1071" customFormat="1"/>
    <row r="2253" s="1071" customFormat="1"/>
    <row r="2254" s="1071" customFormat="1"/>
    <row r="2255" s="1071" customFormat="1"/>
    <row r="2256" s="1071" customFormat="1"/>
    <row r="2257" s="1071" customFormat="1"/>
    <row r="2258" s="1071" customFormat="1"/>
    <row r="2259" s="1071" customFormat="1"/>
    <row r="2260" s="1071" customFormat="1"/>
    <row r="2261" s="1071" customFormat="1"/>
    <row r="2262" s="1071" customFormat="1"/>
    <row r="2263" s="1071" customFormat="1"/>
    <row r="2264" s="1071" customFormat="1"/>
    <row r="2265" s="1071" customFormat="1"/>
    <row r="2266" s="1071" customFormat="1"/>
    <row r="2267" s="1071" customFormat="1"/>
    <row r="2268" s="1071" customFormat="1"/>
    <row r="2269" s="1071" customFormat="1"/>
    <row r="2270" s="1071" customFormat="1"/>
    <row r="2271" s="1071" customFormat="1"/>
  </sheetData>
  <sheetProtection algorithmName="SHA-512" hashValue="pBR/jsD/bxXvc0VJYnTZuN/sCQKarBaSfUu0g1wtiE0r+AAnD0VutNkjJq45OfWEmxcGPsKT2PIx6XQKbUo7pg==" saltValue="zrIACv+c+VxeRB4JySyutg==" spinCount="100000" sheet="1" objects="1" scenarios="1"/>
  <mergeCells count="46">
    <mergeCell ref="C127:I127"/>
    <mergeCell ref="B156:H156"/>
    <mergeCell ref="B153:H153"/>
    <mergeCell ref="B154:H154"/>
    <mergeCell ref="L7:O7"/>
    <mergeCell ref="C147:D147"/>
    <mergeCell ref="C149:D149"/>
    <mergeCell ref="C150:D150"/>
    <mergeCell ref="C151:D151"/>
    <mergeCell ref="C133:I133"/>
    <mergeCell ref="C137:D137"/>
    <mergeCell ref="C139:D139"/>
    <mergeCell ref="E139:I145"/>
    <mergeCell ref="C141:D141"/>
    <mergeCell ref="C143:D143"/>
    <mergeCell ref="C145:D145"/>
    <mergeCell ref="C62:H62"/>
    <mergeCell ref="C98:I98"/>
    <mergeCell ref="C102:D102"/>
    <mergeCell ref="G102:I102"/>
    <mergeCell ref="H96:J96"/>
    <mergeCell ref="D121:D124"/>
    <mergeCell ref="H29:H30"/>
    <mergeCell ref="I29:I30"/>
    <mergeCell ref="C31:C32"/>
    <mergeCell ref="C27:C28"/>
    <mergeCell ref="C29:C30"/>
    <mergeCell ref="C33:C34"/>
    <mergeCell ref="C35:C36"/>
    <mergeCell ref="H31:H32"/>
    <mergeCell ref="I31:I32"/>
    <mergeCell ref="H33:H34"/>
    <mergeCell ref="I33:I34"/>
    <mergeCell ref="H35:H36"/>
    <mergeCell ref="I35:I36"/>
    <mergeCell ref="C46:I46"/>
    <mergeCell ref="C58:I58"/>
    <mergeCell ref="C17:H17"/>
    <mergeCell ref="C22:I23"/>
    <mergeCell ref="D27:D28"/>
    <mergeCell ref="E27:E28"/>
    <mergeCell ref="F27:F28"/>
    <mergeCell ref="G27:G28"/>
    <mergeCell ref="I27:I28"/>
    <mergeCell ref="D25:I25"/>
    <mergeCell ref="C25:C26"/>
  </mergeCells>
  <conditionalFormatting sqref="C17:H17">
    <cfRule type="containsText" dxfId="24" priority="10" operator="containsText" text="pas validé">
      <formula>NOT(ISERROR(SEARCH("pas validé",C17)))</formula>
    </cfRule>
    <cfRule type="containsText" dxfId="23" priority="12" operator="containsText" text="L'utilisateur">
      <formula>NOT(ISERROR(SEARCH("L'utilisateur",C17)))</formula>
    </cfRule>
  </conditionalFormatting>
  <conditionalFormatting sqref="D11:G15 J11:J15 L11:L15 N11:N15">
    <cfRule type="cellIs" dxfId="22" priority="32" operator="notEqual">
      <formula>0</formula>
    </cfRule>
  </conditionalFormatting>
  <conditionalFormatting sqref="D29:G29">
    <cfRule type="expression" dxfId="21" priority="98">
      <formula>MID(D11,1,1)="X"</formula>
    </cfRule>
  </conditionalFormatting>
  <conditionalFormatting sqref="D30:G31">
    <cfRule type="expression" dxfId="20" priority="99">
      <formula>MID(D11,1,1)="X"</formula>
    </cfRule>
  </conditionalFormatting>
  <conditionalFormatting sqref="D32:G33">
    <cfRule type="expression" dxfId="19" priority="100">
      <formula>MID(D12,1,1)="X"</formula>
    </cfRule>
  </conditionalFormatting>
  <conditionalFormatting sqref="D34:G34">
    <cfRule type="expression" dxfId="18" priority="104">
      <formula>MID(D13,1,1)="X"</formula>
    </cfRule>
  </conditionalFormatting>
  <conditionalFormatting sqref="D35:G35">
    <cfRule type="expression" dxfId="17" priority="139">
      <formula>OR(MID(D15,1,1)="X",MID(D14,1,1)="X")</formula>
    </cfRule>
  </conditionalFormatting>
  <conditionalFormatting sqref="D36:G36">
    <cfRule type="expression" dxfId="16" priority="140">
      <formula>OR(MID(D15,1,1)="X",MID(D14,1,1)="X")</formula>
    </cfRule>
  </conditionalFormatting>
  <conditionalFormatting sqref="D27:H36">
    <cfRule type="containsText" dxfId="15" priority="21" operator="containsText" text="Note">
      <formula>NOT(ISERROR(SEARCH("Note",D27)))</formula>
    </cfRule>
  </conditionalFormatting>
  <conditionalFormatting sqref="D65:H65 D66:D90 H91:H92">
    <cfRule type="cellIs" dxfId="14" priority="8" operator="equal">
      <formula>"OUI"</formula>
    </cfRule>
    <cfRule type="cellIs" dxfId="13" priority="9" operator="equal">
      <formula>"NON"</formula>
    </cfRule>
  </conditionalFormatting>
  <conditionalFormatting sqref="G66 G68:G72 G74:G78 G80:G84 G86:G90">
    <cfRule type="cellIs" dxfId="12" priority="3" operator="equal">
      <formula>"OUI"</formula>
    </cfRule>
    <cfRule type="cellIs" dxfId="11" priority="4" operator="equal">
      <formula>"NON"</formula>
    </cfRule>
  </conditionalFormatting>
  <conditionalFormatting sqref="H10">
    <cfRule type="cellIs" dxfId="10" priority="2" operator="notEqual">
      <formula>0</formula>
    </cfRule>
  </conditionalFormatting>
  <conditionalFormatting sqref="H27:H28">
    <cfRule type="expression" dxfId="9" priority="97">
      <formula>MID(H10,1,1)="X"</formula>
    </cfRule>
  </conditionalFormatting>
  <conditionalFormatting sqref="O10:O11">
    <cfRule type="cellIs" dxfId="7" priority="11" operator="equal">
      <formula>"Oui"</formula>
    </cfRule>
  </conditionalFormatting>
  <hyperlinks>
    <hyperlink ref="B153:H153"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111</xdr:row>
                    <xdr:rowOff>0</xdr:rowOff>
                  </from>
                  <to>
                    <xdr:col>2</xdr:col>
                    <xdr:colOff>1057275</xdr:colOff>
                    <xdr:row>112</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113</xdr:row>
                    <xdr:rowOff>0</xdr:rowOff>
                  </from>
                  <to>
                    <xdr:col>2</xdr:col>
                    <xdr:colOff>1057275</xdr:colOff>
                    <xdr:row>114</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180975</xdr:colOff>
                    <xdr:row>107</xdr:row>
                    <xdr:rowOff>0</xdr:rowOff>
                  </from>
                  <to>
                    <xdr:col>2</xdr:col>
                    <xdr:colOff>1038225</xdr:colOff>
                    <xdr:row>108</xdr:row>
                    <xdr:rowOff>9525</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109</xdr:row>
                    <xdr:rowOff>0</xdr:rowOff>
                  </from>
                  <to>
                    <xdr:col>2</xdr:col>
                    <xdr:colOff>1057275</xdr:colOff>
                    <xdr:row>110</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180975</xdr:colOff>
                    <xdr:row>105</xdr:row>
                    <xdr:rowOff>0</xdr:rowOff>
                  </from>
                  <to>
                    <xdr:col>2</xdr:col>
                    <xdr:colOff>1038225</xdr:colOff>
                    <xdr:row>106</xdr:row>
                    <xdr:rowOff>28575</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219075</xdr:colOff>
                    <xdr:row>116</xdr:row>
                    <xdr:rowOff>66675</xdr:rowOff>
                  </from>
                  <to>
                    <xdr:col>2</xdr:col>
                    <xdr:colOff>981075</xdr:colOff>
                    <xdr:row>117</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3BDC300-68A9-4688-BDE4-04A9A1319A66}">
            <xm:f>$H$94&lt;Subvention!$N$7</xm:f>
            <x14:dxf>
              <font>
                <b/>
                <i val="0"/>
                <color rgb="FFC00000"/>
              </font>
            </x14:dxf>
          </x14:cfRule>
          <xm:sqref>H95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5"/>
  <sheetViews>
    <sheetView topLeftCell="A73" workbookViewId="0">
      <selection activeCell="B84" sqref="B84:C86"/>
    </sheetView>
  </sheetViews>
  <sheetFormatPr baseColWidth="10" defaultColWidth="11.42578125" defaultRowHeight="15"/>
  <cols>
    <col min="1" max="1" width="5.140625" style="7" customWidth="1"/>
    <col min="2" max="2" width="50.140625" customWidth="1"/>
    <col min="3" max="3" width="23.85546875" customWidth="1"/>
    <col min="4" max="4" width="23" customWidth="1"/>
    <col min="5" max="5" width="18.5703125" customWidth="1"/>
    <col min="7" max="7" width="19.85546875" customWidth="1"/>
    <col min="8" max="8" width="16.5703125" customWidth="1"/>
    <col min="9" max="9" width="20.42578125" customWidth="1"/>
    <col min="10" max="10" width="14.85546875" customWidth="1"/>
    <col min="11" max="11" width="23" customWidth="1"/>
    <col min="12" max="12" width="16" customWidth="1"/>
    <col min="13" max="13" width="17.5703125" customWidth="1"/>
    <col min="14" max="14" width="19" style="7" bestFit="1" customWidth="1"/>
    <col min="15" max="28" width="11.42578125" style="7"/>
  </cols>
  <sheetData>
    <row r="1" spans="1:14" s="7" customFormat="1">
      <c r="A1" s="541"/>
    </row>
    <row r="2" spans="1:14" s="7" customFormat="1" ht="36">
      <c r="B2" s="499" t="s">
        <v>1393</v>
      </c>
    </row>
    <row r="3" spans="1:14" s="7" customFormat="1" ht="19.5" customHeight="1">
      <c r="B3" s="499"/>
    </row>
    <row r="4" spans="1:14">
      <c r="A4" s="901"/>
      <c r="B4" s="2167" t="s">
        <v>1242</v>
      </c>
      <c r="C4" s="2168"/>
      <c r="D4" s="2168"/>
      <c r="E4" s="2168"/>
      <c r="F4" s="2168"/>
      <c r="G4" s="2168"/>
      <c r="H4" s="2168"/>
      <c r="I4" s="2168"/>
      <c r="J4" s="2168"/>
      <c r="K4" s="2168"/>
      <c r="L4" s="2168"/>
      <c r="M4" s="2168"/>
      <c r="N4" s="2168"/>
    </row>
    <row r="5" spans="1:14">
      <c r="B5" s="1971" t="s">
        <v>24</v>
      </c>
      <c r="C5" s="1973" t="s">
        <v>298</v>
      </c>
      <c r="D5" s="1975"/>
      <c r="E5" s="1973" t="s">
        <v>299</v>
      </c>
      <c r="F5" s="1974"/>
      <c r="G5" s="1974"/>
      <c r="H5" s="1974"/>
      <c r="I5" s="1975"/>
      <c r="J5" s="2073" t="s">
        <v>300</v>
      </c>
      <c r="K5" s="1970" t="s">
        <v>1725</v>
      </c>
      <c r="L5" s="2189" t="s">
        <v>301</v>
      </c>
      <c r="M5" s="2190"/>
      <c r="N5" s="2073" t="s">
        <v>1996</v>
      </c>
    </row>
    <row r="6" spans="1:14">
      <c r="B6" s="1972"/>
      <c r="C6" s="1978"/>
      <c r="D6" s="1979"/>
      <c r="E6" s="1978"/>
      <c r="F6" s="1967"/>
      <c r="G6" s="1967"/>
      <c r="H6" s="1967"/>
      <c r="I6" s="1979"/>
      <c r="J6" s="2164"/>
      <c r="K6" s="1972"/>
      <c r="L6" s="2191"/>
      <c r="M6" s="2192"/>
      <c r="N6" s="2164"/>
    </row>
    <row r="7" spans="1:14">
      <c r="B7" s="2193" t="s">
        <v>302</v>
      </c>
      <c r="C7" s="2194"/>
      <c r="D7" s="2194"/>
      <c r="E7" s="2194"/>
      <c r="F7" s="2194"/>
      <c r="G7" s="2194"/>
      <c r="H7" s="2194"/>
      <c r="I7" s="2194"/>
      <c r="J7" s="2194"/>
      <c r="K7" s="2194"/>
      <c r="L7" s="2194"/>
      <c r="M7" s="2195"/>
      <c r="N7" s="2165">
        <v>1000</v>
      </c>
    </row>
    <row r="8" spans="1:14">
      <c r="B8" s="2196" t="s">
        <v>303</v>
      </c>
      <c r="C8" s="2198" t="s">
        <v>304</v>
      </c>
      <c r="D8" s="2198"/>
      <c r="E8" s="2199" t="s">
        <v>305</v>
      </c>
      <c r="F8" s="2199"/>
      <c r="G8" s="2199"/>
      <c r="H8" s="2200" t="s">
        <v>306</v>
      </c>
      <c r="I8" s="2201"/>
      <c r="J8" s="202"/>
      <c r="K8" s="203"/>
      <c r="L8" s="2202" t="s">
        <v>307</v>
      </c>
      <c r="M8" s="2202" t="s">
        <v>308</v>
      </c>
      <c r="N8" s="2165"/>
    </row>
    <row r="9" spans="1:14">
      <c r="B9" s="2197"/>
      <c r="C9" s="2198"/>
      <c r="D9" s="2198"/>
      <c r="E9" s="2180" t="s">
        <v>309</v>
      </c>
      <c r="F9" s="2180"/>
      <c r="G9" s="205" t="s">
        <v>310</v>
      </c>
      <c r="H9" s="2204" t="s">
        <v>309</v>
      </c>
      <c r="I9" s="2205"/>
      <c r="J9" s="206"/>
      <c r="K9" s="204"/>
      <c r="L9" s="2203"/>
      <c r="M9" s="2203"/>
      <c r="N9" s="2165"/>
    </row>
    <row r="10" spans="1:14">
      <c r="B10" s="2197"/>
      <c r="C10" s="2181" t="s">
        <v>1727</v>
      </c>
      <c r="D10" s="2181"/>
      <c r="E10" s="2182">
        <v>200</v>
      </c>
      <c r="F10" s="2182"/>
      <c r="G10" s="885">
        <v>300</v>
      </c>
      <c r="H10" s="2206">
        <v>70</v>
      </c>
      <c r="I10" s="2207"/>
      <c r="J10" s="2183" t="s">
        <v>1726</v>
      </c>
      <c r="K10" s="2177">
        <v>0.75</v>
      </c>
      <c r="L10" s="11" t="s">
        <v>312</v>
      </c>
      <c r="M10" s="11" t="s">
        <v>312</v>
      </c>
      <c r="N10" s="2165"/>
    </row>
    <row r="11" spans="1:14">
      <c r="B11" s="2197"/>
      <c r="C11" s="2181" t="s">
        <v>1728</v>
      </c>
      <c r="D11" s="2181"/>
      <c r="E11" s="2182">
        <v>150</v>
      </c>
      <c r="F11" s="2182"/>
      <c r="G11" s="885">
        <v>250</v>
      </c>
      <c r="H11" s="2206">
        <v>50</v>
      </c>
      <c r="I11" s="2207"/>
      <c r="J11" s="2184"/>
      <c r="K11" s="2178"/>
      <c r="L11" s="11" t="s">
        <v>312</v>
      </c>
      <c r="M11" s="11" t="s">
        <v>312</v>
      </c>
      <c r="N11" s="2165"/>
    </row>
    <row r="12" spans="1:14">
      <c r="B12" s="2197"/>
      <c r="C12" s="2181" t="s">
        <v>1729</v>
      </c>
      <c r="D12" s="2181"/>
      <c r="E12" s="2182">
        <v>100</v>
      </c>
      <c r="F12" s="2182"/>
      <c r="G12" s="885">
        <v>200</v>
      </c>
      <c r="H12" s="2206">
        <v>30</v>
      </c>
      <c r="I12" s="2207"/>
      <c r="J12" s="2184"/>
      <c r="K12" s="2178"/>
      <c r="L12" s="210">
        <v>300000</v>
      </c>
      <c r="M12" s="210">
        <v>150000</v>
      </c>
      <c r="N12" s="2165"/>
    </row>
    <row r="13" spans="1:14">
      <c r="B13" s="2209" t="s">
        <v>313</v>
      </c>
      <c r="C13" s="2210"/>
      <c r="D13" s="2210"/>
      <c r="E13" s="2210"/>
      <c r="F13" s="2210"/>
      <c r="G13" s="2210"/>
      <c r="H13" s="2210"/>
      <c r="I13" s="2210"/>
      <c r="J13" s="2210"/>
      <c r="K13" s="2210"/>
      <c r="L13" s="2210"/>
      <c r="M13" s="2211"/>
      <c r="N13" s="2165"/>
    </row>
    <row r="14" spans="1:14">
      <c r="B14" s="2174" t="s">
        <v>17</v>
      </c>
      <c r="C14" s="2212" t="s">
        <v>315</v>
      </c>
      <c r="D14" s="2213"/>
      <c r="E14" s="2182">
        <v>30000</v>
      </c>
      <c r="F14" s="2182"/>
      <c r="G14" s="2182"/>
      <c r="H14" s="2182"/>
      <c r="I14" s="2182"/>
      <c r="J14" s="2183" t="s">
        <v>316</v>
      </c>
      <c r="K14" s="2177">
        <v>0.75</v>
      </c>
      <c r="L14" s="2215" t="s">
        <v>312</v>
      </c>
      <c r="M14" s="2216"/>
      <c r="N14" s="2165"/>
    </row>
    <row r="15" spans="1:14">
      <c r="B15" s="2176"/>
      <c r="C15" s="2208" t="s">
        <v>317</v>
      </c>
      <c r="D15" s="2208"/>
      <c r="E15" s="2219" t="s">
        <v>318</v>
      </c>
      <c r="F15" s="2219"/>
      <c r="G15" s="2219"/>
      <c r="H15" s="2219"/>
      <c r="I15" s="2219"/>
      <c r="J15" s="2214"/>
      <c r="K15" s="2179"/>
      <c r="L15" s="2217"/>
      <c r="M15" s="2218"/>
      <c r="N15" s="2165"/>
    </row>
    <row r="16" spans="1:14">
      <c r="B16" s="2209" t="s">
        <v>313</v>
      </c>
      <c r="C16" s="2210"/>
      <c r="D16" s="2210"/>
      <c r="E16" s="2210"/>
      <c r="F16" s="2210"/>
      <c r="G16" s="2210"/>
      <c r="H16" s="2210"/>
      <c r="I16" s="2210"/>
      <c r="J16" s="2210"/>
      <c r="K16" s="2210"/>
      <c r="L16" s="2210"/>
      <c r="M16" s="2211"/>
      <c r="N16" s="2165"/>
    </row>
    <row r="17" spans="2:14">
      <c r="B17" s="2196" t="s">
        <v>319</v>
      </c>
      <c r="C17" s="2181" t="s">
        <v>320</v>
      </c>
      <c r="D17" s="2181"/>
      <c r="E17" s="2182">
        <v>10000</v>
      </c>
      <c r="F17" s="2182"/>
      <c r="G17" s="2182"/>
      <c r="H17" s="2182"/>
      <c r="I17" s="2182"/>
      <c r="J17" s="2183" t="s">
        <v>316</v>
      </c>
      <c r="K17" s="2177">
        <v>0.75</v>
      </c>
      <c r="L17" s="2215" t="s">
        <v>312</v>
      </c>
      <c r="M17" s="2216"/>
      <c r="N17" s="2165"/>
    </row>
    <row r="18" spans="2:14">
      <c r="B18" s="2226"/>
      <c r="C18" s="2208" t="s">
        <v>317</v>
      </c>
      <c r="D18" s="2208"/>
      <c r="E18" s="2219" t="s">
        <v>318</v>
      </c>
      <c r="F18" s="2219"/>
      <c r="G18" s="2219"/>
      <c r="H18" s="2219"/>
      <c r="I18" s="2219"/>
      <c r="J18" s="2214"/>
      <c r="K18" s="2179"/>
      <c r="L18" s="2217"/>
      <c r="M18" s="2218"/>
      <c r="N18" s="2165"/>
    </row>
    <row r="19" spans="2:14">
      <c r="B19" s="2209" t="s">
        <v>311</v>
      </c>
      <c r="C19" s="2227"/>
      <c r="D19" s="2227"/>
      <c r="E19" s="2227"/>
      <c r="F19" s="2227"/>
      <c r="G19" s="2227"/>
      <c r="H19" s="2227"/>
      <c r="I19" s="2227"/>
      <c r="J19" s="2227"/>
      <c r="K19" s="2227"/>
      <c r="L19" s="2227"/>
      <c r="M19" s="2228"/>
      <c r="N19" s="2165"/>
    </row>
    <row r="20" spans="2:14">
      <c r="B20" s="2174" t="s">
        <v>29</v>
      </c>
      <c r="C20" s="2169" t="s">
        <v>1730</v>
      </c>
      <c r="D20" s="2170"/>
      <c r="E20" s="207" t="s">
        <v>321</v>
      </c>
      <c r="F20" s="201" t="s">
        <v>322</v>
      </c>
      <c r="G20" s="203" t="s">
        <v>1731</v>
      </c>
      <c r="H20" s="203" t="s">
        <v>1732</v>
      </c>
      <c r="I20" s="208" t="s">
        <v>323</v>
      </c>
      <c r="J20" s="203"/>
      <c r="K20" s="2177">
        <v>0.75</v>
      </c>
      <c r="L20" s="2229">
        <v>100000</v>
      </c>
      <c r="M20" s="2230"/>
      <c r="N20" s="2165"/>
    </row>
    <row r="21" spans="2:14" ht="15" customHeight="1">
      <c r="B21" s="2175"/>
      <c r="C21" s="2173" t="s">
        <v>324</v>
      </c>
      <c r="D21" s="2208"/>
      <c r="E21" s="885">
        <v>200</v>
      </c>
      <c r="F21" s="885">
        <v>300</v>
      </c>
      <c r="G21" s="885">
        <v>550</v>
      </c>
      <c r="H21" s="885">
        <v>1000</v>
      </c>
      <c r="I21" s="885">
        <v>1300</v>
      </c>
      <c r="J21" s="2183" t="s">
        <v>325</v>
      </c>
      <c r="K21" s="2178"/>
      <c r="L21" s="2231"/>
      <c r="M21" s="2232"/>
      <c r="N21" s="2165"/>
    </row>
    <row r="22" spans="2:14">
      <c r="B22" s="2175"/>
      <c r="C22" s="2173" t="s">
        <v>326</v>
      </c>
      <c r="D22" s="2208"/>
      <c r="E22" s="885">
        <v>200</v>
      </c>
      <c r="F22" s="885">
        <v>300</v>
      </c>
      <c r="G22" s="885">
        <v>550</v>
      </c>
      <c r="H22" s="885">
        <v>1000</v>
      </c>
      <c r="I22" s="885">
        <v>1300</v>
      </c>
      <c r="J22" s="2184"/>
      <c r="K22" s="2178"/>
      <c r="L22" s="2231"/>
      <c r="M22" s="2232"/>
      <c r="N22" s="2165"/>
    </row>
    <row r="23" spans="2:14">
      <c r="B23" s="2175"/>
      <c r="C23" s="2173" t="s">
        <v>327</v>
      </c>
      <c r="D23" s="2208"/>
      <c r="E23" s="885">
        <v>60</v>
      </c>
      <c r="F23" s="885">
        <v>200</v>
      </c>
      <c r="G23" s="885">
        <v>550</v>
      </c>
      <c r="H23" s="885">
        <v>1100</v>
      </c>
      <c r="I23" s="885">
        <v>1550</v>
      </c>
      <c r="J23" s="2184"/>
      <c r="K23" s="2178"/>
      <c r="L23" s="2231"/>
      <c r="M23" s="2232"/>
      <c r="N23" s="2165"/>
    </row>
    <row r="24" spans="2:14">
      <c r="B24" s="2175"/>
      <c r="C24" s="2173" t="s">
        <v>328</v>
      </c>
      <c r="D24" s="2208"/>
      <c r="E24" s="885">
        <v>100</v>
      </c>
      <c r="F24" s="885">
        <v>400</v>
      </c>
      <c r="G24" s="885">
        <v>1000</v>
      </c>
      <c r="H24" s="885">
        <v>1500</v>
      </c>
      <c r="I24" s="885">
        <v>2200</v>
      </c>
      <c r="J24" s="2184"/>
      <c r="K24" s="2178"/>
      <c r="L24" s="2231"/>
      <c r="M24" s="2232"/>
      <c r="N24" s="2165"/>
    </row>
    <row r="25" spans="2:14">
      <c r="B25" s="2175"/>
      <c r="C25" s="2173" t="s">
        <v>329</v>
      </c>
      <c r="D25" s="2208"/>
      <c r="E25" s="885">
        <v>300</v>
      </c>
      <c r="F25" s="885">
        <v>500</v>
      </c>
      <c r="G25" s="885">
        <v>900</v>
      </c>
      <c r="H25" s="885">
        <v>1550</v>
      </c>
      <c r="I25" s="885">
        <v>2000</v>
      </c>
      <c r="J25" s="2184"/>
      <c r="K25" s="2178"/>
      <c r="L25" s="2231"/>
      <c r="M25" s="2232"/>
      <c r="N25" s="2165"/>
    </row>
    <row r="26" spans="2:14">
      <c r="B26" s="2175"/>
      <c r="C26" s="2173" t="s">
        <v>330</v>
      </c>
      <c r="D26" s="2208"/>
      <c r="E26" s="885">
        <v>30</v>
      </c>
      <c r="F26" s="885">
        <v>150</v>
      </c>
      <c r="G26" s="885">
        <v>400</v>
      </c>
      <c r="H26" s="885">
        <v>800</v>
      </c>
      <c r="I26" s="885">
        <v>1100</v>
      </c>
      <c r="J26" s="2214"/>
      <c r="K26" s="2178"/>
      <c r="L26" s="2231"/>
      <c r="M26" s="2232"/>
      <c r="N26" s="2165"/>
    </row>
    <row r="27" spans="2:14">
      <c r="B27" s="2175"/>
      <c r="C27" s="2220"/>
      <c r="D27" s="2221"/>
      <c r="E27" s="2222" t="s">
        <v>331</v>
      </c>
      <c r="F27" s="2223"/>
      <c r="G27" s="2223"/>
      <c r="H27" s="2223"/>
      <c r="I27" s="2224"/>
      <c r="J27" s="209"/>
      <c r="K27" s="2178"/>
      <c r="L27" s="2231"/>
      <c r="M27" s="2232"/>
      <c r="N27" s="2165"/>
    </row>
    <row r="28" spans="2:14" ht="15" customHeight="1">
      <c r="B28" s="2175"/>
      <c r="C28" s="2173" t="s">
        <v>332</v>
      </c>
      <c r="D28" s="2208"/>
      <c r="E28" s="2206">
        <v>1500</v>
      </c>
      <c r="F28" s="2225"/>
      <c r="G28" s="2225"/>
      <c r="H28" s="2225"/>
      <c r="I28" s="2207"/>
      <c r="J28" s="2183" t="s">
        <v>325</v>
      </c>
      <c r="K28" s="2178"/>
      <c r="L28" s="2231"/>
      <c r="M28" s="2232"/>
      <c r="N28" s="2165"/>
    </row>
    <row r="29" spans="2:14">
      <c r="B29" s="2175"/>
      <c r="C29" s="2173" t="s">
        <v>32</v>
      </c>
      <c r="D29" s="2208"/>
      <c r="E29" s="2206">
        <v>2000</v>
      </c>
      <c r="F29" s="2225"/>
      <c r="G29" s="2225"/>
      <c r="H29" s="2225"/>
      <c r="I29" s="2207"/>
      <c r="J29" s="2214"/>
      <c r="K29" s="2178"/>
      <c r="L29" s="2231"/>
      <c r="M29" s="2232"/>
      <c r="N29" s="2165"/>
    </row>
    <row r="30" spans="2:14" ht="17.25">
      <c r="B30" s="2175"/>
      <c r="C30" s="2220"/>
      <c r="D30" s="2221"/>
      <c r="E30" s="2222" t="s">
        <v>333</v>
      </c>
      <c r="F30" s="2223"/>
      <c r="G30" s="2223"/>
      <c r="H30" s="2223"/>
      <c r="I30" s="2224"/>
      <c r="J30" s="209"/>
      <c r="K30" s="2178"/>
      <c r="L30" s="2231"/>
      <c r="M30" s="2232"/>
      <c r="N30" s="2165"/>
    </row>
    <row r="31" spans="2:14">
      <c r="B31" s="2175"/>
      <c r="C31" s="2173" t="s">
        <v>33</v>
      </c>
      <c r="D31" s="2208"/>
      <c r="E31" s="2206">
        <v>25</v>
      </c>
      <c r="F31" s="2225"/>
      <c r="G31" s="2225"/>
      <c r="H31" s="2225"/>
      <c r="I31" s="2207"/>
      <c r="J31" s="2183" t="s">
        <v>334</v>
      </c>
      <c r="K31" s="2178"/>
      <c r="L31" s="2231"/>
      <c r="M31" s="2232"/>
      <c r="N31" s="2165"/>
    </row>
    <row r="32" spans="2:14">
      <c r="B32" s="2175"/>
      <c r="C32" s="2173" t="s">
        <v>335</v>
      </c>
      <c r="D32" s="2208"/>
      <c r="E32" s="2206">
        <v>25</v>
      </c>
      <c r="F32" s="2225"/>
      <c r="G32" s="2225"/>
      <c r="H32" s="2225"/>
      <c r="I32" s="2207"/>
      <c r="J32" s="2214"/>
      <c r="K32" s="2178"/>
      <c r="L32" s="2231"/>
      <c r="M32" s="2232"/>
      <c r="N32" s="2165"/>
    </row>
    <row r="33" spans="1:43">
      <c r="B33" s="2175"/>
      <c r="C33" s="2169" t="s">
        <v>1991</v>
      </c>
      <c r="D33" s="2170"/>
      <c r="E33" s="792"/>
      <c r="F33" s="207" t="s">
        <v>1992</v>
      </c>
      <c r="G33" s="207" t="s">
        <v>1993</v>
      </c>
      <c r="H33" s="207" t="s">
        <v>1994</v>
      </c>
      <c r="I33" s="1751"/>
      <c r="J33" s="2171" t="s">
        <v>1995</v>
      </c>
      <c r="K33" s="2178"/>
      <c r="L33" s="2231"/>
      <c r="M33" s="2232"/>
      <c r="N33" s="2165"/>
    </row>
    <row r="34" spans="1:43">
      <c r="B34" s="2176"/>
      <c r="C34" s="2172" t="s">
        <v>1990</v>
      </c>
      <c r="D34" s="2173"/>
      <c r="E34" s="792"/>
      <c r="F34" s="885">
        <v>16</v>
      </c>
      <c r="G34" s="885">
        <v>21</v>
      </c>
      <c r="H34" s="885">
        <v>31</v>
      </c>
      <c r="I34" s="1751"/>
      <c r="J34" s="2171"/>
      <c r="K34" s="2179"/>
      <c r="L34" s="2233"/>
      <c r="M34" s="2234"/>
      <c r="N34" s="2165"/>
    </row>
    <row r="35" spans="1:43" s="7" customFormat="1">
      <c r="K35" s="578"/>
    </row>
    <row r="36" spans="1:43">
      <c r="A36" s="901"/>
      <c r="B36" s="2166" t="s">
        <v>1148</v>
      </c>
      <c r="C36" s="2166"/>
      <c r="D36" s="2166"/>
      <c r="E36" s="2166"/>
      <c r="F36" s="2166"/>
      <c r="G36" s="2166"/>
      <c r="H36" s="2166"/>
      <c r="I36" s="2166"/>
      <c r="J36" s="2166"/>
      <c r="K36" s="2166"/>
      <c r="L36" s="2166"/>
      <c r="M36" s="2166"/>
      <c r="N36" s="2166"/>
    </row>
    <row r="37" spans="1:43" ht="15.75" thickBot="1">
      <c r="B37" s="2187" t="s">
        <v>511</v>
      </c>
      <c r="C37" s="2188"/>
      <c r="D37" s="7"/>
      <c r="E37" s="7"/>
      <c r="F37" s="7"/>
      <c r="G37" s="7"/>
      <c r="H37" s="7"/>
      <c r="I37" s="7"/>
      <c r="J37" s="7"/>
      <c r="K37" s="7"/>
      <c r="L37" s="7"/>
      <c r="M37" s="7"/>
      <c r="AC37" s="7"/>
      <c r="AD37" s="7"/>
      <c r="AE37" s="7"/>
      <c r="AF37" s="7"/>
      <c r="AG37" s="7"/>
      <c r="AH37" s="7"/>
      <c r="AI37" s="7"/>
      <c r="AJ37" s="7"/>
      <c r="AK37" s="7"/>
      <c r="AL37" s="7"/>
      <c r="AM37" s="7"/>
      <c r="AN37" s="7"/>
      <c r="AO37" s="7"/>
      <c r="AP37" s="7"/>
      <c r="AQ37" s="7"/>
    </row>
    <row r="38" spans="1:43" ht="30">
      <c r="B38" s="886" t="s">
        <v>1329</v>
      </c>
      <c r="C38" s="887" t="s">
        <v>1342</v>
      </c>
      <c r="D38" s="7"/>
      <c r="E38" s="7"/>
      <c r="F38" s="7"/>
      <c r="G38" s="7"/>
      <c r="H38" s="7"/>
      <c r="I38" s="7"/>
      <c r="J38" s="7"/>
      <c r="K38" s="7"/>
      <c r="L38" s="7"/>
      <c r="M38" s="7"/>
      <c r="AC38" s="7"/>
      <c r="AD38" s="7"/>
      <c r="AE38" s="7"/>
      <c r="AF38" s="7"/>
      <c r="AG38" s="7"/>
      <c r="AH38" s="7"/>
      <c r="AI38" s="7"/>
      <c r="AJ38" s="7"/>
      <c r="AK38" s="7"/>
      <c r="AL38" s="7"/>
      <c r="AM38" s="7"/>
      <c r="AN38" s="7"/>
      <c r="AO38" s="7"/>
      <c r="AP38" s="7"/>
      <c r="AQ38" s="7"/>
    </row>
    <row r="39" spans="1:43">
      <c r="B39" s="888" t="s">
        <v>1330</v>
      </c>
      <c r="C39" s="889">
        <f>E10</f>
        <v>200</v>
      </c>
      <c r="D39" s="7"/>
      <c r="E39" s="7"/>
      <c r="F39" s="7"/>
      <c r="G39" s="7"/>
      <c r="H39" s="7"/>
      <c r="I39" s="7"/>
      <c r="J39" s="7"/>
      <c r="K39" s="7"/>
      <c r="L39" s="7"/>
      <c r="M39" s="7"/>
      <c r="AC39" s="7"/>
      <c r="AD39" s="7"/>
      <c r="AE39" s="7"/>
      <c r="AF39" s="7"/>
      <c r="AG39" s="7"/>
      <c r="AH39" s="7"/>
      <c r="AI39" s="7"/>
      <c r="AJ39" s="7"/>
      <c r="AK39" s="7"/>
      <c r="AL39" s="7"/>
      <c r="AM39" s="7"/>
      <c r="AN39" s="7"/>
      <c r="AO39" s="7"/>
      <c r="AP39" s="7"/>
      <c r="AQ39" s="7"/>
    </row>
    <row r="40" spans="1:43">
      <c r="B40" s="888" t="s">
        <v>1333</v>
      </c>
      <c r="C40" s="889">
        <f t="shared" ref="C40:C41" si="0">E11</f>
        <v>150</v>
      </c>
      <c r="D40" s="7"/>
      <c r="E40" s="7"/>
      <c r="F40" s="7"/>
      <c r="G40" s="7"/>
      <c r="H40" s="7"/>
      <c r="I40" s="7"/>
      <c r="J40" s="7"/>
      <c r="K40" s="7"/>
      <c r="L40" s="7"/>
      <c r="M40" s="7"/>
      <c r="AC40" s="7"/>
      <c r="AD40" s="7"/>
      <c r="AE40" s="7"/>
      <c r="AF40" s="7"/>
      <c r="AG40" s="7"/>
      <c r="AH40" s="7"/>
      <c r="AI40" s="7"/>
      <c r="AJ40" s="7"/>
      <c r="AK40" s="7"/>
      <c r="AL40" s="7"/>
      <c r="AM40" s="7"/>
      <c r="AN40" s="7"/>
      <c r="AO40" s="7"/>
      <c r="AP40" s="7"/>
      <c r="AQ40" s="7"/>
    </row>
    <row r="41" spans="1:43">
      <c r="B41" s="888" t="s">
        <v>1332</v>
      </c>
      <c r="C41" s="889">
        <f t="shared" si="0"/>
        <v>100</v>
      </c>
      <c r="D41" s="7"/>
      <c r="E41" s="7"/>
      <c r="F41" s="7"/>
      <c r="G41" s="7"/>
      <c r="H41" s="7"/>
      <c r="I41" s="7"/>
      <c r="J41" s="7"/>
      <c r="K41" s="7"/>
      <c r="L41" s="7"/>
      <c r="M41" s="7"/>
      <c r="AC41" s="7"/>
      <c r="AD41" s="7"/>
      <c r="AE41" s="7"/>
      <c r="AF41" s="7"/>
      <c r="AG41" s="7"/>
      <c r="AH41" s="7"/>
      <c r="AI41" s="7"/>
      <c r="AJ41" s="7"/>
      <c r="AK41" s="7"/>
      <c r="AL41" s="7"/>
      <c r="AM41" s="7"/>
      <c r="AN41" s="7"/>
      <c r="AO41" s="7"/>
      <c r="AP41" s="7"/>
      <c r="AQ41" s="7"/>
    </row>
    <row r="42" spans="1:43">
      <c r="B42" s="888" t="s">
        <v>1334</v>
      </c>
      <c r="C42" s="889">
        <f>G10</f>
        <v>300</v>
      </c>
      <c r="D42" s="7"/>
      <c r="E42" s="7"/>
      <c r="F42" s="7"/>
      <c r="G42" s="7"/>
      <c r="H42" s="7"/>
      <c r="I42" s="7"/>
      <c r="J42" s="7"/>
      <c r="K42" s="7"/>
      <c r="L42" s="7"/>
      <c r="M42" s="7"/>
      <c r="AC42" s="7"/>
      <c r="AD42" s="7"/>
      <c r="AE42" s="7"/>
      <c r="AF42" s="7"/>
      <c r="AG42" s="7"/>
      <c r="AH42" s="7"/>
      <c r="AI42" s="7"/>
      <c r="AJ42" s="7"/>
      <c r="AK42" s="7"/>
      <c r="AL42" s="7"/>
      <c r="AM42" s="7"/>
      <c r="AN42" s="7"/>
      <c r="AO42" s="7"/>
      <c r="AP42" s="7"/>
      <c r="AQ42" s="7"/>
    </row>
    <row r="43" spans="1:43">
      <c r="B43" s="888" t="s">
        <v>1331</v>
      </c>
      <c r="C43" s="889">
        <f t="shared" ref="C43:C44" si="1">G11</f>
        <v>250</v>
      </c>
      <c r="D43" s="7"/>
      <c r="E43" s="7"/>
      <c r="F43" s="7"/>
      <c r="G43" s="7"/>
      <c r="H43" s="7"/>
      <c r="I43" s="7"/>
      <c r="J43" s="7"/>
      <c r="K43" s="7"/>
      <c r="L43" s="7"/>
      <c r="M43" s="7"/>
      <c r="AC43" s="7"/>
      <c r="AD43" s="7"/>
      <c r="AE43" s="7"/>
      <c r="AF43" s="7"/>
      <c r="AG43" s="7"/>
      <c r="AH43" s="7"/>
      <c r="AI43" s="7"/>
      <c r="AJ43" s="7"/>
      <c r="AK43" s="7"/>
      <c r="AL43" s="7"/>
      <c r="AM43" s="7"/>
      <c r="AN43" s="7"/>
      <c r="AO43" s="7"/>
      <c r="AP43" s="7"/>
      <c r="AQ43" s="7"/>
    </row>
    <row r="44" spans="1:43">
      <c r="B44" s="888" t="s">
        <v>1335</v>
      </c>
      <c r="C44" s="889">
        <f t="shared" si="1"/>
        <v>200</v>
      </c>
      <c r="D44" s="7"/>
      <c r="E44" s="7"/>
      <c r="F44" s="7"/>
      <c r="G44" s="7"/>
      <c r="H44" s="7"/>
      <c r="I44" s="7"/>
      <c r="J44" s="7"/>
      <c r="K44" s="7"/>
      <c r="L44" s="7"/>
      <c r="M44" s="7"/>
      <c r="AC44" s="7"/>
      <c r="AD44" s="7"/>
      <c r="AE44" s="7"/>
      <c r="AF44" s="7"/>
      <c r="AG44" s="7"/>
      <c r="AH44" s="7"/>
      <c r="AI44" s="7"/>
      <c r="AJ44" s="7"/>
      <c r="AK44" s="7"/>
      <c r="AL44" s="7"/>
      <c r="AM44" s="7"/>
      <c r="AN44" s="7"/>
      <c r="AO44" s="7"/>
      <c r="AP44" s="7"/>
      <c r="AQ44" s="7"/>
    </row>
    <row r="45" spans="1:43">
      <c r="B45" s="888" t="s">
        <v>1336</v>
      </c>
      <c r="C45" s="889">
        <f>H10</f>
        <v>70</v>
      </c>
      <c r="D45" s="7"/>
      <c r="E45" s="7"/>
      <c r="F45" s="7"/>
      <c r="G45" s="7"/>
      <c r="H45" s="7"/>
      <c r="I45" s="7"/>
      <c r="J45" s="7"/>
      <c r="K45" s="7"/>
      <c r="L45" s="7"/>
      <c r="M45" s="7"/>
      <c r="AC45" s="7"/>
      <c r="AD45" s="7"/>
      <c r="AE45" s="7"/>
      <c r="AF45" s="7"/>
      <c r="AG45" s="7"/>
      <c r="AH45" s="7"/>
      <c r="AI45" s="7"/>
      <c r="AJ45" s="7"/>
      <c r="AK45" s="7"/>
      <c r="AL45" s="7"/>
      <c r="AM45" s="7"/>
      <c r="AN45" s="7"/>
      <c r="AO45" s="7"/>
      <c r="AP45" s="7"/>
      <c r="AQ45" s="7"/>
    </row>
    <row r="46" spans="1:43">
      <c r="B46" s="888" t="s">
        <v>1337</v>
      </c>
      <c r="C46" s="889">
        <f t="shared" ref="C46:C47" si="2">H11</f>
        <v>50</v>
      </c>
      <c r="D46" s="7"/>
      <c r="E46" s="7"/>
      <c r="F46" s="7"/>
      <c r="G46" s="7"/>
      <c r="H46" s="7"/>
      <c r="I46" s="7"/>
      <c r="J46" s="7"/>
      <c r="K46" s="7"/>
      <c r="L46" s="7"/>
      <c r="M46" s="7"/>
      <c r="AC46" s="7"/>
      <c r="AD46" s="7"/>
      <c r="AE46" s="7"/>
      <c r="AF46" s="7"/>
      <c r="AG46" s="7"/>
      <c r="AH46" s="7"/>
      <c r="AI46" s="7"/>
      <c r="AJ46" s="7"/>
      <c r="AK46" s="7"/>
      <c r="AL46" s="7"/>
      <c r="AM46" s="7"/>
      <c r="AN46" s="7"/>
      <c r="AO46" s="7"/>
      <c r="AP46" s="7"/>
      <c r="AQ46" s="7"/>
    </row>
    <row r="47" spans="1:43">
      <c r="B47" s="888" t="s">
        <v>1338</v>
      </c>
      <c r="C47" s="889">
        <f t="shared" si="2"/>
        <v>30</v>
      </c>
      <c r="D47" s="7"/>
      <c r="E47" s="7"/>
      <c r="F47" s="7"/>
      <c r="G47" s="7"/>
      <c r="H47" s="7"/>
      <c r="I47" s="7"/>
      <c r="J47" s="7"/>
      <c r="K47" s="7"/>
      <c r="L47" s="7"/>
      <c r="M47" s="7"/>
      <c r="AC47" s="7"/>
      <c r="AD47" s="7"/>
      <c r="AE47" s="7"/>
      <c r="AF47" s="7"/>
      <c r="AG47" s="7"/>
      <c r="AH47" s="7"/>
      <c r="AI47" s="7"/>
      <c r="AJ47" s="7"/>
      <c r="AK47" s="7"/>
      <c r="AL47" s="7"/>
      <c r="AM47" s="7"/>
      <c r="AN47" s="7"/>
      <c r="AO47" s="7"/>
      <c r="AP47" s="7"/>
      <c r="AQ47" s="7"/>
    </row>
    <row r="48" spans="1:43">
      <c r="B48" s="888" t="s">
        <v>1339</v>
      </c>
      <c r="C48" s="889">
        <f>I10</f>
        <v>0</v>
      </c>
      <c r="D48" s="7"/>
      <c r="E48" s="7"/>
      <c r="F48" s="7"/>
      <c r="G48" s="7"/>
      <c r="H48" s="7"/>
      <c r="I48" s="7"/>
      <c r="J48" s="7"/>
      <c r="K48" s="7"/>
      <c r="L48" s="7"/>
      <c r="M48" s="7"/>
      <c r="AC48" s="7"/>
      <c r="AD48" s="7"/>
      <c r="AE48" s="7"/>
      <c r="AF48" s="7"/>
      <c r="AG48" s="7"/>
      <c r="AH48" s="7"/>
      <c r="AI48" s="7"/>
      <c r="AJ48" s="7"/>
      <c r="AK48" s="7"/>
      <c r="AL48" s="7"/>
      <c r="AM48" s="7"/>
      <c r="AN48" s="7"/>
      <c r="AO48" s="7"/>
      <c r="AP48" s="7"/>
      <c r="AQ48" s="7"/>
    </row>
    <row r="49" spans="2:43">
      <c r="B49" s="888" t="s">
        <v>1340</v>
      </c>
      <c r="C49" s="889">
        <f t="shared" ref="C49:C50" si="3">I11</f>
        <v>0</v>
      </c>
      <c r="D49" s="7"/>
      <c r="E49" s="7"/>
      <c r="F49" s="7"/>
      <c r="G49" s="7"/>
      <c r="H49" s="7"/>
      <c r="I49" s="7"/>
      <c r="J49" s="7"/>
      <c r="K49" s="7"/>
      <c r="L49" s="7"/>
      <c r="M49" s="7"/>
      <c r="AC49" s="7"/>
      <c r="AD49" s="7"/>
      <c r="AE49" s="7"/>
      <c r="AF49" s="7"/>
      <c r="AG49" s="7"/>
      <c r="AH49" s="7"/>
      <c r="AI49" s="7"/>
      <c r="AJ49" s="7"/>
      <c r="AK49" s="7"/>
      <c r="AL49" s="7"/>
      <c r="AM49" s="7"/>
      <c r="AN49" s="7"/>
      <c r="AO49" s="7"/>
      <c r="AP49" s="7"/>
      <c r="AQ49" s="7"/>
    </row>
    <row r="50" spans="2:43">
      <c r="B50" s="890" t="s">
        <v>1341</v>
      </c>
      <c r="C50" s="891">
        <f t="shared" si="3"/>
        <v>0</v>
      </c>
      <c r="D50" s="7"/>
      <c r="E50" s="7"/>
      <c r="F50" s="7"/>
      <c r="G50" s="7"/>
      <c r="H50" s="7"/>
      <c r="I50" s="7"/>
      <c r="J50" s="7"/>
      <c r="K50" s="7"/>
      <c r="L50" s="7"/>
      <c r="M50" s="7"/>
      <c r="AC50" s="7"/>
      <c r="AD50" s="7"/>
      <c r="AE50" s="7"/>
      <c r="AF50" s="7"/>
      <c r="AG50" s="7"/>
      <c r="AH50" s="7"/>
      <c r="AI50" s="7"/>
      <c r="AJ50" s="7"/>
      <c r="AK50" s="7"/>
      <c r="AL50" s="7"/>
      <c r="AM50" s="7"/>
      <c r="AN50" s="7"/>
      <c r="AO50" s="7"/>
      <c r="AP50" s="7"/>
      <c r="AQ50" s="7"/>
    </row>
    <row r="51" spans="2:43" s="7" customFormat="1"/>
    <row r="52" spans="2:43" ht="15.75" thickBot="1">
      <c r="B52" s="2187" t="s">
        <v>404</v>
      </c>
      <c r="C52" s="2188"/>
      <c r="D52" s="7"/>
      <c r="E52" s="7"/>
      <c r="F52" s="7"/>
      <c r="G52" s="7"/>
      <c r="H52" s="7"/>
      <c r="I52" s="7"/>
      <c r="J52" s="7"/>
      <c r="K52" s="7"/>
      <c r="L52" s="7"/>
      <c r="M52" s="7"/>
      <c r="AC52" s="7"/>
      <c r="AD52" s="7"/>
      <c r="AE52" s="7"/>
      <c r="AF52" s="7"/>
      <c r="AG52" s="7"/>
      <c r="AH52" s="7"/>
      <c r="AI52" s="7"/>
      <c r="AJ52" s="7"/>
      <c r="AK52" s="7"/>
      <c r="AL52" s="7"/>
      <c r="AM52" s="7"/>
      <c r="AN52" s="7"/>
      <c r="AO52" s="7"/>
      <c r="AP52" s="7"/>
      <c r="AQ52" s="7"/>
    </row>
    <row r="53" spans="2:43" ht="30">
      <c r="B53" s="886" t="s">
        <v>1351</v>
      </c>
      <c r="C53" s="887" t="s">
        <v>1382</v>
      </c>
      <c r="D53" s="7"/>
      <c r="E53" s="7"/>
      <c r="F53" s="7"/>
      <c r="G53" s="7"/>
      <c r="H53" s="7"/>
      <c r="I53" s="7"/>
      <c r="J53" s="7"/>
      <c r="K53" s="7"/>
      <c r="L53" s="7"/>
      <c r="M53" s="7"/>
      <c r="AC53" s="7"/>
      <c r="AD53" s="7"/>
      <c r="AE53" s="7"/>
      <c r="AF53" s="7"/>
      <c r="AG53" s="7"/>
      <c r="AH53" s="7"/>
      <c r="AI53" s="7"/>
      <c r="AJ53" s="7"/>
      <c r="AK53" s="7"/>
      <c r="AL53" s="7"/>
      <c r="AM53" s="7"/>
      <c r="AN53" s="7"/>
      <c r="AO53" s="7"/>
      <c r="AP53" s="7"/>
      <c r="AQ53" s="7"/>
    </row>
    <row r="54" spans="2:43">
      <c r="B54" s="888" t="s">
        <v>1352</v>
      </c>
      <c r="C54" s="892" cm="1">
        <f t="array" ref="C54:C58">TRANSPOSE(E21:I21)</f>
        <v>200</v>
      </c>
      <c r="D54" s="7"/>
      <c r="E54" s="2185" t="s">
        <v>876</v>
      </c>
      <c r="F54" s="2186"/>
      <c r="G54" s="7"/>
      <c r="H54" s="7"/>
      <c r="I54" s="7"/>
      <c r="J54" s="7"/>
      <c r="K54" s="7"/>
      <c r="L54" s="7"/>
      <c r="M54" s="7"/>
      <c r="AC54" s="7"/>
      <c r="AD54" s="7"/>
      <c r="AE54" s="7"/>
      <c r="AF54" s="7"/>
      <c r="AG54" s="7"/>
      <c r="AH54" s="7"/>
      <c r="AI54" s="7"/>
      <c r="AJ54" s="7"/>
      <c r="AK54" s="7"/>
      <c r="AL54" s="7"/>
      <c r="AM54" s="7"/>
      <c r="AN54" s="7"/>
      <c r="AO54" s="7"/>
      <c r="AP54" s="7"/>
      <c r="AQ54" s="7"/>
    </row>
    <row r="55" spans="2:43">
      <c r="B55" s="888" t="s">
        <v>1353</v>
      </c>
      <c r="C55" s="892">
        <v>300</v>
      </c>
      <c r="D55" s="7"/>
      <c r="E55" s="708" t="s">
        <v>324</v>
      </c>
      <c r="F55" s="1752" t="s">
        <v>1384</v>
      </c>
      <c r="G55" s="7"/>
      <c r="H55" s="7"/>
      <c r="I55" s="7"/>
      <c r="J55" s="7"/>
      <c r="K55" s="7"/>
      <c r="L55" s="7"/>
      <c r="M55" s="7"/>
      <c r="AC55" s="7"/>
      <c r="AD55" s="7"/>
      <c r="AE55" s="7"/>
      <c r="AF55" s="7"/>
      <c r="AG55" s="7"/>
      <c r="AH55" s="7"/>
      <c r="AI55" s="7"/>
      <c r="AJ55" s="7"/>
      <c r="AK55" s="7"/>
      <c r="AL55" s="7"/>
      <c r="AM55" s="7"/>
      <c r="AN55" s="7"/>
      <c r="AO55" s="7"/>
      <c r="AP55" s="7"/>
      <c r="AQ55" s="7"/>
    </row>
    <row r="56" spans="2:43">
      <c r="B56" s="888" t="s">
        <v>1354</v>
      </c>
      <c r="C56" s="892">
        <v>550</v>
      </c>
      <c r="D56" s="7"/>
      <c r="E56" s="260" t="s">
        <v>326</v>
      </c>
      <c r="F56" s="764" t="s">
        <v>1385</v>
      </c>
      <c r="G56" s="7"/>
      <c r="H56" s="7"/>
      <c r="I56" s="7"/>
      <c r="J56" s="7"/>
      <c r="K56" s="7"/>
      <c r="L56" s="7"/>
      <c r="M56" s="7"/>
      <c r="AC56" s="7"/>
      <c r="AD56" s="7"/>
      <c r="AE56" s="7"/>
      <c r="AF56" s="7"/>
      <c r="AG56" s="7"/>
      <c r="AH56" s="7"/>
      <c r="AI56" s="7"/>
      <c r="AJ56" s="7"/>
      <c r="AK56" s="7"/>
      <c r="AL56" s="7"/>
      <c r="AM56" s="7"/>
      <c r="AN56" s="7"/>
      <c r="AO56" s="7"/>
      <c r="AP56" s="7"/>
      <c r="AQ56" s="7"/>
    </row>
    <row r="57" spans="2:43">
      <c r="B57" s="888" t="s">
        <v>1355</v>
      </c>
      <c r="C57" s="892">
        <v>1000</v>
      </c>
      <c r="D57" s="7"/>
      <c r="E57" s="260" t="s">
        <v>327</v>
      </c>
      <c r="F57" s="764" t="s">
        <v>1386</v>
      </c>
      <c r="G57" s="7"/>
      <c r="H57" s="7"/>
      <c r="I57" s="7"/>
      <c r="J57" s="7"/>
      <c r="K57" s="7"/>
      <c r="L57" s="7"/>
      <c r="M57" s="7"/>
      <c r="AC57" s="7"/>
      <c r="AD57" s="7"/>
      <c r="AE57" s="7"/>
      <c r="AF57" s="7"/>
      <c r="AG57" s="7"/>
      <c r="AH57" s="7"/>
      <c r="AI57" s="7"/>
      <c r="AJ57" s="7"/>
      <c r="AK57" s="7"/>
      <c r="AL57" s="7"/>
      <c r="AM57" s="7"/>
      <c r="AN57" s="7"/>
      <c r="AO57" s="7"/>
      <c r="AP57" s="7"/>
      <c r="AQ57" s="7"/>
    </row>
    <row r="58" spans="2:43">
      <c r="B58" s="888" t="s">
        <v>1356</v>
      </c>
      <c r="C58" s="892">
        <v>1300</v>
      </c>
      <c r="D58" s="7"/>
      <c r="E58" s="260" t="s">
        <v>328</v>
      </c>
      <c r="F58" s="764" t="s">
        <v>1387</v>
      </c>
      <c r="G58" s="7"/>
      <c r="H58" s="7"/>
      <c r="I58" s="7"/>
      <c r="J58" s="7"/>
      <c r="K58" s="7"/>
      <c r="L58" s="7"/>
      <c r="M58" s="7"/>
      <c r="AC58" s="7"/>
      <c r="AD58" s="7"/>
      <c r="AE58" s="7"/>
      <c r="AF58" s="7"/>
      <c r="AG58" s="7"/>
      <c r="AH58" s="7"/>
      <c r="AI58" s="7"/>
      <c r="AJ58" s="7"/>
      <c r="AK58" s="7"/>
      <c r="AL58" s="7"/>
      <c r="AM58" s="7"/>
      <c r="AN58" s="7"/>
      <c r="AO58" s="7"/>
      <c r="AP58" s="7"/>
      <c r="AQ58" s="7"/>
    </row>
    <row r="59" spans="2:43">
      <c r="B59" s="888" t="s">
        <v>1357</v>
      </c>
      <c r="C59" s="892" cm="1">
        <f t="array" ref="C59:C63">TRANSPOSE(E22:I22)</f>
        <v>200</v>
      </c>
      <c r="D59" s="7"/>
      <c r="E59" s="260" t="s">
        <v>329</v>
      </c>
      <c r="F59" s="764" t="s">
        <v>426</v>
      </c>
      <c r="G59" s="7"/>
      <c r="H59" s="7"/>
      <c r="I59" s="7"/>
      <c r="J59" s="7"/>
      <c r="K59" s="7"/>
      <c r="L59" s="7"/>
      <c r="M59" s="7"/>
      <c r="AC59" s="7"/>
      <c r="AD59" s="7"/>
      <c r="AE59" s="7"/>
      <c r="AF59" s="7"/>
      <c r="AG59" s="7"/>
      <c r="AH59" s="7"/>
      <c r="AI59" s="7"/>
      <c r="AJ59" s="7"/>
      <c r="AK59" s="7"/>
      <c r="AL59" s="7"/>
      <c r="AM59" s="7"/>
      <c r="AN59" s="7"/>
      <c r="AO59" s="7"/>
      <c r="AP59" s="7"/>
      <c r="AQ59" s="7"/>
    </row>
    <row r="60" spans="2:43">
      <c r="B60" s="888" t="s">
        <v>1358</v>
      </c>
      <c r="C60" s="892">
        <v>300</v>
      </c>
      <c r="D60" s="7"/>
      <c r="E60" s="260" t="s">
        <v>330</v>
      </c>
      <c r="F60" s="764" t="s">
        <v>1388</v>
      </c>
      <c r="G60" s="7"/>
      <c r="H60" s="7"/>
      <c r="I60" s="7"/>
      <c r="J60" s="7"/>
      <c r="K60" s="7"/>
      <c r="L60" s="7"/>
      <c r="M60" s="7"/>
      <c r="AC60" s="7"/>
      <c r="AD60" s="7"/>
      <c r="AE60" s="7"/>
      <c r="AF60" s="7"/>
      <c r="AG60" s="7"/>
      <c r="AH60" s="7"/>
      <c r="AI60" s="7"/>
      <c r="AJ60" s="7"/>
      <c r="AK60" s="7"/>
      <c r="AL60" s="7"/>
      <c r="AM60" s="7"/>
      <c r="AN60" s="7"/>
      <c r="AO60" s="7"/>
      <c r="AP60" s="7"/>
      <c r="AQ60" s="7"/>
    </row>
    <row r="61" spans="2:43">
      <c r="B61" s="888" t="s">
        <v>1359</v>
      </c>
      <c r="C61" s="892">
        <v>550</v>
      </c>
      <c r="D61" s="7"/>
      <c r="E61" s="853" t="s">
        <v>1990</v>
      </c>
      <c r="F61" s="1753" t="s">
        <v>1997</v>
      </c>
      <c r="G61" s="7"/>
      <c r="H61" s="7"/>
      <c r="I61" s="7"/>
      <c r="J61" s="7"/>
      <c r="K61" s="7"/>
      <c r="L61" s="7"/>
      <c r="M61" s="7"/>
      <c r="AC61" s="7"/>
      <c r="AD61" s="7"/>
      <c r="AE61" s="7"/>
      <c r="AF61" s="7"/>
      <c r="AG61" s="7"/>
      <c r="AH61" s="7"/>
      <c r="AI61" s="7"/>
      <c r="AJ61" s="7"/>
      <c r="AK61" s="7"/>
      <c r="AL61" s="7"/>
      <c r="AM61" s="7"/>
      <c r="AN61" s="7"/>
      <c r="AO61" s="7"/>
      <c r="AP61" s="7"/>
      <c r="AQ61" s="7"/>
    </row>
    <row r="62" spans="2:43">
      <c r="B62" s="888" t="s">
        <v>1360</v>
      </c>
      <c r="C62" s="892">
        <v>1000</v>
      </c>
      <c r="D62" s="7"/>
      <c r="E62" s="7"/>
      <c r="F62" s="7"/>
      <c r="G62" s="7"/>
      <c r="H62" s="7"/>
      <c r="I62" s="7"/>
      <c r="J62" s="7"/>
      <c r="K62" s="7"/>
      <c r="L62" s="7"/>
      <c r="M62" s="7"/>
      <c r="AC62" s="7"/>
      <c r="AD62" s="7"/>
      <c r="AE62" s="7"/>
      <c r="AF62" s="7"/>
      <c r="AG62" s="7"/>
      <c r="AH62" s="7"/>
      <c r="AI62" s="7"/>
      <c r="AJ62" s="7"/>
      <c r="AK62" s="7"/>
      <c r="AL62" s="7"/>
      <c r="AM62" s="7"/>
      <c r="AN62" s="7"/>
      <c r="AO62" s="7"/>
      <c r="AP62" s="7"/>
      <c r="AQ62" s="7"/>
    </row>
    <row r="63" spans="2:43">
      <c r="B63" s="888" t="s">
        <v>1361</v>
      </c>
      <c r="C63" s="892">
        <v>1300</v>
      </c>
      <c r="D63" s="7"/>
      <c r="E63" s="7"/>
      <c r="F63" s="7"/>
      <c r="G63" s="7"/>
      <c r="H63" s="7"/>
      <c r="I63" s="7"/>
      <c r="J63" s="7"/>
      <c r="K63" s="7"/>
      <c r="L63" s="7"/>
      <c r="M63" s="7"/>
      <c r="AC63" s="7"/>
      <c r="AD63" s="7"/>
      <c r="AE63" s="7"/>
      <c r="AF63" s="7"/>
      <c r="AG63" s="7"/>
      <c r="AH63" s="7"/>
      <c r="AI63" s="7"/>
      <c r="AJ63" s="7"/>
      <c r="AK63" s="7"/>
      <c r="AL63" s="7"/>
      <c r="AM63" s="7"/>
      <c r="AN63" s="7"/>
      <c r="AO63" s="7"/>
      <c r="AP63" s="7"/>
      <c r="AQ63" s="7"/>
    </row>
    <row r="64" spans="2:43">
      <c r="B64" s="888" t="s">
        <v>1362</v>
      </c>
      <c r="C64" s="892" cm="1">
        <f t="array" ref="C64:C68">TRANSPOSE(E23:I23)</f>
        <v>60</v>
      </c>
      <c r="D64" s="7"/>
      <c r="E64" s="7"/>
      <c r="F64" s="7"/>
      <c r="G64" s="7"/>
      <c r="H64" s="7"/>
      <c r="I64" s="7"/>
      <c r="J64" s="7"/>
      <c r="K64" s="7"/>
      <c r="L64" s="7"/>
      <c r="M64" s="7"/>
      <c r="AC64" s="7"/>
      <c r="AD64" s="7"/>
      <c r="AE64" s="7"/>
      <c r="AF64" s="7"/>
      <c r="AG64" s="7"/>
      <c r="AH64" s="7"/>
      <c r="AI64" s="7"/>
      <c r="AJ64" s="7"/>
      <c r="AK64" s="7"/>
      <c r="AL64" s="7"/>
      <c r="AM64" s="7"/>
      <c r="AN64" s="7"/>
      <c r="AO64" s="7"/>
      <c r="AP64" s="7"/>
      <c r="AQ64" s="7"/>
    </row>
    <row r="65" spans="2:43">
      <c r="B65" s="888" t="s">
        <v>1363</v>
      </c>
      <c r="C65" s="892">
        <v>200</v>
      </c>
      <c r="D65" s="7"/>
      <c r="E65" s="7"/>
      <c r="F65" s="7"/>
      <c r="G65" s="7"/>
      <c r="H65" s="7"/>
      <c r="I65" s="7"/>
      <c r="J65" s="7"/>
      <c r="K65" s="7"/>
      <c r="L65" s="7"/>
      <c r="M65" s="7"/>
      <c r="AC65" s="7"/>
      <c r="AD65" s="7"/>
      <c r="AE65" s="7"/>
      <c r="AF65" s="7"/>
      <c r="AG65" s="7"/>
      <c r="AH65" s="7"/>
      <c r="AI65" s="7"/>
      <c r="AJ65" s="7"/>
      <c r="AK65" s="7"/>
      <c r="AL65" s="7"/>
      <c r="AM65" s="7"/>
      <c r="AN65" s="7"/>
      <c r="AO65" s="7"/>
      <c r="AP65" s="7"/>
      <c r="AQ65" s="7"/>
    </row>
    <row r="66" spans="2:43">
      <c r="B66" s="888" t="s">
        <v>1364</v>
      </c>
      <c r="C66" s="892">
        <v>550</v>
      </c>
      <c r="D66" s="7"/>
      <c r="E66" s="7"/>
      <c r="F66" s="7"/>
      <c r="G66" s="7"/>
      <c r="H66" s="7"/>
      <c r="I66" s="7"/>
      <c r="J66" s="7"/>
      <c r="K66" s="7"/>
      <c r="L66" s="7"/>
      <c r="M66" s="7"/>
      <c r="AC66" s="7"/>
      <c r="AD66" s="7"/>
      <c r="AE66" s="7"/>
      <c r="AF66" s="7"/>
      <c r="AG66" s="7"/>
      <c r="AH66" s="7"/>
      <c r="AI66" s="7"/>
      <c r="AJ66" s="7"/>
      <c r="AK66" s="7"/>
      <c r="AL66" s="7"/>
      <c r="AM66" s="7"/>
      <c r="AN66" s="7"/>
      <c r="AO66" s="7"/>
      <c r="AP66" s="7"/>
      <c r="AQ66" s="7"/>
    </row>
    <row r="67" spans="2:43">
      <c r="B67" s="888" t="s">
        <v>1365</v>
      </c>
      <c r="C67" s="892">
        <v>1100</v>
      </c>
      <c r="D67" s="7"/>
      <c r="E67" s="7"/>
      <c r="F67" s="7"/>
      <c r="G67" s="7"/>
      <c r="H67" s="7"/>
      <c r="I67" s="7"/>
      <c r="J67" s="7"/>
      <c r="K67" s="7"/>
      <c r="L67" s="7"/>
      <c r="M67" s="7"/>
      <c r="AC67" s="7"/>
      <c r="AD67" s="7"/>
      <c r="AE67" s="7"/>
      <c r="AF67" s="7"/>
      <c r="AG67" s="7"/>
      <c r="AH67" s="7"/>
      <c r="AI67" s="7"/>
      <c r="AJ67" s="7"/>
      <c r="AK67" s="7"/>
      <c r="AL67" s="7"/>
      <c r="AM67" s="7"/>
      <c r="AN67" s="7"/>
      <c r="AO67" s="7"/>
      <c r="AP67" s="7"/>
      <c r="AQ67" s="7"/>
    </row>
    <row r="68" spans="2:43">
      <c r="B68" s="888" t="s">
        <v>1366</v>
      </c>
      <c r="C68" s="892">
        <v>1550</v>
      </c>
      <c r="D68" s="7"/>
      <c r="E68" s="7"/>
      <c r="F68" s="7"/>
      <c r="G68" s="7"/>
      <c r="H68" s="7"/>
      <c r="I68" s="7"/>
      <c r="J68" s="7"/>
      <c r="K68" s="7"/>
      <c r="L68" s="7"/>
      <c r="M68" s="7"/>
      <c r="AC68" s="7"/>
      <c r="AD68" s="7"/>
      <c r="AE68" s="7"/>
      <c r="AF68" s="7"/>
      <c r="AG68" s="7"/>
      <c r="AH68" s="7"/>
      <c r="AI68" s="7"/>
      <c r="AJ68" s="7"/>
      <c r="AK68" s="7"/>
      <c r="AL68" s="7"/>
      <c r="AM68" s="7"/>
      <c r="AN68" s="7"/>
      <c r="AO68" s="7"/>
      <c r="AP68" s="7"/>
      <c r="AQ68" s="7"/>
    </row>
    <row r="69" spans="2:43">
      <c r="B69" s="888" t="s">
        <v>1367</v>
      </c>
      <c r="C69" s="892" cm="1">
        <f t="array" ref="C69:C73">TRANSPOSE(E24:I24)</f>
        <v>100</v>
      </c>
      <c r="D69" s="7"/>
      <c r="E69" s="7"/>
      <c r="F69" s="7"/>
      <c r="G69" s="7"/>
      <c r="H69" s="7"/>
      <c r="I69" s="7"/>
      <c r="J69" s="7"/>
      <c r="K69" s="7"/>
      <c r="L69" s="7"/>
      <c r="M69" s="7"/>
      <c r="AC69" s="7"/>
      <c r="AD69" s="7"/>
      <c r="AE69" s="7"/>
      <c r="AF69" s="7"/>
      <c r="AG69" s="7"/>
      <c r="AH69" s="7"/>
      <c r="AI69" s="7"/>
      <c r="AJ69" s="7"/>
      <c r="AK69" s="7"/>
      <c r="AL69" s="7"/>
      <c r="AM69" s="7"/>
      <c r="AN69" s="7"/>
      <c r="AO69" s="7"/>
      <c r="AP69" s="7"/>
      <c r="AQ69" s="7"/>
    </row>
    <row r="70" spans="2:43">
      <c r="B70" s="888" t="s">
        <v>1368</v>
      </c>
      <c r="C70" s="892">
        <v>400</v>
      </c>
      <c r="D70" s="7"/>
      <c r="E70" s="7"/>
      <c r="F70" s="7"/>
      <c r="G70" s="7"/>
      <c r="H70" s="7"/>
      <c r="I70" s="7"/>
      <c r="J70" s="7"/>
      <c r="K70" s="7"/>
      <c r="L70" s="7"/>
      <c r="M70" s="7"/>
      <c r="AC70" s="7"/>
      <c r="AD70" s="7"/>
      <c r="AE70" s="7"/>
      <c r="AF70" s="7"/>
      <c r="AG70" s="7"/>
      <c r="AH70" s="7"/>
      <c r="AI70" s="7"/>
      <c r="AJ70" s="7"/>
      <c r="AK70" s="7"/>
      <c r="AL70" s="7"/>
      <c r="AM70" s="7"/>
      <c r="AN70" s="7"/>
      <c r="AO70" s="7"/>
      <c r="AP70" s="7"/>
      <c r="AQ70" s="7"/>
    </row>
    <row r="71" spans="2:43">
      <c r="B71" s="888" t="s">
        <v>1369</v>
      </c>
      <c r="C71" s="892">
        <v>1000</v>
      </c>
      <c r="D71" s="7"/>
      <c r="E71" s="7"/>
      <c r="F71" s="7"/>
      <c r="G71" s="7"/>
      <c r="H71" s="7"/>
      <c r="I71" s="7"/>
      <c r="J71" s="7"/>
      <c r="K71" s="7"/>
      <c r="L71" s="7"/>
      <c r="M71" s="7"/>
      <c r="AC71" s="7"/>
      <c r="AD71" s="7"/>
      <c r="AE71" s="7"/>
      <c r="AF71" s="7"/>
      <c r="AG71" s="7"/>
      <c r="AH71" s="7"/>
      <c r="AI71" s="7"/>
      <c r="AJ71" s="7"/>
      <c r="AK71" s="7"/>
      <c r="AL71" s="7"/>
      <c r="AM71" s="7"/>
      <c r="AN71" s="7"/>
      <c r="AO71" s="7"/>
      <c r="AP71" s="7"/>
      <c r="AQ71" s="7"/>
    </row>
    <row r="72" spans="2:43">
      <c r="B72" s="888" t="s">
        <v>1370</v>
      </c>
      <c r="C72" s="892">
        <v>1500</v>
      </c>
      <c r="D72" s="7"/>
      <c r="E72" s="7"/>
      <c r="F72" s="7"/>
      <c r="G72" s="7"/>
      <c r="H72" s="7"/>
      <c r="I72" s="7"/>
      <c r="J72" s="7"/>
      <c r="K72" s="7"/>
      <c r="L72" s="7"/>
      <c r="M72" s="7"/>
      <c r="AC72" s="7"/>
      <c r="AD72" s="7"/>
      <c r="AE72" s="7"/>
      <c r="AF72" s="7"/>
      <c r="AG72" s="7"/>
      <c r="AH72" s="7"/>
      <c r="AI72" s="7"/>
      <c r="AJ72" s="7"/>
      <c r="AK72" s="7"/>
      <c r="AL72" s="7"/>
      <c r="AM72" s="7"/>
      <c r="AN72" s="7"/>
      <c r="AO72" s="7"/>
      <c r="AP72" s="7"/>
      <c r="AQ72" s="7"/>
    </row>
    <row r="73" spans="2:43">
      <c r="B73" s="888" t="s">
        <v>1371</v>
      </c>
      <c r="C73" s="892">
        <v>2200</v>
      </c>
      <c r="D73" s="7"/>
      <c r="E73" s="7"/>
      <c r="F73" s="7"/>
      <c r="G73" s="7"/>
      <c r="H73" s="7"/>
      <c r="I73" s="7"/>
      <c r="J73" s="7"/>
      <c r="K73" s="7"/>
      <c r="L73" s="7"/>
      <c r="M73" s="7"/>
      <c r="AC73" s="7"/>
      <c r="AD73" s="7"/>
      <c r="AE73" s="7"/>
      <c r="AF73" s="7"/>
      <c r="AG73" s="7"/>
      <c r="AH73" s="7"/>
      <c r="AI73" s="7"/>
      <c r="AJ73" s="7"/>
      <c r="AK73" s="7"/>
      <c r="AL73" s="7"/>
      <c r="AM73" s="7"/>
      <c r="AN73" s="7"/>
      <c r="AO73" s="7"/>
      <c r="AP73" s="7"/>
      <c r="AQ73" s="7"/>
    </row>
    <row r="74" spans="2:43">
      <c r="B74" s="888" t="s">
        <v>1372</v>
      </c>
      <c r="C74" s="892" cm="1">
        <f t="array" ref="C74:C78">TRANSPOSE(E25:I25)</f>
        <v>300</v>
      </c>
      <c r="D74" s="7"/>
      <c r="E74" s="7"/>
      <c r="F74" s="7"/>
      <c r="G74" s="7"/>
      <c r="H74" s="7"/>
      <c r="I74" s="7"/>
      <c r="J74" s="7"/>
      <c r="K74" s="7"/>
      <c r="L74" s="7"/>
      <c r="M74" s="7"/>
      <c r="AC74" s="7"/>
      <c r="AD74" s="7"/>
      <c r="AE74" s="7"/>
      <c r="AF74" s="7"/>
      <c r="AG74" s="7"/>
      <c r="AH74" s="7"/>
      <c r="AI74" s="7"/>
      <c r="AJ74" s="7"/>
      <c r="AK74" s="7"/>
      <c r="AL74" s="7"/>
      <c r="AM74" s="7"/>
      <c r="AN74" s="7"/>
      <c r="AO74" s="7"/>
      <c r="AP74" s="7"/>
      <c r="AQ74" s="7"/>
    </row>
    <row r="75" spans="2:43">
      <c r="B75" s="888" t="s">
        <v>1373</v>
      </c>
      <c r="C75" s="892">
        <v>500</v>
      </c>
      <c r="D75" s="7"/>
      <c r="E75" s="7"/>
      <c r="F75" s="7"/>
      <c r="G75" s="7"/>
      <c r="H75" s="7"/>
      <c r="I75" s="7"/>
      <c r="J75" s="7"/>
      <c r="K75" s="7"/>
      <c r="L75" s="7"/>
      <c r="M75" s="7"/>
      <c r="AC75" s="7"/>
      <c r="AD75" s="7"/>
      <c r="AE75" s="7"/>
      <c r="AF75" s="7"/>
      <c r="AG75" s="7"/>
      <c r="AH75" s="7"/>
      <c r="AI75" s="7"/>
      <c r="AJ75" s="7"/>
      <c r="AK75" s="7"/>
      <c r="AL75" s="7"/>
      <c r="AM75" s="7"/>
      <c r="AN75" s="7"/>
      <c r="AO75" s="7"/>
      <c r="AP75" s="7"/>
      <c r="AQ75" s="7"/>
    </row>
    <row r="76" spans="2:43">
      <c r="B76" s="888" t="s">
        <v>1374</v>
      </c>
      <c r="C76" s="892">
        <v>900</v>
      </c>
      <c r="D76" s="7"/>
      <c r="E76" s="7"/>
      <c r="F76" s="7"/>
      <c r="G76" s="7"/>
      <c r="H76" s="7"/>
      <c r="I76" s="7"/>
      <c r="J76" s="7"/>
      <c r="K76" s="7"/>
      <c r="L76" s="7"/>
      <c r="M76" s="7"/>
      <c r="AC76" s="7"/>
      <c r="AD76" s="7"/>
      <c r="AE76" s="7"/>
      <c r="AF76" s="7"/>
      <c r="AG76" s="7"/>
      <c r="AH76" s="7"/>
      <c r="AI76" s="7"/>
      <c r="AJ76" s="7"/>
      <c r="AK76" s="7"/>
      <c r="AL76" s="7"/>
      <c r="AM76" s="7"/>
      <c r="AN76" s="7"/>
      <c r="AO76" s="7"/>
      <c r="AP76" s="7"/>
      <c r="AQ76" s="7"/>
    </row>
    <row r="77" spans="2:43">
      <c r="B77" s="888" t="s">
        <v>1375</v>
      </c>
      <c r="C77" s="892">
        <v>1550</v>
      </c>
      <c r="D77" s="7"/>
      <c r="E77" s="7"/>
      <c r="F77" s="7"/>
      <c r="G77" s="7"/>
      <c r="H77" s="7"/>
      <c r="I77" s="7"/>
      <c r="J77" s="7"/>
      <c r="K77" s="7"/>
      <c r="L77" s="7"/>
      <c r="M77" s="7"/>
      <c r="AC77" s="7"/>
      <c r="AD77" s="7"/>
      <c r="AE77" s="7"/>
      <c r="AF77" s="7"/>
      <c r="AG77" s="7"/>
      <c r="AH77" s="7"/>
      <c r="AI77" s="7"/>
      <c r="AJ77" s="7"/>
      <c r="AK77" s="7"/>
      <c r="AL77" s="7"/>
      <c r="AM77" s="7"/>
      <c r="AN77" s="7"/>
      <c r="AO77" s="7"/>
      <c r="AP77" s="7"/>
      <c r="AQ77" s="7"/>
    </row>
    <row r="78" spans="2:43">
      <c r="B78" s="888" t="s">
        <v>1376</v>
      </c>
      <c r="C78" s="892">
        <v>2000</v>
      </c>
      <c r="D78" s="7"/>
      <c r="E78" s="7"/>
      <c r="F78" s="7"/>
      <c r="G78" s="7"/>
      <c r="H78" s="7"/>
      <c r="I78" s="7"/>
      <c r="J78" s="7"/>
      <c r="K78" s="7"/>
      <c r="L78" s="7"/>
      <c r="M78" s="7"/>
      <c r="AC78" s="7"/>
      <c r="AD78" s="7"/>
      <c r="AE78" s="7"/>
      <c r="AF78" s="7"/>
      <c r="AG78" s="7"/>
      <c r="AH78" s="7"/>
      <c r="AI78" s="7"/>
      <c r="AJ78" s="7"/>
      <c r="AK78" s="7"/>
      <c r="AL78" s="7"/>
      <c r="AM78" s="7"/>
      <c r="AN78" s="7"/>
      <c r="AO78" s="7"/>
      <c r="AP78" s="7"/>
      <c r="AQ78" s="7"/>
    </row>
    <row r="79" spans="2:43">
      <c r="B79" s="888" t="s">
        <v>1377</v>
      </c>
      <c r="C79" s="892" cm="1">
        <f t="array" ref="C79:C83">TRANSPOSE(E26:I26)</f>
        <v>30</v>
      </c>
      <c r="D79" s="7"/>
      <c r="E79" s="7"/>
      <c r="F79" s="7"/>
      <c r="G79" s="7"/>
      <c r="H79" s="7"/>
      <c r="I79" s="7"/>
      <c r="J79" s="7"/>
      <c r="K79" s="7"/>
      <c r="L79" s="7"/>
      <c r="M79" s="7"/>
      <c r="AC79" s="7"/>
      <c r="AD79" s="7"/>
      <c r="AE79" s="7"/>
      <c r="AF79" s="7"/>
      <c r="AG79" s="7"/>
      <c r="AH79" s="7"/>
      <c r="AI79" s="7"/>
      <c r="AJ79" s="7"/>
      <c r="AK79" s="7"/>
      <c r="AL79" s="7"/>
      <c r="AM79" s="7"/>
      <c r="AN79" s="7"/>
      <c r="AO79" s="7"/>
      <c r="AP79" s="7"/>
      <c r="AQ79" s="7"/>
    </row>
    <row r="80" spans="2:43">
      <c r="B80" s="888" t="s">
        <v>1378</v>
      </c>
      <c r="C80" s="892">
        <v>150</v>
      </c>
      <c r="D80" s="7"/>
      <c r="E80" s="7"/>
      <c r="F80" s="7"/>
      <c r="G80" s="7"/>
      <c r="H80" s="7"/>
      <c r="I80" s="7"/>
      <c r="J80" s="7"/>
      <c r="K80" s="7"/>
      <c r="L80" s="7"/>
      <c r="M80" s="7"/>
      <c r="AC80" s="7"/>
      <c r="AD80" s="7"/>
      <c r="AE80" s="7"/>
      <c r="AF80" s="7"/>
      <c r="AG80" s="7"/>
      <c r="AH80" s="7"/>
      <c r="AI80" s="7"/>
      <c r="AJ80" s="7"/>
      <c r="AK80" s="7"/>
      <c r="AL80" s="7"/>
      <c r="AM80" s="7"/>
      <c r="AN80" s="7"/>
      <c r="AO80" s="7"/>
      <c r="AP80" s="7"/>
      <c r="AQ80" s="7"/>
    </row>
    <row r="81" spans="2:43">
      <c r="B81" s="888" t="s">
        <v>1379</v>
      </c>
      <c r="C81" s="892">
        <v>400</v>
      </c>
      <c r="D81" s="7"/>
      <c r="E81" s="7"/>
      <c r="F81" s="7"/>
      <c r="G81" s="7"/>
      <c r="H81" s="7"/>
      <c r="I81" s="7"/>
      <c r="J81" s="7"/>
      <c r="K81" s="7"/>
      <c r="L81" s="7"/>
      <c r="M81" s="7"/>
      <c r="AC81" s="7"/>
      <c r="AD81" s="7"/>
      <c r="AE81" s="7"/>
      <c r="AF81" s="7"/>
      <c r="AG81" s="7"/>
      <c r="AH81" s="7"/>
      <c r="AI81" s="7"/>
      <c r="AJ81" s="7"/>
      <c r="AK81" s="7"/>
      <c r="AL81" s="7"/>
      <c r="AM81" s="7"/>
      <c r="AN81" s="7"/>
      <c r="AO81" s="7"/>
      <c r="AP81" s="7"/>
      <c r="AQ81" s="7"/>
    </row>
    <row r="82" spans="2:43">
      <c r="B82" s="888" t="s">
        <v>1380</v>
      </c>
      <c r="C82" s="892">
        <v>800</v>
      </c>
      <c r="D82" s="7"/>
      <c r="E82" s="7"/>
      <c r="F82" s="7"/>
      <c r="G82" s="7"/>
      <c r="H82" s="7"/>
      <c r="I82" s="7"/>
      <c r="J82" s="7"/>
      <c r="K82" s="7"/>
      <c r="L82" s="7"/>
      <c r="M82" s="7"/>
      <c r="AC82" s="7"/>
      <c r="AD82" s="7"/>
      <c r="AE82" s="7"/>
      <c r="AF82" s="7"/>
      <c r="AG82" s="7"/>
      <c r="AH82" s="7"/>
      <c r="AI82" s="7"/>
      <c r="AJ82" s="7"/>
      <c r="AK82" s="7"/>
      <c r="AL82" s="7"/>
      <c r="AM82" s="7"/>
      <c r="AN82" s="7"/>
      <c r="AO82" s="7"/>
      <c r="AP82" s="7"/>
      <c r="AQ82" s="7"/>
    </row>
    <row r="83" spans="2:43">
      <c r="B83" s="888" t="s">
        <v>1381</v>
      </c>
      <c r="C83" s="892">
        <v>1100</v>
      </c>
      <c r="D83" s="7"/>
      <c r="E83" s="7"/>
      <c r="F83" s="7"/>
      <c r="G83" s="7"/>
      <c r="H83" s="7"/>
      <c r="I83" s="7"/>
      <c r="J83" s="7"/>
      <c r="K83" s="7"/>
      <c r="L83" s="7"/>
      <c r="M83" s="7"/>
      <c r="AC83" s="7"/>
      <c r="AD83" s="7"/>
      <c r="AE83" s="7"/>
      <c r="AF83" s="7"/>
      <c r="AG83" s="7"/>
      <c r="AH83" s="7"/>
      <c r="AI83" s="7"/>
      <c r="AJ83" s="7"/>
      <c r="AK83" s="7"/>
      <c r="AL83" s="7"/>
      <c r="AM83" s="7"/>
      <c r="AN83" s="7"/>
      <c r="AO83" s="7"/>
      <c r="AP83" s="7"/>
      <c r="AQ83" s="7"/>
    </row>
    <row r="84" spans="2:43" s="7" customFormat="1">
      <c r="B84" s="888" t="s">
        <v>1998</v>
      </c>
      <c r="C84" s="892" cm="1">
        <f t="array" ref="C84:C86">TRANSPOSE(F34:H34)</f>
        <v>16</v>
      </c>
    </row>
    <row r="85" spans="2:43" s="7" customFormat="1">
      <c r="B85" s="888" t="s">
        <v>1999</v>
      </c>
      <c r="C85" s="892">
        <v>21</v>
      </c>
    </row>
    <row r="86" spans="2:43" s="7" customFormat="1">
      <c r="B86" s="890" t="s">
        <v>2000</v>
      </c>
      <c r="C86" s="893">
        <v>31</v>
      </c>
    </row>
    <row r="87" spans="2:43" s="7" customFormat="1"/>
    <row r="88" spans="2:43" s="7" customFormat="1"/>
    <row r="89" spans="2:43" s="7" customFormat="1"/>
    <row r="90" spans="2:43" s="7" customFormat="1"/>
    <row r="91" spans="2:43" s="7" customFormat="1"/>
    <row r="92" spans="2:43" s="7" customFormat="1"/>
    <row r="93" spans="2:43" s="7" customFormat="1"/>
    <row r="94" spans="2:43" s="7" customFormat="1"/>
    <row r="95" spans="2:43" s="7" customFormat="1"/>
    <row r="96" spans="2:43" s="7" customFormat="1"/>
    <row r="97" s="7" customFormat="1"/>
    <row r="98" s="7" customFormat="1"/>
    <row r="99" s="7" customFormat="1"/>
    <row r="100" s="7" customFormat="1"/>
    <row r="101" s="7" customFormat="1"/>
    <row r="102" s="7" customFormat="1"/>
    <row r="103" s="7" customFormat="1"/>
    <row r="104" s="7" customFormat="1"/>
    <row r="105" s="7" customFormat="1"/>
  </sheetData>
  <mergeCells count="80">
    <mergeCell ref="C28:D28"/>
    <mergeCell ref="C32:D32"/>
    <mergeCell ref="B19:M19"/>
    <mergeCell ref="C20:D20"/>
    <mergeCell ref="C21:D21"/>
    <mergeCell ref="E30:I30"/>
    <mergeCell ref="E31:I31"/>
    <mergeCell ref="J21:J26"/>
    <mergeCell ref="J31:J32"/>
    <mergeCell ref="J28:J29"/>
    <mergeCell ref="L20:M34"/>
    <mergeCell ref="E32:I32"/>
    <mergeCell ref="C22:D22"/>
    <mergeCell ref="C29:D29"/>
    <mergeCell ref="C30:D30"/>
    <mergeCell ref="C31:D31"/>
    <mergeCell ref="C27:D27"/>
    <mergeCell ref="E27:I27"/>
    <mergeCell ref="E28:I28"/>
    <mergeCell ref="E29:I29"/>
    <mergeCell ref="B16:M16"/>
    <mergeCell ref="B17:B18"/>
    <mergeCell ref="C17:D17"/>
    <mergeCell ref="E17:I17"/>
    <mergeCell ref="J17:J18"/>
    <mergeCell ref="K17:K18"/>
    <mergeCell ref="L17:M18"/>
    <mergeCell ref="C18:D18"/>
    <mergeCell ref="E18:I18"/>
    <mergeCell ref="C23:D23"/>
    <mergeCell ref="C24:D24"/>
    <mergeCell ref="C25:D25"/>
    <mergeCell ref="C26:D26"/>
    <mergeCell ref="B13:M13"/>
    <mergeCell ref="B14:B15"/>
    <mergeCell ref="C14:D14"/>
    <mergeCell ref="E14:I14"/>
    <mergeCell ref="J14:J15"/>
    <mergeCell ref="K14:K15"/>
    <mergeCell ref="L14:M15"/>
    <mergeCell ref="C15:D15"/>
    <mergeCell ref="E15:I15"/>
    <mergeCell ref="C12:D12"/>
    <mergeCell ref="E12:F12"/>
    <mergeCell ref="H9:I9"/>
    <mergeCell ref="H10:I10"/>
    <mergeCell ref="H11:I11"/>
    <mergeCell ref="H12:I12"/>
    <mergeCell ref="E54:F54"/>
    <mergeCell ref="B37:C37"/>
    <mergeCell ref="B52:C52"/>
    <mergeCell ref="L5:M6"/>
    <mergeCell ref="B5:B6"/>
    <mergeCell ref="C5:D6"/>
    <mergeCell ref="E5:I6"/>
    <mergeCell ref="J5:J6"/>
    <mergeCell ref="K5:K6"/>
    <mergeCell ref="B7:M7"/>
    <mergeCell ref="B8:B12"/>
    <mergeCell ref="C8:D9"/>
    <mergeCell ref="E8:G8"/>
    <mergeCell ref="H8:I8"/>
    <mergeCell ref="L8:L9"/>
    <mergeCell ref="M8:M9"/>
    <mergeCell ref="N5:N6"/>
    <mergeCell ref="N7:N34"/>
    <mergeCell ref="B36:N36"/>
    <mergeCell ref="B4:N4"/>
    <mergeCell ref="C33:D33"/>
    <mergeCell ref="J33:J34"/>
    <mergeCell ref="C34:D34"/>
    <mergeCell ref="B20:B34"/>
    <mergeCell ref="K20:K34"/>
    <mergeCell ref="E9:F9"/>
    <mergeCell ref="C10:D10"/>
    <mergeCell ref="E10:F10"/>
    <mergeCell ref="J10:J12"/>
    <mergeCell ref="K10:K12"/>
    <mergeCell ref="C11:D11"/>
    <mergeCell ref="E11:F1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214"/>
  <sheetViews>
    <sheetView workbookViewId="0"/>
  </sheetViews>
  <sheetFormatPr baseColWidth="10" defaultColWidth="11.42578125" defaultRowHeight="15"/>
  <cols>
    <col min="1" max="1" width="4" style="7" customWidth="1"/>
    <col min="2" max="2" width="20.140625" style="7" customWidth="1"/>
    <col min="3" max="3" width="43.85546875" customWidth="1"/>
    <col min="4" max="4" width="5.5703125" style="7" customWidth="1"/>
    <col min="5" max="5" width="27.5703125" customWidth="1"/>
    <col min="6" max="6" width="5.5703125" style="7" customWidth="1"/>
    <col min="7" max="7" width="21.140625" style="7" customWidth="1"/>
    <col min="8" max="8" width="28.140625" customWidth="1"/>
    <col min="9" max="9" width="22.5703125" customWidth="1"/>
    <col min="10" max="10" width="24.42578125" customWidth="1"/>
  </cols>
  <sheetData>
    <row r="1" spans="2:5" s="7" customFormat="1"/>
    <row r="2" spans="2:5" s="7" customFormat="1" ht="36">
      <c r="B2" s="2235" t="s">
        <v>1394</v>
      </c>
      <c r="C2" s="2235"/>
    </row>
    <row r="3" spans="2:5" s="573" customFormat="1" ht="14.25" customHeight="1">
      <c r="B3" s="1076"/>
      <c r="C3" s="1076"/>
    </row>
    <row r="4" spans="2:5" s="573" customFormat="1" ht="14.25" customHeight="1">
      <c r="B4" s="1077" t="s">
        <v>1687</v>
      </c>
      <c r="C4" s="1076"/>
    </row>
    <row r="5" spans="2:5" s="573" customFormat="1" ht="14.25" customHeight="1">
      <c r="B5" s="1077"/>
      <c r="C5" s="1076"/>
    </row>
    <row r="6" spans="2:5" s="573" customFormat="1" ht="14.25" customHeight="1">
      <c r="B6" s="1077"/>
      <c r="C6" s="7" t="s">
        <v>1688</v>
      </c>
    </row>
    <row r="7" spans="2:5" s="573" customFormat="1" ht="14.25" customHeight="1">
      <c r="B7" s="1077"/>
      <c r="C7" s="913" t="s">
        <v>15</v>
      </c>
    </row>
    <row r="8" spans="2:5" s="573" customFormat="1" ht="14.25" customHeight="1">
      <c r="B8" s="1076"/>
      <c r="C8" s="914" t="s">
        <v>14</v>
      </c>
    </row>
    <row r="9" spans="2:5" s="573" customFormat="1" ht="14.25" customHeight="1">
      <c r="B9" s="1076"/>
      <c r="C9" s="915" t="s">
        <v>337</v>
      </c>
    </row>
    <row r="10" spans="2:5" s="573" customFormat="1" ht="14.25" customHeight="1">
      <c r="B10" s="1076"/>
      <c r="C10" s="521"/>
    </row>
    <row r="11" spans="2:5" s="573" customFormat="1" ht="14.25" customHeight="1">
      <c r="B11" s="1077" t="s">
        <v>1686</v>
      </c>
      <c r="C11" s="1076"/>
    </row>
    <row r="12" spans="2:5" s="573" customFormat="1" ht="14.25" customHeight="1">
      <c r="B12" s="1077"/>
      <c r="C12" s="1076"/>
    </row>
    <row r="13" spans="2:5" s="573" customFormat="1" ht="14.25" customHeight="1">
      <c r="B13" s="1077"/>
      <c r="C13" s="1078" t="s">
        <v>24</v>
      </c>
      <c r="E13" s="1078" t="s">
        <v>1824</v>
      </c>
    </row>
    <row r="14" spans="2:5" s="573" customFormat="1" ht="14.25" customHeight="1">
      <c r="B14" s="1077"/>
      <c r="C14" s="1189" t="s">
        <v>15</v>
      </c>
      <c r="E14" s="1189" t="s">
        <v>15</v>
      </c>
    </row>
    <row r="15" spans="2:5" s="573" customFormat="1" ht="14.25" customHeight="1">
      <c r="B15" s="1077"/>
      <c r="C15" s="919" t="s">
        <v>1563</v>
      </c>
      <c r="E15" s="919" t="s">
        <v>1828</v>
      </c>
    </row>
    <row r="16" spans="2:5" s="573" customFormat="1" ht="14.25" customHeight="1">
      <c r="B16" s="1077"/>
      <c r="C16" s="919" t="s">
        <v>1564</v>
      </c>
      <c r="E16" s="919" t="s">
        <v>1829</v>
      </c>
    </row>
    <row r="17" spans="2:5" s="573" customFormat="1" ht="14.25" customHeight="1">
      <c r="B17" s="1077"/>
      <c r="C17" s="919" t="s">
        <v>1689</v>
      </c>
      <c r="E17" s="919" t="s">
        <v>1830</v>
      </c>
    </row>
    <row r="18" spans="2:5" s="573" customFormat="1" ht="14.25" customHeight="1">
      <c r="B18" s="1077"/>
      <c r="C18" s="919" t="s">
        <v>1587</v>
      </c>
      <c r="E18" s="919" t="s">
        <v>1831</v>
      </c>
    </row>
    <row r="19" spans="2:5" s="573" customFormat="1" ht="14.25" customHeight="1">
      <c r="B19" s="1077"/>
      <c r="C19" s="919" t="s">
        <v>1588</v>
      </c>
      <c r="E19" s="919" t="s">
        <v>1914</v>
      </c>
    </row>
    <row r="20" spans="2:5" s="573" customFormat="1" ht="14.25" customHeight="1">
      <c r="B20" s="1077"/>
      <c r="C20" s="920" t="s">
        <v>1589</v>
      </c>
      <c r="E20" s="920"/>
    </row>
    <row r="21" spans="2:5" s="573" customFormat="1" ht="14.25" customHeight="1">
      <c r="B21" s="1077"/>
      <c r="C21" s="1076"/>
    </row>
    <row r="22" spans="2:5" s="573" customFormat="1" ht="14.25" customHeight="1">
      <c r="B22" s="1077"/>
      <c r="C22" s="1076"/>
    </row>
    <row r="23" spans="2:5" s="7" customFormat="1">
      <c r="B23" s="912" t="s">
        <v>1462</v>
      </c>
      <c r="C23" s="7" t="s">
        <v>1527</v>
      </c>
      <c r="E23" s="213" t="s">
        <v>1528</v>
      </c>
    </row>
    <row r="24" spans="2:5" s="7" customFormat="1">
      <c r="B24" s="912"/>
      <c r="C24" s="913" t="s">
        <v>15</v>
      </c>
      <c r="E24" s="974" t="s">
        <v>15</v>
      </c>
    </row>
    <row r="25" spans="2:5" s="7" customFormat="1">
      <c r="B25" s="912"/>
      <c r="C25" s="914" t="s">
        <v>350</v>
      </c>
      <c r="E25" s="975" t="s">
        <v>350</v>
      </c>
    </row>
    <row r="26" spans="2:5" s="7" customFormat="1">
      <c r="B26" s="912"/>
      <c r="C26" s="915" t="s">
        <v>351</v>
      </c>
      <c r="E26" s="975" t="s">
        <v>351</v>
      </c>
    </row>
    <row r="27" spans="2:5" s="7" customFormat="1">
      <c r="B27" s="956" t="s">
        <v>372</v>
      </c>
      <c r="C27" s="450" t="str">
        <f>'3c. Calculateur MEÉ 2-3-4'!G13</f>
        <v>Vapeur</v>
      </c>
      <c r="E27" s="976" t="s">
        <v>1529</v>
      </c>
    </row>
    <row r="28" spans="2:5" s="7" customFormat="1">
      <c r="B28" s="912" t="s">
        <v>349</v>
      </c>
      <c r="E28" s="977">
        <f>'3c. Calculateur MEÉ 2-3-4'!I13</f>
        <v>0</v>
      </c>
    </row>
    <row r="29" spans="2:5" s="7" customFormat="1">
      <c r="C29" s="521" t="s">
        <v>350</v>
      </c>
    </row>
    <row r="30" spans="2:5" s="7" customFormat="1">
      <c r="C30" s="913" t="s">
        <v>15</v>
      </c>
    </row>
    <row r="31" spans="2:5" s="7" customFormat="1">
      <c r="C31" s="916" t="s">
        <v>277</v>
      </c>
    </row>
    <row r="32" spans="2:5" s="7" customFormat="1">
      <c r="C32" s="196" t="s">
        <v>278</v>
      </c>
    </row>
    <row r="33" spans="2:5" s="7" customFormat="1">
      <c r="C33" s="917"/>
    </row>
    <row r="34" spans="2:5" s="7" customFormat="1">
      <c r="B34" s="912" t="s">
        <v>1298</v>
      </c>
      <c r="C34" s="917"/>
    </row>
    <row r="35" spans="2:5" s="7" customFormat="1">
      <c r="C35" s="7" t="s">
        <v>1298</v>
      </c>
    </row>
    <row r="36" spans="2:5" s="7" customFormat="1">
      <c r="C36" s="913" t="s">
        <v>15</v>
      </c>
    </row>
    <row r="37" spans="2:5" s="7" customFormat="1">
      <c r="C37" s="914" t="s">
        <v>14</v>
      </c>
    </row>
    <row r="38" spans="2:5" s="7" customFormat="1">
      <c r="C38" s="915" t="s">
        <v>337</v>
      </c>
    </row>
    <row r="39" spans="2:5" s="7" customFormat="1"/>
    <row r="40" spans="2:5" s="7" customFormat="1">
      <c r="B40" s="912" t="s">
        <v>562</v>
      </c>
    </row>
    <row r="41" spans="2:5" s="7" customFormat="1">
      <c r="C41" s="498" t="s">
        <v>1579</v>
      </c>
      <c r="E41" s="7" t="s">
        <v>1580</v>
      </c>
    </row>
    <row r="42" spans="2:5" s="7" customFormat="1">
      <c r="B42" s="912"/>
      <c r="C42" s="1015" t="s">
        <v>15</v>
      </c>
      <c r="E42" s="1015" t="s">
        <v>15</v>
      </c>
    </row>
    <row r="43" spans="2:5" s="7" customFormat="1">
      <c r="B43" s="912"/>
      <c r="C43" s="1016" t="s">
        <v>563</v>
      </c>
      <c r="E43" s="1016" t="s">
        <v>563</v>
      </c>
    </row>
    <row r="44" spans="2:5" s="7" customFormat="1">
      <c r="B44" s="912"/>
      <c r="C44" s="1018" t="s">
        <v>561</v>
      </c>
      <c r="E44" s="1017" t="s">
        <v>561</v>
      </c>
    </row>
    <row r="45" spans="2:5" s="7" customFormat="1">
      <c r="B45" s="912"/>
      <c r="E45" s="915" t="s">
        <v>1464</v>
      </c>
    </row>
    <row r="46" spans="2:5" s="7" customFormat="1">
      <c r="B46" s="912"/>
      <c r="C46" s="521"/>
    </row>
    <row r="47" spans="2:5" s="7" customFormat="1">
      <c r="B47" s="912" t="s">
        <v>1470</v>
      </c>
      <c r="C47" s="7" t="s">
        <v>1470</v>
      </c>
    </row>
    <row r="48" spans="2:5" s="7" customFormat="1">
      <c r="B48" s="912"/>
      <c r="C48" s="913" t="s">
        <v>15</v>
      </c>
    </row>
    <row r="49" spans="2:9" s="7" customFormat="1">
      <c r="B49" s="912"/>
      <c r="C49" s="914" t="s">
        <v>989</v>
      </c>
    </row>
    <row r="50" spans="2:9" s="7" customFormat="1">
      <c r="B50" s="912"/>
      <c r="C50" s="915" t="s">
        <v>990</v>
      </c>
    </row>
    <row r="51" spans="2:9" s="7" customFormat="1">
      <c r="B51" s="912"/>
      <c r="C51" s="521"/>
    </row>
    <row r="52" spans="2:9" s="7" customFormat="1">
      <c r="B52" s="912" t="s">
        <v>1880</v>
      </c>
      <c r="C52" s="525" t="s">
        <v>1881</v>
      </c>
    </row>
    <row r="53" spans="2:9" s="7" customFormat="1">
      <c r="B53" s="912"/>
      <c r="C53" s="913" t="s">
        <v>15</v>
      </c>
    </row>
    <row r="54" spans="2:9" s="7" customFormat="1">
      <c r="B54" s="912"/>
      <c r="C54" s="914" t="s">
        <v>14</v>
      </c>
    </row>
    <row r="55" spans="2:9" s="7" customFormat="1">
      <c r="B55" s="912"/>
      <c r="C55" s="915" t="s">
        <v>337</v>
      </c>
    </row>
    <row r="56" spans="2:9" s="7" customFormat="1">
      <c r="B56" s="912"/>
      <c r="C56" s="521"/>
    </row>
    <row r="57" spans="2:9" s="7" customFormat="1">
      <c r="B57" s="918" t="s">
        <v>511</v>
      </c>
    </row>
    <row r="58" spans="2:9" s="7" customFormat="1" ht="30">
      <c r="C58" s="917" t="s">
        <v>387</v>
      </c>
      <c r="E58" s="917" t="s">
        <v>386</v>
      </c>
      <c r="G58" s="7" t="s">
        <v>993</v>
      </c>
      <c r="I58" s="7" t="s">
        <v>1299</v>
      </c>
    </row>
    <row r="59" spans="2:9" s="7" customFormat="1">
      <c r="C59" s="913" t="s">
        <v>15</v>
      </c>
      <c r="E59" s="913" t="s">
        <v>15</v>
      </c>
      <c r="G59" s="913" t="s">
        <v>15</v>
      </c>
      <c r="I59" s="913" t="s">
        <v>15</v>
      </c>
    </row>
    <row r="60" spans="2:9" s="7" customFormat="1">
      <c r="C60" s="916" t="s">
        <v>371</v>
      </c>
      <c r="E60" s="916" t="s">
        <v>371</v>
      </c>
      <c r="G60" s="919" t="s">
        <v>1451</v>
      </c>
      <c r="I60" s="919">
        <v>1</v>
      </c>
    </row>
    <row r="61" spans="2:9" s="7" customFormat="1">
      <c r="C61" s="916">
        <v>1</v>
      </c>
      <c r="E61" s="916">
        <v>1</v>
      </c>
      <c r="G61" s="920" t="s">
        <v>1450</v>
      </c>
      <c r="I61" s="920">
        <v>2</v>
      </c>
    </row>
    <row r="62" spans="2:9" s="7" customFormat="1">
      <c r="C62" s="916">
        <v>2</v>
      </c>
      <c r="E62" s="916">
        <v>2</v>
      </c>
    </row>
    <row r="63" spans="2:9" s="7" customFormat="1">
      <c r="C63" s="916">
        <v>3</v>
      </c>
      <c r="E63" s="916">
        <v>3</v>
      </c>
    </row>
    <row r="64" spans="2:9" s="7" customFormat="1">
      <c r="C64" s="196">
        <v>4</v>
      </c>
      <c r="E64" s="196">
        <v>4</v>
      </c>
    </row>
    <row r="65" spans="1:12" s="243" customFormat="1">
      <c r="A65" s="508"/>
      <c r="B65" s="928" t="s">
        <v>372</v>
      </c>
      <c r="C65" s="279">
        <f>IF(OR('3c. Calculateur MEÉ 2-3-4'!G62=C59,'3c. Calculateur MEÉ 2-3-4'!G62=C60),0,'3c. Calculateur MEÉ 2-3-4'!G62)</f>
        <v>0</v>
      </c>
      <c r="D65" s="508"/>
      <c r="E65" s="279">
        <f>IF(OR('3c. Calculateur MEÉ 2-3-4'!G64=E59,'3c. Calculateur MEÉ 2-3-4'!G64=E60),0,'3c. Calculateur MEÉ 2-3-4'!G64)</f>
        <v>0</v>
      </c>
      <c r="F65" s="508"/>
      <c r="G65" s="508"/>
      <c r="H65" s="508"/>
      <c r="I65" s="508"/>
      <c r="J65" s="508"/>
      <c r="K65" s="508"/>
      <c r="L65" s="508"/>
    </row>
    <row r="66" spans="1:12" s="508" customFormat="1">
      <c r="H66" s="573" t="s">
        <v>388</v>
      </c>
      <c r="J66" s="574" t="s">
        <v>389</v>
      </c>
    </row>
    <row r="67" spans="1:12" s="7" customFormat="1">
      <c r="C67" s="921" t="s">
        <v>388</v>
      </c>
      <c r="D67" s="922"/>
      <c r="E67" s="921" t="s">
        <v>389</v>
      </c>
      <c r="H67" s="545" t="str" cm="1">
        <f t="array" ref="H67:H68">_xlfn._xlws.FILTER(C68:C77,C68:C77&lt;&gt;"")</f>
        <v>&lt; sélectionner &gt;</v>
      </c>
      <c r="J67" s="545" t="str" cm="1">
        <f t="array" ref="J67:J68">_xlfn._xlws.FILTER(E68:E77,E68:E77&lt;&gt;"")</f>
        <v>&lt; sélectionner &gt;</v>
      </c>
    </row>
    <row r="68" spans="1:12" s="7" customFormat="1">
      <c r="C68" s="923" t="s">
        <v>15</v>
      </c>
      <c r="D68" s="922"/>
      <c r="E68" s="923" t="s">
        <v>15</v>
      </c>
      <c r="H68" s="624" t="str">
        <v>Non</v>
      </c>
      <c r="J68" s="624" t="str">
        <v>Non</v>
      </c>
    </row>
    <row r="69" spans="1:12" s="7" customFormat="1">
      <c r="C69" s="924" t="s">
        <v>337</v>
      </c>
      <c r="D69" s="922"/>
      <c r="E69" s="924" t="s">
        <v>337</v>
      </c>
      <c r="H69" s="624"/>
      <c r="J69" s="624"/>
    </row>
    <row r="70" spans="1:12" s="7" customFormat="1">
      <c r="C70" s="924" t="str">
        <f>IF($C$65&gt;=1,"Éco. standard #1","")</f>
        <v/>
      </c>
      <c r="D70" s="922"/>
      <c r="E70" s="924" t="str">
        <f>IF($C$65&gt;=1,"Éco. standard #1","")</f>
        <v/>
      </c>
      <c r="H70" s="624"/>
      <c r="J70" s="624"/>
    </row>
    <row r="71" spans="1:12" s="7" customFormat="1">
      <c r="C71" s="924" t="str">
        <f>IF($C$65&gt;=2,"Éco. standard #2","")</f>
        <v/>
      </c>
      <c r="D71" s="922"/>
      <c r="E71" s="924" t="str">
        <f>IF($C$65&gt;=2,"Éco. standard #2","")</f>
        <v/>
      </c>
      <c r="H71" s="624"/>
      <c r="J71" s="624"/>
    </row>
    <row r="72" spans="1:12" s="7" customFormat="1">
      <c r="C72" s="924" t="str">
        <f>IF($C$65&gt;=3,"Éco. standard #3","")</f>
        <v/>
      </c>
      <c r="D72" s="922"/>
      <c r="E72" s="924" t="str">
        <f>IF($C$65&gt;=3,"Éco. standard #3","")</f>
        <v/>
      </c>
      <c r="H72" s="624"/>
      <c r="J72" s="624"/>
    </row>
    <row r="73" spans="1:12" s="7" customFormat="1">
      <c r="C73" s="924" t="str">
        <f>IF($C$65=4,"Éco. Standard #4","")</f>
        <v/>
      </c>
      <c r="D73" s="922"/>
      <c r="E73" s="925" t="str">
        <f>IF($C$65=4,"Éco. standard #4","")</f>
        <v/>
      </c>
      <c r="H73" s="624"/>
      <c r="J73" s="624"/>
    </row>
    <row r="74" spans="1:12" s="7" customFormat="1">
      <c r="C74" s="924" t="str">
        <f>IF($E$65&gt;=1,"Éco. à condensation #1","")</f>
        <v/>
      </c>
      <c r="D74" s="922"/>
      <c r="E74" s="926" t="str">
        <f>IF('3c. Calculateur MEÉ 2-3-4'!G75=2,'3c. Calculateur MEÉ 2-3-4'!G68,"")</f>
        <v/>
      </c>
      <c r="H74" s="624"/>
      <c r="J74" s="624"/>
    </row>
    <row r="75" spans="1:12" s="7" customFormat="1">
      <c r="C75" s="924" t="str">
        <f>IF($E$65&gt;=2,"Éco. à condensation #2","")</f>
        <v/>
      </c>
      <c r="D75" s="922"/>
      <c r="E75" s="924" t="str">
        <f>IF('3c. Calculateur MEÉ 2-3-4'!I75=2,'3c. Calculateur MEÉ 2-3-4'!I68,"")</f>
        <v/>
      </c>
      <c r="H75" s="624"/>
      <c r="J75" s="624"/>
    </row>
    <row r="76" spans="1:12" s="7" customFormat="1">
      <c r="C76" s="924" t="str">
        <f>IF($E$65&gt;=3,"Éco. à condensation #3","")</f>
        <v/>
      </c>
      <c r="D76" s="922"/>
      <c r="E76" s="924" t="str">
        <f>IF('3c. Calculateur MEÉ 2-3-4'!K75=2,'3c. Calculateur MEÉ 2-3-4'!K68,"")</f>
        <v/>
      </c>
      <c r="H76" s="711"/>
      <c r="J76" s="711"/>
    </row>
    <row r="77" spans="1:12">
      <c r="C77" s="328" t="str">
        <f>IF($E$65=4,"Éco. à condensation #4","")</f>
        <v/>
      </c>
      <c r="D77" s="922"/>
      <c r="E77" s="328" t="str">
        <f>IF('3c. Calculateur MEÉ 2-3-4'!M75=2,'3c. Calculateur MEÉ 2-3-4'!M68,"")</f>
        <v/>
      </c>
      <c r="G77" s="508" t="s">
        <v>430</v>
      </c>
      <c r="H77" s="279">
        <f>COUNTA(H67:H76)</f>
        <v>2</v>
      </c>
      <c r="J77" s="279">
        <f>COUNTA(J67:J76)</f>
        <v>2</v>
      </c>
    </row>
    <row r="78" spans="1:12" s="7" customFormat="1"/>
    <row r="79" spans="1:12" s="7" customFormat="1" ht="45">
      <c r="B79" s="927" t="s">
        <v>966</v>
      </c>
    </row>
    <row r="80" spans="1:12" s="7" customFormat="1">
      <c r="C80" s="574" t="s">
        <v>336</v>
      </c>
    </row>
    <row r="81" spans="2:18" s="7" customFormat="1">
      <c r="C81" s="913" t="s">
        <v>15</v>
      </c>
    </row>
    <row r="82" spans="2:18" s="7" customFormat="1">
      <c r="C82" s="916" t="s">
        <v>314</v>
      </c>
    </row>
    <row r="83" spans="2:18" s="7" customFormat="1" ht="18">
      <c r="C83" s="916" t="s">
        <v>545</v>
      </c>
    </row>
    <row r="84" spans="2:18" s="7" customFormat="1" ht="18">
      <c r="C84" s="196" t="s">
        <v>546</v>
      </c>
    </row>
    <row r="85" spans="2:18" s="7" customFormat="1"/>
    <row r="86" spans="2:18" s="7" customFormat="1">
      <c r="B86" s="918" t="s">
        <v>29</v>
      </c>
      <c r="C86" s="521"/>
      <c r="E86" s="521"/>
    </row>
    <row r="87" spans="2:18" s="7" customFormat="1">
      <c r="C87" s="7" t="s">
        <v>1139</v>
      </c>
    </row>
    <row r="88" spans="2:18">
      <c r="C88" s="913" t="s">
        <v>15</v>
      </c>
      <c r="E88" s="7"/>
      <c r="H88" s="7"/>
      <c r="I88" s="7"/>
      <c r="J88" s="7"/>
      <c r="K88" s="7"/>
      <c r="L88" s="7"/>
      <c r="M88" s="7"/>
      <c r="N88" s="7"/>
      <c r="O88" s="7"/>
      <c r="P88" s="7"/>
      <c r="Q88" s="7"/>
      <c r="R88" s="7"/>
    </row>
    <row r="89" spans="2:18">
      <c r="C89" s="914" t="s">
        <v>997</v>
      </c>
      <c r="E89" s="7"/>
      <c r="H89" s="7"/>
      <c r="I89" s="7"/>
      <c r="J89" s="7"/>
      <c r="K89" s="7"/>
      <c r="L89" s="7"/>
      <c r="M89" s="7"/>
      <c r="N89" s="7"/>
      <c r="O89" s="7"/>
      <c r="P89" s="7"/>
      <c r="Q89" s="7"/>
      <c r="R89" s="7"/>
    </row>
    <row r="90" spans="2:18">
      <c r="C90" s="915" t="s">
        <v>996</v>
      </c>
      <c r="E90" s="7"/>
      <c r="H90" s="7"/>
      <c r="I90" s="7"/>
      <c r="J90" s="7"/>
      <c r="K90" s="7"/>
      <c r="L90" s="7"/>
      <c r="M90" s="7"/>
      <c r="N90" s="7"/>
      <c r="O90" s="7"/>
      <c r="P90" s="7"/>
      <c r="Q90" s="7"/>
      <c r="R90" s="7"/>
    </row>
    <row r="91" spans="2:18">
      <c r="C91" s="7"/>
      <c r="E91" s="7"/>
      <c r="H91" s="7"/>
      <c r="I91" s="7"/>
      <c r="J91" s="7"/>
      <c r="K91" s="7"/>
      <c r="L91" s="7"/>
      <c r="M91" s="7"/>
      <c r="N91" s="7"/>
      <c r="O91" s="7"/>
      <c r="P91" s="7"/>
      <c r="Q91" s="7"/>
      <c r="R91" s="7"/>
    </row>
    <row r="92" spans="2:18">
      <c r="C92" s="574" t="s">
        <v>338</v>
      </c>
      <c r="E92" s="7"/>
      <c r="H92" s="7"/>
      <c r="I92" s="7"/>
      <c r="J92" s="7"/>
      <c r="K92" s="7"/>
      <c r="L92" s="7"/>
      <c r="M92" s="7"/>
      <c r="N92" s="7"/>
      <c r="O92" s="7"/>
      <c r="P92" s="7"/>
      <c r="Q92" s="7"/>
      <c r="R92" s="7"/>
    </row>
    <row r="93" spans="2:18">
      <c r="C93" s="913" t="s">
        <v>15</v>
      </c>
      <c r="E93" s="7"/>
      <c r="H93" s="7"/>
      <c r="I93" s="7"/>
      <c r="J93" s="7"/>
      <c r="K93" s="7"/>
      <c r="L93" s="7"/>
      <c r="M93" s="7"/>
      <c r="N93" s="7"/>
      <c r="O93" s="7"/>
      <c r="P93" s="7"/>
      <c r="Q93" s="7"/>
      <c r="R93" s="7"/>
    </row>
    <row r="94" spans="2:18">
      <c r="C94" s="916" t="s">
        <v>324</v>
      </c>
      <c r="E94" s="7"/>
      <c r="H94" s="7"/>
      <c r="I94" s="7"/>
      <c r="J94" s="7"/>
      <c r="K94" s="7"/>
      <c r="L94" s="7"/>
      <c r="M94" s="7"/>
      <c r="N94" s="7"/>
      <c r="O94" s="7"/>
      <c r="P94" s="7"/>
      <c r="Q94" s="7"/>
      <c r="R94" s="7"/>
    </row>
    <row r="95" spans="2:18">
      <c r="C95" s="916" t="s">
        <v>326</v>
      </c>
      <c r="E95" s="7"/>
      <c r="H95" s="7"/>
      <c r="I95" s="7"/>
      <c r="J95" s="7"/>
      <c r="K95" s="7"/>
      <c r="L95" s="7"/>
      <c r="M95" s="7"/>
      <c r="N95" s="7"/>
      <c r="O95" s="7"/>
      <c r="P95" s="7"/>
      <c r="Q95" s="7"/>
      <c r="R95" s="7"/>
    </row>
    <row r="96" spans="2:18" s="7" customFormat="1">
      <c r="C96" s="916" t="s">
        <v>327</v>
      </c>
    </row>
    <row r="97" spans="3:3" s="7" customFormat="1">
      <c r="C97" s="916" t="s">
        <v>328</v>
      </c>
    </row>
    <row r="98" spans="3:3" s="7" customFormat="1">
      <c r="C98" s="916" t="s">
        <v>329</v>
      </c>
    </row>
    <row r="99" spans="3:3" s="7" customFormat="1">
      <c r="C99" s="196" t="s">
        <v>330</v>
      </c>
    </row>
    <row r="100" spans="3:3" s="7" customFormat="1"/>
    <row r="101" spans="3:3" s="7" customFormat="1">
      <c r="C101" s="7" t="s">
        <v>1409</v>
      </c>
    </row>
    <row r="102" spans="3:3" s="7" customFormat="1">
      <c r="C102" s="913" t="s">
        <v>15</v>
      </c>
    </row>
    <row r="103" spans="3:3" s="7" customFormat="1">
      <c r="C103" s="914" t="s">
        <v>14</v>
      </c>
    </row>
    <row r="104" spans="3:3" s="7" customFormat="1">
      <c r="C104" s="915" t="s">
        <v>337</v>
      </c>
    </row>
    <row r="105" spans="3:3" s="7" customFormat="1"/>
    <row r="106" spans="3:3" s="7" customFormat="1"/>
    <row r="107" spans="3:3" s="7" customFormat="1"/>
    <row r="108" spans="3:3" s="7" customFormat="1"/>
    <row r="109" spans="3:3" s="7" customFormat="1"/>
    <row r="110" spans="3:3" s="7" customFormat="1"/>
    <row r="111" spans="3:3" s="7" customFormat="1"/>
    <row r="112" spans="3:3"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sheetData>
  <mergeCells count="1">
    <mergeCell ref="B2:C2"/>
  </mergeCells>
  <phoneticPr fontId="71"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9" ma:contentTypeDescription="Crée un document." ma:contentTypeScope="" ma:versionID="6daa898ed107b6ca71e59275fc561703">
  <xsd:schema xmlns:xsd="http://www.w3.org/2001/XMLSchema" xmlns:xs="http://www.w3.org/2001/XMLSchema" xmlns:p="http://schemas.microsoft.com/office/2006/metadata/properties" xmlns:ns2="b671e4ae-b606-4664-94ca-33f4e1ee5c43" targetNamespace="http://schemas.microsoft.com/office/2006/metadata/properties" ma:root="true" ma:fieldsID="15c8e32d3ea926a973d58bc45a3ae9ac"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060fd4b1-590a-4863-a642-a3a7f8f6c155"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671e4ae-b606-4664-94ca-33f4e1ee5c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11C3F4-EA31-4D12-9824-93B196731A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1e4ae-b606-4664-94ca-33f4e1ee5c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A6BBFB-07FB-4629-A0CA-FC13F74C8F70}">
  <ds:schemaRefs>
    <ds:schemaRef ds:uri="http://schemas.microsoft.com/office/2006/documentManagement/types"/>
    <ds:schemaRef ds:uri="http://schemas.openxmlformats.org/package/2006/metadata/core-properties"/>
    <ds:schemaRef ds:uri="http://schemas.microsoft.com/office/infopath/2007/PartnerControls"/>
    <ds:schemaRef ds:uri="http://purl.org/dc/terms/"/>
    <ds:schemaRef ds:uri="http://purl.org/dc/elements/1.1/"/>
    <ds:schemaRef ds:uri="b671e4ae-b606-4664-94ca-33f4e1ee5c43"/>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B1C55533-6582-4628-8BF4-D73297DA29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36</vt:i4>
      </vt:variant>
      <vt:variant>
        <vt:lpstr>Plages nommées</vt:lpstr>
      </vt:variant>
      <vt:variant>
        <vt:i4>7</vt:i4>
      </vt:variant>
    </vt:vector>
  </HeadingPairs>
  <TitlesOfParts>
    <vt:vector size="43" baseType="lpstr">
      <vt:lpstr>Onglet Énergir</vt:lpstr>
      <vt:lpstr>1. Informations générales</vt:lpstr>
      <vt:lpstr>2. Rapport détaillé des coûts</vt:lpstr>
      <vt:lpstr>3a.Calculateur - Instructions</vt:lpstr>
      <vt:lpstr>3b. Calculateur - MEÉ 1</vt:lpstr>
      <vt:lpstr>3c. Calculateur MEÉ 2-3-4</vt:lpstr>
      <vt:lpstr>4. Demande de versement</vt:lpstr>
      <vt:lpstr>Subvention</vt:lpstr>
      <vt:lpstr>Menus déroulants</vt:lpstr>
      <vt:lpstr>Détail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Économiseur condensant </vt:lpstr>
      <vt:lpstr>Économiseur non-condensant</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Prévot Blanche</cp:lastModifiedBy>
  <cp:revision/>
  <dcterms:created xsi:type="dcterms:W3CDTF">2022-07-21T14:43:21Z</dcterms:created>
  <dcterms:modified xsi:type="dcterms:W3CDTF">2026-01-29T14:26:04Z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xd_ProgID">
    <vt:lpwstr/>
  </property>
  <property fmtid="{D5CDD505-2E9C-101B-9397-08002B2CF9AE}" pid="8" name="TemplateUrl">
    <vt:lpwstr/>
  </property>
  <property fmtid="{D5CDD505-2E9C-101B-9397-08002B2CF9AE}" pid="9" name="xd_Signature">
    <vt:bool>false</vt:bool>
  </property>
</Properties>
</file>